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43FCA4D9-3A09-42DA-87D4-31E7D79031BA}" xr6:coauthVersionLast="47" xr6:coauthVersionMax="47" xr10:uidLastSave="{00000000-0000-0000-0000-000000000000}"/>
  <bookViews>
    <workbookView xWindow="28680" yWindow="-120" windowWidth="29040" windowHeight="15840" tabRatio="914" firstSheet="3" activeTab="18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state="hidden" r:id="rId5"/>
    <sheet name="Результат" sheetId="26" state="hidden" r:id="rId6"/>
    <sheet name="СМР 417 путь" sheetId="8" r:id="rId7"/>
    <sheet name="мат 417 путь" sheetId="3" r:id="rId8"/>
    <sheet name="СМР 217 путь" sheetId="9" state="hidden" r:id="rId9"/>
    <sheet name="мат 217 путь" sheetId="4" state="hidden" r:id="rId10"/>
    <sheet name="СМР комм-ции 417" sheetId="12" r:id="rId11"/>
    <sheet name="мат комм-ции 417" sheetId="7" r:id="rId12"/>
    <sheet name="СМР комм-ции 217 " sheetId="14" state="hidden" r:id="rId13"/>
    <sheet name="мат комм-ции 217" sheetId="15" state="hidden" r:id="rId14"/>
    <sheet name="СМР жд 8 цех" sheetId="10" state="hidden" r:id="rId15"/>
    <sheet name="мат 8 цех" sheetId="5" state="hidden" r:id="rId16"/>
    <sheet name="СМР трнсбрдр" sheetId="11" state="hidden" r:id="rId17"/>
    <sheet name="мат трнсбрдр" sheetId="6" state="hidden" r:id="rId18"/>
    <sheet name="исключение-свод" sheetId="27" r:id="rId19"/>
    <sheet name="СМР ГСН" sheetId="16" r:id="rId20"/>
    <sheet name="мат ГСН" sheetId="17" r:id="rId21"/>
    <sheet name="СМР эстакада" sheetId="22" r:id="rId22"/>
    <sheet name="мат эстакада" sheetId="23" r:id="rId23"/>
    <sheet name="СМР ТС2" sheetId="18" r:id="rId24"/>
    <sheet name="мат ТС2" sheetId="19" r:id="rId25"/>
    <sheet name="СМР ТС3" sheetId="20" r:id="rId26"/>
    <sheet name="мат ТС3" sheetId="21" r:id="rId27"/>
  </sheets>
  <externalReferences>
    <externalReference r:id="rId28"/>
  </externalReferences>
  <definedNames>
    <definedName name="_xlnm._FilterDatabase" localSheetId="11" hidden="1">'мат комм-ции 417'!$A$1:$H$280</definedName>
    <definedName name="_xlnm._FilterDatabase" localSheetId="10" hidden="1">'СМР комм-ции 417'!$A$1:$H$386</definedName>
    <definedName name="_xlnm._FilterDatabase" localSheetId="2" hidden="1">'СМР трнсбрдр (2)'!$A$1:$H$236</definedName>
    <definedName name="_xlnm._FilterDatabase" localSheetId="23" hidden="1">'СМР ТС2'!$A$1:$G$89</definedName>
    <definedName name="_xlnm._FilterDatabase" localSheetId="25" hidden="1">'СМР ТС3'!$A$1:$H$103</definedName>
    <definedName name="_xlnm._FilterDatabase" localSheetId="21" hidden="1">'СМР эстакада'!$A$1:$H$100</definedName>
    <definedName name="_xlnm.Print_Area" localSheetId="7">'мат 417 путь'!$A$1:$G$30</definedName>
    <definedName name="_xlnm.Print_Area" localSheetId="13">'мат комм-ции 217'!$A$1:$G$109</definedName>
    <definedName name="_xlnm.Print_Area" localSheetId="11">'мат комм-ции 417'!$A$1:$G$280</definedName>
    <definedName name="_xlnm.Print_Area" localSheetId="17">'мат трнсбрдр'!$A$1:$G$301</definedName>
    <definedName name="_xlnm.Print_Area" localSheetId="3">'мат трнсбрдр (2)'!$A$1:$G$301</definedName>
    <definedName name="_xlnm.Print_Area" localSheetId="24">'мат ТС2'!$A$1:$G$99</definedName>
    <definedName name="_xlnm.Print_Area" localSheetId="26">'мат ТС3'!$A$1:$G$93</definedName>
    <definedName name="_xlnm.Print_Area" localSheetId="22">'мат эстакада'!$A$1:$G$87</definedName>
    <definedName name="_xlnm.Print_Area" localSheetId="4">Свод!$A$1:$H$14</definedName>
    <definedName name="_xlnm.Print_Area" localSheetId="6">'СМР 417 путь'!$A$1:$G$35</definedName>
    <definedName name="_xlnm.Print_Area" localSheetId="19">'СМР ГСН'!$A$1:$G$42</definedName>
    <definedName name="_xlnm.Print_Area" localSheetId="12">'СМР комм-ции 217 '!$A$1:$G$253</definedName>
    <definedName name="_xlnm.Print_Area" localSheetId="10">'СМР комм-ции 417'!$A$1:$G$386</definedName>
    <definedName name="_xlnm.Print_Area" localSheetId="16">'СМР трнсбрдр'!$A$1:$G$238</definedName>
    <definedName name="_xlnm.Print_Area" localSheetId="2">'СМР трнсбрдр (2)'!$A$1:$G$236</definedName>
    <definedName name="_xlnm.Print_Area" localSheetId="23">'СМР ТС2'!$A$1:$G$89</definedName>
    <definedName name="_xlnm.Print_Area" localSheetId="25">'СМР ТС3'!$A$1:$G$103</definedName>
    <definedName name="_xlnm.Print_Area" localSheetId="21">'СМР эстакада'!$A$1:$G$100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7" l="1"/>
  <c r="E95" i="22" s="1"/>
  <c r="C23" i="27"/>
  <c r="C22" i="27"/>
  <c r="C21" i="27"/>
  <c r="C20" i="27"/>
  <c r="B20" i="27"/>
  <c r="C18" i="27"/>
  <c r="D18" i="27" s="1"/>
  <c r="B18" i="27"/>
  <c r="G5" i="25"/>
  <c r="G301" i="25"/>
  <c r="C17" i="27" s="1"/>
  <c r="E35" i="20"/>
  <c r="E14" i="20"/>
  <c r="E39" i="18"/>
  <c r="E12" i="18"/>
  <c r="E94" i="24" l="1"/>
  <c r="E56" i="20"/>
  <c r="E271" i="12"/>
  <c r="E116" i="24"/>
  <c r="E136" i="24"/>
  <c r="E13" i="22"/>
  <c r="E40" i="22"/>
  <c r="E62" i="22"/>
  <c r="E79" i="22"/>
  <c r="D20" i="27"/>
  <c r="E47" i="12"/>
  <c r="E385" i="12"/>
  <c r="E68" i="12"/>
  <c r="E88" i="12"/>
  <c r="E123" i="12"/>
  <c r="E144" i="12"/>
  <c r="E162" i="12"/>
  <c r="E186" i="12"/>
  <c r="E209" i="12"/>
  <c r="E295" i="12"/>
  <c r="E343" i="12"/>
  <c r="E356" i="12"/>
  <c r="E368" i="12"/>
  <c r="E231" i="12"/>
  <c r="E254" i="12"/>
  <c r="E16" i="12"/>
  <c r="D13" i="27"/>
  <c r="D12" i="27" l="1"/>
  <c r="D192" i="7" l="1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B2" i="27" l="1"/>
  <c r="D259" i="12"/>
  <c r="D258" i="12"/>
  <c r="D256" i="12"/>
  <c r="D254" i="12"/>
  <c r="D253" i="12"/>
  <c r="D252" i="12"/>
  <c r="D251" i="12"/>
  <c r="D250" i="12"/>
  <c r="D249" i="12"/>
  <c r="D248" i="12"/>
  <c r="D247" i="12"/>
  <c r="D246" i="12"/>
  <c r="D245" i="12"/>
  <c r="D244" i="12"/>
  <c r="D241" i="12"/>
  <c r="D240" i="12"/>
  <c r="D239" i="12"/>
  <c r="D238" i="12"/>
  <c r="D236" i="12"/>
  <c r="D235" i="12"/>
  <c r="D233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H119" i="7" l="1"/>
  <c r="D119" i="7" s="1"/>
  <c r="H133" i="7"/>
  <c r="D133" i="7" s="1"/>
  <c r="H120" i="7"/>
  <c r="D120" i="7" s="1"/>
  <c r="H123" i="7"/>
  <c r="D123" i="7" s="1"/>
  <c r="H130" i="7"/>
  <c r="D130" i="7" s="1"/>
  <c r="H209" i="7"/>
  <c r="D209" i="7" s="1"/>
  <c r="H198" i="7"/>
  <c r="D198" i="7" s="1"/>
  <c r="H208" i="7"/>
  <c r="D208" i="7" s="1"/>
  <c r="H203" i="7"/>
  <c r="D203" i="7" s="1"/>
  <c r="H202" i="7"/>
  <c r="D202" i="7" s="1"/>
  <c r="H200" i="7"/>
  <c r="D200" i="7" s="1"/>
  <c r="H195" i="7"/>
  <c r="D195" i="7" s="1"/>
  <c r="H207" i="7"/>
  <c r="D207" i="7" s="1"/>
  <c r="H196" i="7"/>
  <c r="D196" i="7" s="1"/>
  <c r="H194" i="7"/>
  <c r="D194" i="7" s="1"/>
  <c r="H206" i="7"/>
  <c r="D206" i="7" s="1"/>
  <c r="H205" i="7"/>
  <c r="D205" i="7" s="1"/>
  <c r="H204" i="7"/>
  <c r="D204" i="7" s="1"/>
  <c r="H201" i="7"/>
  <c r="D201" i="7" s="1"/>
  <c r="H211" i="7"/>
  <c r="D211" i="7" s="1"/>
  <c r="H262" i="12"/>
  <c r="D262" i="12" s="1"/>
  <c r="H275" i="12"/>
  <c r="D275" i="12" s="1"/>
  <c r="H274" i="12"/>
  <c r="D274" i="12" s="1"/>
  <c r="H273" i="12"/>
  <c r="D273" i="12" s="1"/>
  <c r="H271" i="12"/>
  <c r="D271" i="12" s="1"/>
  <c r="H270" i="12"/>
  <c r="D270" i="12" s="1"/>
  <c r="H269" i="12"/>
  <c r="D269" i="12" s="1"/>
  <c r="H268" i="12"/>
  <c r="D268" i="12" s="1"/>
  <c r="H267" i="12"/>
  <c r="D267" i="12" s="1"/>
  <c r="H266" i="12"/>
  <c r="D266" i="12" s="1"/>
  <c r="H265" i="12"/>
  <c r="D265" i="12" s="1"/>
  <c r="H264" i="12"/>
  <c r="D264" i="12" s="1"/>
  <c r="H263" i="12"/>
  <c r="D263" i="12" s="1"/>
  <c r="H281" i="12"/>
  <c r="D281" i="12" s="1"/>
  <c r="H276" i="12"/>
  <c r="D276" i="12" s="1"/>
  <c r="H287" i="12"/>
  <c r="D287" i="12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D137" i="25"/>
  <c r="F137" i="25" s="1"/>
  <c r="G137" i="25" s="1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D132" i="25"/>
  <c r="F132" i="25" s="1"/>
  <c r="G132" i="25" s="1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G111" i="25"/>
  <c r="D111" i="25"/>
  <c r="F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144" i="25" l="1"/>
  <c r="G115" i="25"/>
  <c r="G183" i="25"/>
  <c r="G83" i="24"/>
  <c r="G107" i="24"/>
  <c r="G137" i="24"/>
  <c r="G62" i="24"/>
  <c r="G159" i="25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F301" i="25"/>
  <c r="G7" i="25"/>
  <c r="G236" i="24" l="1"/>
  <c r="B17" i="27" s="1"/>
  <c r="D17" i="27" s="1"/>
  <c r="G5" i="24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22" i="27" s="1"/>
  <c r="D22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21" i="27"/>
  <c r="D21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23" i="27" s="1"/>
  <c r="D23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56" i="12" l="1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F122" i="7" s="1"/>
  <c r="G122" i="7" s="1"/>
  <c r="F133" i="7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F119" i="7"/>
  <c r="G119" i="7" s="1"/>
  <c r="F123" i="7"/>
  <c r="G123" i="7" s="1"/>
  <c r="F124" i="7"/>
  <c r="G124" i="7" s="1"/>
  <c r="F259" i="12"/>
  <c r="G259" i="12" s="1"/>
  <c r="F258" i="12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F235" i="12"/>
  <c r="G235" i="12" s="1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194" i="12" l="1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F27" i="7" l="1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B19" i="27" s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B24" i="27" l="1"/>
  <c r="B6" i="27"/>
  <c r="D6" i="27" s="1"/>
  <c r="F5" i="13"/>
  <c r="F41" i="5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" i="13" s="1"/>
  <c r="F35" i="8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B7" i="27" l="1"/>
  <c r="D7" i="27" s="1"/>
  <c r="D8" i="27" s="1"/>
  <c r="C19" i="27"/>
  <c r="G5" i="13"/>
  <c r="H5" i="13" s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C24" i="27" l="1"/>
  <c r="D24" i="27" s="1"/>
  <c r="D19" i="27"/>
  <c r="G7" i="10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332" i="12" s="1"/>
  <c r="A333" i="12" s="1"/>
  <c r="A334" i="12" s="1"/>
  <c r="A335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90" i="6"/>
  <c r="A291" i="6" s="1"/>
  <c r="A292" i="6" s="1"/>
  <c r="A293" i="6" s="1"/>
  <c r="A294" i="6" s="1"/>
  <c r="A295" i="6" s="1"/>
  <c r="H87" i="2"/>
  <c r="H79" i="1" l="1"/>
  <c r="A266" i="7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<sst xmlns="http://schemas.openxmlformats.org/spreadsheetml/2006/main" count="6145" uniqueCount="1663">
  <si>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</si>
  <si>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</si>
  <si>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</si>
  <si>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</si>
  <si>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</si>
  <si>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</si>
  <si>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</si>
  <si>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</si>
  <si>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</si>
  <si>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</si>
  <si>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</si>
  <si>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</si>
  <si>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</si>
  <si>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</si>
  <si>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</si>
  <si>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</si>
  <si>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</si>
  <si>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</si>
  <si>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</si>
  <si>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</si>
  <si>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</si>
  <si>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</si>
  <si>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</si>
  <si>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</si>
  <si>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</si>
  <si>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</si>
  <si>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</si>
  <si>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</si>
  <si>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</si>
  <si>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</si>
  <si>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</si>
  <si>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</si>
  <si>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</si>
  <si>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</si>
  <si>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</si>
  <si>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</si>
  <si>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</si>
  <si>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</si>
  <si>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</si>
  <si>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</si>
  <si>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</si>
  <si>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</si>
  <si>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</si>
  <si>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</si>
  <si>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</si>
  <si>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</si>
  <si>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</si>
  <si>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</si>
  <si>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</si>
  <si>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</si>
  <si>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</si>
  <si>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</si>
  <si>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</si>
  <si>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</si>
  <si>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</si>
  <si>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</si>
  <si>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</si>
  <si>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</si>
  <si>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</si>
  <si>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</si>
  <si>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</si>
  <si>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</si>
  <si>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</si>
  <si>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</si>
  <si>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</si>
  <si>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</si>
  <si>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</si>
  <si>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</si>
  <si>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</si>
  <si>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</si>
  <si>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</si>
  <si>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</si>
  <si>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</si>
  <si>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</si>
  <si>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</si>
  <si>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</si>
  <si>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</si>
  <si>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</si>
  <si>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</si>
  <si>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</si>
  <si>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</si>
  <si>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</si>
  <si>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</si>
  <si>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</si>
  <si>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</si>
  <si>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</si>
  <si>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</si>
  <si>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</si>
  <si>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</si>
  <si>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</si>
  <si>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</si>
  <si>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</si>
  <si>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</si>
  <si>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</si>
  <si>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</si>
  <si>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</si>
  <si>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</si>
  <si>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</si>
  <si>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</si>
  <si>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</si>
  <si>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</si>
  <si>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</si>
  <si>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</si>
  <si>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</si>
  <si>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</si>
  <si>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</si>
  <si>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</si>
  <si>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</si>
  <si>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</si>
  <si>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</si>
  <si>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</si>
  <si>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</si>
  <si>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</si>
  <si>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</si>
  <si>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</si>
  <si>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</si>
  <si>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</si>
  <si>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</si>
  <si>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</si>
  <si>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</si>
  <si>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</si>
  <si>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</si>
  <si>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</si>
  <si>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</si>
  <si>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</si>
  <si>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</si>
  <si>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</si>
  <si>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</si>
  <si>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</si>
  <si>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</si>
  <si>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</si>
  <si>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</si>
  <si>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</si>
  <si>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</si>
  <si>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</si>
  <si>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</si>
  <si>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</si>
  <si>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</si>
  <si>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</si>
  <si>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</si>
  <si>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</si>
  <si>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</si>
  <si>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</si>
  <si>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</si>
  <si>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</si>
  <si>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</si>
  <si>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</si>
  <si>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</si>
  <si>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</si>
  <si>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</si>
  <si>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</si>
  <si>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</si>
  <si>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</si>
  <si>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</si>
  <si>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</si>
  <si>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</si>
  <si>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</si>
  <si>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</si>
  <si>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</si>
  <si>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</si>
  <si>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</si>
  <si>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</si>
  <si>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</si>
  <si>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</si>
  <si>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</si>
  <si>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</si>
  <si>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</si>
  <si>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</si>
  <si>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</si>
  <si>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</si>
  <si>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</si>
  <si>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</si>
  <si>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</si>
  <si>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</si>
  <si>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</si>
  <si>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</si>
  <si>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</si>
  <si>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</si>
  <si>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</si>
  <si>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</si>
  <si>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</si>
  <si>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</si>
  <si>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</si>
  <si>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</si>
  <si>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</si>
  <si>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</si>
  <si>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</si>
  <si>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</si>
  <si>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</si>
  <si>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</si>
  <si>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</si>
  <si>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</si>
  <si>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</si>
  <si>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</si>
  <si>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</si>
  <si>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</si>
  <si>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</si>
  <si>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</si>
  <si>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</si>
  <si>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</si>
  <si>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</si>
  <si>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</si>
  <si>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</si>
  <si>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</si>
  <si>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</si>
  <si>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</si>
  <si>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</si>
  <si>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</si>
  <si>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</si>
  <si>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</si>
  <si>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</si>
  <si>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</si>
  <si>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</si>
  <si>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</si>
  <si>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</si>
  <si>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</si>
  <si>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</si>
  <si>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</si>
  <si>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</si>
  <si>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</si>
  <si>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</si>
  <si>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</si>
  <si>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</si>
  <si>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</si>
  <si>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</si>
  <si>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</si>
  <si>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</si>
  <si>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</si>
  <si>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</si>
  <si>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</si>
  <si>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</si>
  <si>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</si>
  <si>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</si>
  <si>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</si>
  <si>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</si>
  <si>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</si>
  <si>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</si>
  <si>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</si>
  <si>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</si>
  <si>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</si>
  <si>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</si>
  <si>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</si>
  <si>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</si>
  <si>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</si>
  <si>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</si>
  <si>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</si>
  <si>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</si>
  <si>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</si>
  <si>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</si>
  <si>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</si>
  <si>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</si>
  <si>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</si>
  <si>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</si>
  <si>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</si>
  <si>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</si>
  <si>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</si>
  <si>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</si>
  <si>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</si>
  <si>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</si>
  <si>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</si>
  <si>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</si>
  <si>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</si>
  <si>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</si>
  <si>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</si>
  <si>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</si>
  <si>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</si>
  <si>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</si>
  <si>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</si>
  <si>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</si>
  <si>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</si>
  <si>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</si>
  <si>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</si>
  <si>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</si>
  <si>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</si>
  <si>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</si>
  <si>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</si>
  <si>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</si>
  <si>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</si>
  <si>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</si>
  <si>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</si>
  <si>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</si>
  <si>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</si>
  <si>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</si>
  <si>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</si>
  <si>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</si>
  <si>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</si>
  <si>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</si>
  <si>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</si>
  <si>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</si>
  <si>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</si>
  <si>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</si>
  <si>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</si>
  <si>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</si>
  <si>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</si>
  <si>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</si>
  <si>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</si>
  <si>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</si>
  <si>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</si>
  <si>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</si>
  <si>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</si>
  <si>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</si>
  <si>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</si>
  <si>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</si>
  <si>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</si>
  <si>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</si>
  <si>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</si>
  <si>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</si>
  <si>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</si>
  <si>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</si>
  <si>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</si>
  <si>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</si>
  <si>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</si>
  <si>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</si>
  <si>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</si>
  <si>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</si>
  <si>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</si>
  <si>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</si>
  <si>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</si>
  <si>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</si>
  <si>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</si>
  <si>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</si>
  <si>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</si>
  <si>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</si>
  <si>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</si>
  <si>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</si>
  <si>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</si>
  <si>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</si>
  <si>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</si>
  <si>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</si>
  <si>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</si>
  <si>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</si>
  <si>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</si>
  <si>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</si>
  <si>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</si>
  <si>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</si>
  <si>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</si>
  <si>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</si>
  <si>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</si>
  <si>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</si>
  <si>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</si>
  <si>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</si>
  <si>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</si>
  <si>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</si>
  <si>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</si>
  <si>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</si>
  <si>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</si>
  <si>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</si>
  <si>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</si>
  <si>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</si>
  <si>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</si>
  <si>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</si>
  <si>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</si>
  <si>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</si>
  <si>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</si>
  <si>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</si>
  <si>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</si>
  <si>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</si>
  <si>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</si>
  <si>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</si>
  <si>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</si>
  <si>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</si>
  <si>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</si>
  <si>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</si>
  <si>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</si>
  <si>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</si>
  <si>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</si>
  <si>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</si>
  <si>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</si>
  <si>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</si>
  <si>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</si>
  <si>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</si>
  <si>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</si>
  <si>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</si>
  <si>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</si>
  <si>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</si>
  <si>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</si>
  <si>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</si>
  <si>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</si>
  <si>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</si>
  <si>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</si>
  <si>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</si>
  <si>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</si>
  <si>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</si>
  <si>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</si>
  <si>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</si>
  <si>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</si>
  <si>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</si>
  <si>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</si>
  <si>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</si>
  <si>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</si>
  <si>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</si>
  <si>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</si>
  <si>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</si>
  <si>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</si>
  <si>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</si>
  <si>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</si>
  <si>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</si>
  <si>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</si>
  <si>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</si>
  <si>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</si>
  <si>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</si>
  <si>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</si>
  <si>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</si>
  <si>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</si>
  <si>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</si>
  <si>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</si>
  <si>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</si>
  <si>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</si>
  <si>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</si>
  <si>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</si>
  <si>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</si>
  <si>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</si>
  <si>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</si>
  <si>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</si>
  <si>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</si>
  <si>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</si>
  <si>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</si>
  <si>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</si>
  <si>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</si>
  <si>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</si>
  <si>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</si>
  <si>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</si>
  <si>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</si>
  <si>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</si>
  <si>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</si>
  <si>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</si>
  <si>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</si>
  <si>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</si>
  <si>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</si>
  <si>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</si>
  <si>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</si>
  <si>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</si>
  <si>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</si>
  <si>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</si>
  <si>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</si>
  <si>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</si>
  <si>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</si>
  <si>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</si>
  <si>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</si>
  <si>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</si>
  <si>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</si>
  <si>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</si>
  <si>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</si>
  <si>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</si>
  <si>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</si>
  <si>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</si>
  <si>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</si>
  <si>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</si>
  <si>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</si>
  <si>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</si>
  <si>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</si>
  <si>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</si>
  <si>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</si>
  <si>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</si>
  <si>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</si>
  <si>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</si>
  <si>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</si>
  <si>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</si>
  <si>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</si>
  <si>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</si>
  <si>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</si>
  <si>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</si>
  <si>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</si>
  <si>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</si>
  <si>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</si>
  <si>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</si>
  <si>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</si>
  <si>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</si>
  <si>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</si>
  <si>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</si>
  <si>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</si>
  <si>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</si>
  <si>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</si>
  <si>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</si>
  <si>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</si>
  <si>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</si>
  <si>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</si>
  <si>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</si>
  <si>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</si>
  <si>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</si>
  <si>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</si>
  <si>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</si>
  <si>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</si>
  <si>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</si>
  <si>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</si>
  <si>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</si>
  <si>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</si>
  <si>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</si>
  <si>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</si>
  <si>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</si>
  <si>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</si>
  <si>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</si>
  <si>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</si>
  <si>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</si>
  <si>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</si>
  <si>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</si>
  <si>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</si>
  <si>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</si>
  <si>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</si>
  <si>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</si>
  <si>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</si>
  <si>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</si>
  <si>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</si>
  <si>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</si>
  <si>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</si>
  <si>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</si>
  <si>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</si>
  <si>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</si>
  <si>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</si>
  <si>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</si>
  <si>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</si>
  <si>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</si>
  <si>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</si>
  <si>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</si>
  <si>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</si>
  <si>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</si>
  <si>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</si>
  <si>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</si>
  <si>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</si>
  <si>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</si>
  <si>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</si>
  <si>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</si>
  <si>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</si>
  <si>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</si>
  <si>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</si>
  <si>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</si>
  <si>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</si>
  <si>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</si>
  <si>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</si>
  <si>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</si>
  <si>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</si>
  <si>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</si>
  <si>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</si>
  <si>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</si>
  <si>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</si>
  <si>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</si>
  <si>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</si>
  <si>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</si>
  <si>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</si>
  <si>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</si>
  <si>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</si>
  <si>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</si>
  <si>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</si>
  <si>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</si>
  <si>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</si>
  <si>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</si>
  <si>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</si>
  <si>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</si>
  <si>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</si>
  <si>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</si>
  <si>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</si>
  <si>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</si>
  <si>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</si>
  <si>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</si>
  <si>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</si>
  <si>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</si>
  <si>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</si>
  <si>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</si>
  <si>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</si>
  <si>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</si>
  <si>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</si>
  <si>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</si>
  <si>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</si>
  <si>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</si>
  <si>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</si>
  <si>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</si>
  <si>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</si>
  <si>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</si>
  <si>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</si>
  <si>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</si>
  <si>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</si>
  <si>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</si>
  <si>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</si>
  <si>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</si>
  <si>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</si>
  <si>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</si>
  <si>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</si>
  <si>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</si>
  <si>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</si>
  <si>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</si>
  <si>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</si>
  <si>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</si>
  <si>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</si>
  <si>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</si>
  <si>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</si>
  <si>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</si>
  <si>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</si>
  <si>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</si>
  <si>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</si>
  <si>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</si>
  <si>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</si>
  <si>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</si>
  <si>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</si>
  <si>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</si>
  <si>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</si>
  <si>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</si>
  <si>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</si>
  <si>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</si>
  <si>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</si>
  <si>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</si>
  <si>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</si>
  <si>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</si>
  <si>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</si>
  <si>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</si>
  <si>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</si>
  <si>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</si>
  <si>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</si>
  <si>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</si>
  <si>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</si>
  <si>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</si>
  <si>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</si>
  <si>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</si>
  <si>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</si>
  <si>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</si>
  <si>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</si>
  <si>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</si>
  <si>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</si>
  <si>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</si>
  <si>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</si>
  <si>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</si>
  <si>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</si>
  <si>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</si>
  <si>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</si>
  <si>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</si>
  <si>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</si>
  <si>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</si>
  <si>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</si>
  <si>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</si>
  <si>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</si>
  <si>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</si>
  <si>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</si>
  <si>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</si>
  <si>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</si>
  <si>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</si>
  <si>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</si>
  <si>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</si>
  <si>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</si>
  <si>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</si>
  <si>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</si>
  <si>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</si>
  <si>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</si>
  <si>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</si>
  <si>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</si>
  <si>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</si>
  <si>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</si>
  <si>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</si>
  <si>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</si>
  <si>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</si>
  <si>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</si>
  <si>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</si>
  <si>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</si>
  <si>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</si>
  <si>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</si>
  <si>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</si>
  <si>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</si>
  <si>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</si>
  <si>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</si>
  <si>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</si>
  <si>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</si>
  <si>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</si>
  <si>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</si>
  <si>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</si>
  <si>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</si>
  <si>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</si>
  <si>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</si>
  <si>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</si>
  <si>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</si>
  <si>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</si>
  <si>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</si>
  <si>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</si>
  <si>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</si>
  <si>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</si>
  <si>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</si>
  <si>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</si>
  <si>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</si>
  <si>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</si>
  <si>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</si>
  <si>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</si>
  <si>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</si>
  <si>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</si>
  <si>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</si>
  <si>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</si>
  <si>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</si>
  <si>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</si>
  <si>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</si>
  <si>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</si>
  <si>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</si>
  <si>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</si>
  <si>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</si>
  <si>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</si>
  <si>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</si>
  <si>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</si>
  <si>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</si>
  <si>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</si>
  <si>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</si>
  <si>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</si>
  <si>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</si>
  <si>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</si>
  <si>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</si>
  <si>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</si>
  <si>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</si>
  <si>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</si>
  <si>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</si>
  <si>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</si>
  <si>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</si>
  <si>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</si>
  <si>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</si>
  <si>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</si>
  <si>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</si>
  <si>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</si>
  <si>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</si>
  <si>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</si>
  <si>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</si>
  <si>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</si>
  <si>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</si>
  <si>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</si>
  <si>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</si>
  <si>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</si>
  <si>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</si>
  <si>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</si>
  <si>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</si>
  <si>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</si>
  <si>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</si>
  <si>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</si>
  <si>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</si>
  <si>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</si>
  <si>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</si>
  <si>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</si>
  <si>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</si>
  <si>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</si>
  <si>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</si>
  <si>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</si>
  <si>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</si>
  <si>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</si>
  <si>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</si>
  <si>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</si>
  <si>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</si>
  <si>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</si>
  <si>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</si>
  <si>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</si>
  <si>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</si>
  <si>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</si>
  <si>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</si>
  <si>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</si>
  <si>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</si>
  <si>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</si>
  <si>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</si>
  <si>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</si>
  <si>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</si>
  <si>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</si>
  <si>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</si>
  <si>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</si>
  <si>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</si>
  <si>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</si>
  <si>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</si>
  <si>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</si>
  <si>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</si>
  <si>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</si>
  <si>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</si>
  <si>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</si>
  <si>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</si>
  <si>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</si>
  <si>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</si>
  <si>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</si>
  <si>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</si>
  <si>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</si>
  <si>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</si>
  <si>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</si>
  <si>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</si>
  <si>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</si>
  <si>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</si>
  <si>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</si>
  <si>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</si>
  <si>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</si>
  <si>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</si>
  <si>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</si>
  <si>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</si>
  <si>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</si>
  <si>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</si>
  <si>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</si>
  <si>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</si>
  <si>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</si>
  <si>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</si>
  <si>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</si>
  <si>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</si>
  <si>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</si>
  <si>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</si>
  <si>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</si>
  <si>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</si>
  <si>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</si>
  <si>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</si>
  <si>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</si>
  <si>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</si>
  <si>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</si>
  <si>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</si>
  <si>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</si>
  <si>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</si>
  <si>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</si>
  <si>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</si>
  <si>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</si>
  <si>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</si>
  <si>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</si>
  <si>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</si>
  <si>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</si>
  <si>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</si>
  <si>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</si>
  <si>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</si>
  <si>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</si>
  <si>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</si>
  <si>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</si>
  <si>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</si>
  <si>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</si>
  <si>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</si>
  <si>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</si>
  <si>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</si>
  <si>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</si>
  <si>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</si>
  <si>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</si>
  <si>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</si>
  <si>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</si>
  <si>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</si>
  <si>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</si>
  <si>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</si>
  <si>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</si>
  <si>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</si>
  <si>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</si>
  <si>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</si>
  <si>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</si>
  <si>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</si>
  <si>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</si>
  <si>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</si>
  <si>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</si>
  <si>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</si>
  <si>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</si>
  <si>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</si>
  <si>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</si>
  <si>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</si>
  <si>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</si>
  <si>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</si>
  <si>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</si>
  <si>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</si>
  <si>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</si>
  <si>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</si>
  <si>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</si>
  <si>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</si>
  <si>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</si>
  <si>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</si>
  <si>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</si>
  <si>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</si>
  <si>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</si>
  <si>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</si>
  <si>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</si>
  <si>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</si>
  <si>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</si>
  <si>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</si>
  <si>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</si>
  <si>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</si>
  <si>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</si>
  <si>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</si>
  <si>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</si>
  <si>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</si>
  <si>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</si>
  <si>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</si>
  <si>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</si>
  <si>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</si>
  <si>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</si>
  <si>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</si>
  <si>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</si>
  <si>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</si>
  <si>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</si>
  <si>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</si>
  <si>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</si>
  <si>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</si>
  <si>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</si>
  <si>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</si>
  <si>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</si>
  <si>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</si>
  <si>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</si>
  <si>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</si>
  <si>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</si>
  <si>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</si>
  <si>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</si>
  <si>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</si>
  <si>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</si>
  <si>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</si>
  <si>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</si>
  <si>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</si>
  <si>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</si>
  <si>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</si>
  <si>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</si>
  <si>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</si>
  <si>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</si>
  <si>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</si>
  <si>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</si>
  <si>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</si>
  <si>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</si>
  <si>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</si>
  <si>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</si>
  <si>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</si>
  <si>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</si>
  <si>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</si>
  <si>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</si>
  <si>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</si>
  <si>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</si>
  <si>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</si>
  <si>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</si>
  <si>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</si>
  <si>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</si>
  <si>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</si>
  <si>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</si>
  <si>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</si>
  <si>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</si>
  <si>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</si>
  <si>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</si>
  <si>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</si>
  <si>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</si>
  <si>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</si>
  <si>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</si>
  <si>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</si>
  <si>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</si>
  <si>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</si>
  <si>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</si>
  <si>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</si>
  <si>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</si>
  <si>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</si>
  <si>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</si>
  <si>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</si>
  <si>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</si>
  <si>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</si>
  <si>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</si>
  <si>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</si>
  <si>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</si>
  <si>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</si>
  <si>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</si>
  <si>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</si>
  <si>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</si>
  <si>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</si>
  <si>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</si>
  <si>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</si>
  <si>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</si>
  <si>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</si>
  <si>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</si>
  <si>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</si>
  <si>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</si>
  <si>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</si>
  <si>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</si>
  <si>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</si>
  <si>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</si>
  <si>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</si>
  <si>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</si>
  <si>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</si>
  <si>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</si>
  <si>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</si>
  <si>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</si>
  <si>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</si>
  <si>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</si>
  <si>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</si>
  <si>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</si>
  <si>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</si>
  <si>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</si>
  <si>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</si>
  <si>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</si>
  <si>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</si>
  <si>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</si>
  <si>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</si>
  <si>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</si>
  <si>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</si>
  <si>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</si>
  <si>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</si>
  <si>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</si>
  <si>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</si>
  <si>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</si>
  <si>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</si>
  <si>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</si>
  <si>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</si>
  <si>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</si>
  <si>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</si>
  <si>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</si>
  <si>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</si>
  <si>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</si>
  <si>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</si>
  <si>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</si>
  <si>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</si>
  <si>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</si>
  <si>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</si>
  <si>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</si>
  <si>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</si>
  <si>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</si>
  <si>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</si>
  <si>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</si>
  <si>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</si>
  <si>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</si>
  <si>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</si>
  <si>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</si>
  <si>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</si>
  <si>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</si>
  <si>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</si>
  <si>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</si>
  <si>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</si>
  <si>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</si>
  <si>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</si>
  <si>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</si>
  <si>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</si>
  <si>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</si>
  <si>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</si>
  <si>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</si>
  <si>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</si>
  <si>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</si>
  <si>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</si>
  <si>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</si>
  <si>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</si>
  <si>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</si>
  <si>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</si>
  <si>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</si>
  <si>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</si>
  <si>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</si>
  <si>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</si>
  <si>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</si>
  <si>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</si>
  <si>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</si>
  <si>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</si>
  <si>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</si>
  <si>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</si>
  <si>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</si>
  <si>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</si>
  <si>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</si>
  <si>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</si>
  <si>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</si>
  <si>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</si>
  <si>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</si>
  <si>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</si>
  <si>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</si>
  <si>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</si>
  <si>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</si>
  <si>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</si>
  <si>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</si>
  <si>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</si>
  <si>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</si>
  <si>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</si>
  <si>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</si>
  <si>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</si>
  <si>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</si>
  <si>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</si>
  <si>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</si>
  <si>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</si>
  <si>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</si>
  <si>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</si>
  <si>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</si>
  <si>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</si>
  <si>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</si>
  <si>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</si>
  <si>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</si>
  <si>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</si>
  <si>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</si>
  <si>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</si>
  <si>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</si>
  <si>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</si>
  <si>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</si>
  <si>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</si>
  <si>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</si>
  <si>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</si>
  <si>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</si>
  <si>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</si>
  <si>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</si>
  <si>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</si>
  <si>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</si>
  <si>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</si>
  <si>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</si>
  <si>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</si>
  <si>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</si>
  <si>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</si>
  <si>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</si>
  <si>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</si>
  <si>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</si>
  <si>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</si>
  <si>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</si>
  <si>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</si>
  <si>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</si>
  <si>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</si>
  <si>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</si>
  <si>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</si>
  <si>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</si>
  <si>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</si>
  <si>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</si>
  <si>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</si>
  <si>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</si>
  <si>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</si>
  <si>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</si>
  <si>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</si>
  <si>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</si>
  <si>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</si>
  <si>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</si>
  <si>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</si>
  <si>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</si>
  <si>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</si>
  <si>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</si>
  <si>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</si>
  <si>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</si>
  <si>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</si>
  <si>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</si>
  <si>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</si>
  <si>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</si>
  <si>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</si>
  <si>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</si>
  <si>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</si>
  <si>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</si>
  <si>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</si>
  <si>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</si>
  <si>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</si>
  <si>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</si>
  <si>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</si>
  <si>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</si>
  <si>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</si>
  <si>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</si>
  <si>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</si>
  <si>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</si>
  <si>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</si>
  <si>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</si>
  <si>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</si>
  <si>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</si>
  <si>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</si>
  <si>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</si>
  <si>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</si>
  <si>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</si>
  <si>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</si>
  <si>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</si>
  <si>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</si>
  <si>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</si>
  <si>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</si>
  <si>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</si>
  <si>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</si>
  <si>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</si>
  <si>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</si>
  <si>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</si>
  <si>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</si>
  <si>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</si>
  <si>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</si>
  <si>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</si>
  <si>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</si>
  <si>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</si>
  <si>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</si>
  <si>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</si>
  <si>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</si>
  <si>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</si>
  <si>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</si>
  <si>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</si>
  <si>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</si>
  <si>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</si>
  <si>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</si>
  <si>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</si>
  <si>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</si>
  <si>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</si>
  <si>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</si>
  <si>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</si>
  <si>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</si>
  <si>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</si>
  <si>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</si>
  <si>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</si>
  <si>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</si>
  <si>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</si>
  <si>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</si>
  <si>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</si>
  <si>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</si>
  <si>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</si>
  <si>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</si>
  <si>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</si>
  <si>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</si>
  <si>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</si>
  <si>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</si>
  <si>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</si>
  <si>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</si>
  <si>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</si>
  <si>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</si>
  <si>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</si>
  <si>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</si>
  <si>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</si>
  <si>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</si>
  <si>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</si>
  <si>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</si>
  <si>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</si>
  <si>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</si>
  <si>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</si>
  <si>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</si>
  <si>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</si>
  <si>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</si>
  <si>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</si>
  <si>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</si>
  <si>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</si>
  <si>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</si>
  <si>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</si>
  <si>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</si>
  <si>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</si>
  <si>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</si>
  <si>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</si>
  <si>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</si>
  <si>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</si>
  <si>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</si>
  <si>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</si>
  <si>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</si>
  <si>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</si>
  <si>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</si>
  <si>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</si>
  <si>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</si>
  <si>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</si>
  <si>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</si>
  <si>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</si>
  <si>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</si>
  <si>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</si>
  <si>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</si>
  <si>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</si>
  <si>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</si>
  <si>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</si>
  <si>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</si>
  <si>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</si>
  <si>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</si>
  <si>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</si>
  <si>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</si>
  <si>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</si>
  <si>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</si>
  <si>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</si>
  <si>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</si>
  <si>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</si>
  <si>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</si>
  <si>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</si>
  <si>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</si>
  <si>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</si>
  <si>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</si>
  <si>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</si>
  <si>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</si>
  <si>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</si>
  <si>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</si>
  <si>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</si>
  <si>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</si>
  <si>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</si>
  <si>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</si>
  <si>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</si>
  <si>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</si>
  <si>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</si>
  <si>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</si>
  <si>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</si>
  <si>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</si>
  <si>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</si>
  <si>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</si>
  <si>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</si>
  <si>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</si>
  <si>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</si>
  <si>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</si>
  <si>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</si>
  <si>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</si>
  <si>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</si>
  <si>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</si>
  <si>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</si>
  <si>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</si>
  <si>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</si>
  <si>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</si>
  <si>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</si>
  <si>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</si>
  <si>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</si>
  <si>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</si>
  <si>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</si>
  <si>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</si>
  <si>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</si>
  <si>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</si>
  <si>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</si>
  <si>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</si>
  <si>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</si>
  <si>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</si>
  <si>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</si>
  <si>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</si>
  <si>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</si>
  <si>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</si>
  <si>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</si>
  <si>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</si>
  <si>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</si>
  <si>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</si>
  <si>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</si>
  <si>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</si>
  <si>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</si>
  <si>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</si>
  <si>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</si>
  <si>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</si>
  <si>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</si>
  <si>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</si>
  <si>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</si>
  <si>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</si>
  <si>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</si>
  <si>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</si>
  <si>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</si>
  <si>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</si>
  <si>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</si>
  <si>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</si>
  <si>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</si>
  <si>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</si>
  <si>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</si>
  <si>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</si>
  <si>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</si>
  <si>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</si>
  <si>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</si>
  <si>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</si>
  <si>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</si>
  <si>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</si>
  <si>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</si>
  <si>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</si>
  <si>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</si>
  <si>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</si>
  <si>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</si>
  <si>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</si>
  <si>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</si>
  <si>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</si>
  <si>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</si>
  <si>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</si>
  <si>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</si>
  <si>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</si>
  <si>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</si>
  <si>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</si>
  <si>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</si>
  <si>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</si>
  <si>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</si>
  <si>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</si>
  <si>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</si>
  <si>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</si>
  <si>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</si>
  <si>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</si>
  <si>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</si>
  <si>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</si>
  <si>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</si>
  <si>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</si>
  <si>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</si>
  <si>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</si>
  <si>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</si>
  <si>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</si>
  <si>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</si>
  <si>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</si>
  <si>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</si>
  <si>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</si>
  <si>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</si>
  <si>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</si>
  <si>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</si>
  <si>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</si>
  <si>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</si>
  <si>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</si>
  <si>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</si>
  <si>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</si>
  <si>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</si>
  <si>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</si>
  <si>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</si>
  <si>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</si>
  <si>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</si>
  <si>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</si>
  <si>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</si>
  <si>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</si>
  <si>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</si>
  <si>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</si>
  <si>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</si>
  <si>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</si>
  <si>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</si>
  <si>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</si>
  <si>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</si>
  <si>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</si>
  <si>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</si>
  <si>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</si>
  <si>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</si>
  <si>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</si>
  <si>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</si>
  <si>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</si>
  <si>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</si>
  <si>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</si>
  <si>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</si>
  <si>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</si>
  <si>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</si>
  <si>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</si>
  <si>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</si>
  <si>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</si>
  <si>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</si>
  <si>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</si>
  <si>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</si>
  <si>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</si>
  <si>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</si>
  <si>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</si>
  <si>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</si>
  <si>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</si>
  <si>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</si>
  <si>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</si>
  <si>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</si>
  <si>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</si>
  <si>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</si>
  <si>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</si>
  <si>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</si>
  <si>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</si>
  <si>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</si>
  <si>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</si>
  <si>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</si>
  <si>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</si>
  <si>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</si>
  <si>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</si>
  <si>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</si>
  <si>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</si>
  <si>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</si>
  <si>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</si>
  <si>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</si>
  <si>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</si>
  <si>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</si>
  <si>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</si>
  <si>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</si>
  <si>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</si>
  <si>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</si>
  <si>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</si>
  <si>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</si>
  <si>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</si>
  <si>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</si>
  <si>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</si>
  <si>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</si>
  <si>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</si>
  <si>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</si>
  <si>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</si>
  <si>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</si>
  <si>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</si>
  <si>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</si>
  <si>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</si>
  <si>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</si>
  <si>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</si>
  <si>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</si>
  <si>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</si>
  <si>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</si>
  <si>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</si>
  <si>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</si>
  <si>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</si>
  <si>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</si>
  <si>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</si>
  <si>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</si>
  <si>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</si>
  <si>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</si>
  <si>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</si>
  <si>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</si>
  <si>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</si>
  <si>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</si>
  <si>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</si>
  <si>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</si>
  <si>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</si>
  <si>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</si>
  <si>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</si>
  <si>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</si>
  <si>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</si>
  <si>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</si>
  <si>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</si>
  <si>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</si>
  <si>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</si>
  <si>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</si>
  <si>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</si>
  <si>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</si>
  <si>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</si>
  <si>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</si>
  <si>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</si>
  <si>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</si>
  <si>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</si>
  <si>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</si>
  <si>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</si>
  <si>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</si>
  <si>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</si>
  <si>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</si>
  <si>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</si>
  <si>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</si>
  <si>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</si>
  <si>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</si>
  <si>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</si>
  <si>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</si>
  <si>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</si>
  <si>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</si>
  <si>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</si>
  <si>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</si>
  <si>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</si>
  <si>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</si>
  <si>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</si>
  <si>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</si>
  <si>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</si>
  <si>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</si>
  <si>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</si>
  <si>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</si>
  <si>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</si>
  <si>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</si>
  <si>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</si>
  <si>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</si>
  <si>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</si>
  <si>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</si>
  <si>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</si>
  <si>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</si>
  <si>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</si>
  <si>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</si>
  <si>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</si>
  <si>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</si>
  <si>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</si>
  <si>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</si>
  <si>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</si>
  <si>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</si>
  <si>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</si>
  <si>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</si>
  <si>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</si>
  <si>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</si>
  <si>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</si>
  <si>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</si>
  <si>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</si>
  <si>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</si>
  <si>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</si>
  <si>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</si>
  <si>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</si>
  <si>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</si>
  <si>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</si>
  <si>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</si>
  <si>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</si>
  <si>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</si>
  <si>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</si>
  <si>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</si>
  <si>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</si>
  <si>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</si>
  <si>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</si>
  <si>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</si>
  <si>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</si>
  <si>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</si>
  <si>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</si>
  <si>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</si>
  <si>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</si>
  <si>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</si>
  <si>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</si>
  <si>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</si>
  <si>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</si>
  <si>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</si>
  <si>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</si>
  <si>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</si>
  <si>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</si>
  <si>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</si>
  <si>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</si>
  <si>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</si>
  <si>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</si>
  <si>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</si>
  <si>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</si>
  <si>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</si>
  <si>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</si>
  <si>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</si>
  <si>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</si>
  <si>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</si>
  <si>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</si>
  <si>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</si>
  <si>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</si>
  <si>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</si>
  <si>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</si>
  <si>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</si>
  <si>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</si>
  <si>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</si>
  <si>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</si>
  <si>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</si>
  <si>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</si>
  <si>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</si>
  <si>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</si>
  <si>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</si>
  <si>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</si>
  <si>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</si>
  <si>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</si>
  <si>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</si>
  <si>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</si>
  <si>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</si>
  <si>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</si>
  <si>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</si>
  <si>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</si>
  <si>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</si>
  <si>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</si>
  <si>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</si>
  <si>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</si>
  <si>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</si>
  <si>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</si>
  <si>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</si>
  <si>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</si>
  <si>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</si>
  <si>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</si>
  <si>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</si>
  <si>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</si>
  <si>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</si>
  <si>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</si>
  <si>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</si>
  <si>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</si>
  <si>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</si>
  <si>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</si>
  <si>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</si>
  <si>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</si>
  <si>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</si>
  <si>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</si>
  <si>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</si>
  <si>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</si>
  <si>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</si>
  <si>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</si>
  <si>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</si>
  <si>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</si>
  <si>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</si>
  <si>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</si>
  <si>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</si>
  <si>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</si>
  <si>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</si>
  <si>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</si>
  <si>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</si>
  <si>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</si>
  <si>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</si>
  <si>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</si>
  <si>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</si>
  <si>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</si>
  <si>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</si>
  <si>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</si>
  <si>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</si>
  <si>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</si>
  <si>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</si>
  <si>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</si>
  <si>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</si>
  <si>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</si>
  <si>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</si>
  <si>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</si>
  <si>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</si>
  <si>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</si>
  <si>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</si>
  <si>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</si>
  <si>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</si>
  <si>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</si>
  <si>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</si>
  <si>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</si>
  <si>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</si>
  <si>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</si>
  <si>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</si>
  <si>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</si>
  <si>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</si>
  <si>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</si>
  <si>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</si>
  <si>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</si>
  <si>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</si>
  <si>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</si>
  <si>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</si>
  <si>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</si>
  <si>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</si>
  <si>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</si>
  <si>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</si>
  <si>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</si>
  <si>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</si>
  <si>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</si>
  <si>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</si>
  <si>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</si>
  <si>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</si>
  <si>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</si>
  <si>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</si>
  <si>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</si>
  <si>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</si>
  <si>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</si>
  <si>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</si>
  <si>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</si>
  <si>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</si>
  <si>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Если тут ноль работы исключены</t>
  </si>
  <si>
    <t>раб</t>
  </si>
  <si>
    <t>мат</t>
  </si>
  <si>
    <t>исключено</t>
  </si>
  <si>
    <t>до искл</t>
  </si>
  <si>
    <t>после искл</t>
  </si>
  <si>
    <t>Пути</t>
  </si>
  <si>
    <t>Коммуникации</t>
  </si>
  <si>
    <t>Эстакада</t>
  </si>
  <si>
    <t>СМР</t>
  </si>
  <si>
    <t>Материал</t>
  </si>
  <si>
    <t>Раздел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</si>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</sst>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173" fontId="11" fillId="0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167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0" fillId="0" borderId="0" xfId="0" applyFill="1" applyAlignment="1">
      <alignment horizontal="left"/>
    </xf>
    <xf numFmtId="49" fontId="16" fillId="7" borderId="1" xfId="3" applyNumberFormat="1" applyFont="1" applyFill="1" applyBorder="1" applyAlignment="1">
      <alignment horizontal="right" vertical="center"/>
    </xf>
    <xf numFmtId="43" fontId="16" fillId="0" borderId="1" xfId="1" applyNumberFormat="1" applyFont="1" applyBorder="1" applyAlignment="1">
      <alignment vertical="center"/>
    </xf>
    <xf numFmtId="2" fontId="16" fillId="7" borderId="1" xfId="3" applyNumberFormat="1" applyFont="1" applyFill="1" applyBorder="1" applyAlignment="1">
      <alignment horizontal="right" vertical="center"/>
    </xf>
    <xf numFmtId="0" fontId="16" fillId="7" borderId="1" xfId="3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2" fontId="16" fillId="0" borderId="1" xfId="3" applyNumberFormat="1" applyFont="1" applyBorder="1" applyAlignment="1">
      <alignment horizontal="right" vertical="center"/>
    </xf>
    <xf numFmtId="0" fontId="16" fillId="0" borderId="1" xfId="3" applyNumberFormat="1" applyFont="1" applyBorder="1" applyAlignment="1">
      <alignment horizontal="right"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17" fillId="4" borderId="1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vertical="center" wrapText="1"/>
    </xf>
    <xf numFmtId="4" fontId="35" fillId="4" borderId="1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0" fontId="0" fillId="18" borderId="0" xfId="0" applyFill="1" applyAlignment="1">
      <alignment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9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30</xdr:col>
      <xdr:colOff>21053</xdr:colOff>
      <xdr:row>43</xdr:row>
      <xdr:rowOff>168813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864D45-6B01-45EE-A86D-DF6C0E25B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5" y="0"/>
          <a:ext cx="14354273" cy="83107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0" t="s">
        <v>5</v>
      </c>
      <c r="B2" s="471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68">
        <f>H33/2</f>
        <v>7942400</v>
      </c>
      <c r="H33" s="468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69"/>
      <c r="H34" s="469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72" t="s">
        <v>117</v>
      </c>
      <c r="B59" s="472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517" t="s">
        <v>200</v>
      </c>
      <c r="B1" s="517" t="s">
        <v>201</v>
      </c>
      <c r="C1" s="519" t="s">
        <v>700</v>
      </c>
      <c r="D1" s="519" t="s">
        <v>202</v>
      </c>
      <c r="E1" s="518" t="s">
        <v>698</v>
      </c>
      <c r="F1" s="518"/>
      <c r="G1" s="518"/>
    </row>
    <row r="2" spans="1:7" ht="27.6" x14ac:dyDescent="0.3">
      <c r="A2" s="517"/>
      <c r="B2" s="517"/>
      <c r="C2" s="519"/>
      <c r="D2" s="519"/>
      <c r="E2" s="92" t="s">
        <v>196</v>
      </c>
      <c r="F2" s="93" t="s">
        <v>197</v>
      </c>
      <c r="G2" s="93" t="s">
        <v>199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x14ac:dyDescent="0.3">
      <c r="A4" s="107">
        <v>1</v>
      </c>
      <c r="B4" s="95" t="s">
        <v>161</v>
      </c>
      <c r="C4" s="107" t="s">
        <v>193</v>
      </c>
      <c r="D4" s="107">
        <v>190.476</v>
      </c>
      <c r="E4" s="97">
        <f>ROUND(1584/1.2,2)</f>
        <v>1320</v>
      </c>
      <c r="F4" s="102">
        <f>ROUND(E4*D4,2)</f>
        <v>251428.32</v>
      </c>
      <c r="G4" s="102">
        <f>ROUND(F4*1.2,2)</f>
        <v>301713.98</v>
      </c>
    </row>
    <row r="5" spans="1:7" x14ac:dyDescent="0.3">
      <c r="A5" s="107">
        <f>A4+1</f>
        <v>2</v>
      </c>
      <c r="B5" s="95" t="s">
        <v>711</v>
      </c>
      <c r="C5" s="107" t="s">
        <v>193</v>
      </c>
      <c r="D5" s="107">
        <v>642.83000000000004</v>
      </c>
      <c r="E5" s="97">
        <f>ROUND(5300/1.2,2)</f>
        <v>4416.67</v>
      </c>
      <c r="F5" s="102">
        <f t="shared" ref="F5:F10" si="0">ROUND(E5*D5,2)</f>
        <v>2839167.98</v>
      </c>
      <c r="G5" s="102">
        <f t="shared" ref="G5:G10" si="1">ROUND(F5*1.2,2)</f>
        <v>3407001.58</v>
      </c>
    </row>
    <row r="6" spans="1:7" x14ac:dyDescent="0.3">
      <c r="A6" s="107">
        <f>A5+1</f>
        <v>3</v>
      </c>
      <c r="B6" s="95" t="s">
        <v>203</v>
      </c>
      <c r="C6" s="107" t="s">
        <v>431</v>
      </c>
      <c r="D6" s="109">
        <f>300*3</f>
        <v>900</v>
      </c>
      <c r="E6" s="97">
        <f>ROUND(184/1.2,2)</f>
        <v>153.33000000000001</v>
      </c>
      <c r="F6" s="102">
        <f t="shared" si="0"/>
        <v>137997</v>
      </c>
      <c r="G6" s="102">
        <f t="shared" si="1"/>
        <v>165596.4</v>
      </c>
    </row>
    <row r="7" spans="1:7" ht="20.25" customHeight="1" x14ac:dyDescent="0.3">
      <c r="A7" s="107">
        <f t="shared" ref="A7:A11" si="2">A6+1</f>
        <v>4</v>
      </c>
      <c r="B7" s="95" t="s">
        <v>204</v>
      </c>
      <c r="C7" s="107" t="s">
        <v>194</v>
      </c>
      <c r="D7" s="109">
        <v>145.63</v>
      </c>
      <c r="E7" s="97">
        <f>ROUND(16500/1.2,2)</f>
        <v>13750</v>
      </c>
      <c r="F7" s="102">
        <f t="shared" si="0"/>
        <v>2002412.5</v>
      </c>
      <c r="G7" s="102">
        <f t="shared" si="1"/>
        <v>2402895</v>
      </c>
    </row>
    <row r="8" spans="1:7" ht="39" customHeight="1" x14ac:dyDescent="0.3">
      <c r="A8" s="107">
        <f t="shared" si="2"/>
        <v>5</v>
      </c>
      <c r="B8" s="95" t="s">
        <v>205</v>
      </c>
      <c r="C8" s="107" t="s">
        <v>194</v>
      </c>
      <c r="D8" s="109">
        <v>284</v>
      </c>
      <c r="E8" s="97">
        <f>ROUND(34100/1.2,2)</f>
        <v>28416.67</v>
      </c>
      <c r="F8" s="102">
        <f t="shared" si="0"/>
        <v>8070334.2800000003</v>
      </c>
      <c r="G8" s="102">
        <f t="shared" si="1"/>
        <v>9684401.1400000006</v>
      </c>
    </row>
    <row r="9" spans="1:7" x14ac:dyDescent="0.3">
      <c r="A9" s="107">
        <f t="shared" si="2"/>
        <v>6</v>
      </c>
      <c r="B9" s="95" t="s">
        <v>701</v>
      </c>
      <c r="C9" s="96" t="s">
        <v>178</v>
      </c>
      <c r="D9" s="109">
        <v>276</v>
      </c>
      <c r="E9" s="97">
        <f>ROUND(200/1.2,2)</f>
        <v>166.67</v>
      </c>
      <c r="F9" s="102">
        <f t="shared" si="0"/>
        <v>46000.92</v>
      </c>
      <c r="G9" s="102">
        <f t="shared" si="1"/>
        <v>55201.1</v>
      </c>
    </row>
    <row r="10" spans="1:7" x14ac:dyDescent="0.3">
      <c r="A10" s="107">
        <f t="shared" si="2"/>
        <v>7</v>
      </c>
      <c r="B10" s="95" t="s">
        <v>702</v>
      </c>
      <c r="C10" s="96" t="s">
        <v>178</v>
      </c>
      <c r="D10" s="109">
        <v>92</v>
      </c>
      <c r="E10" s="97">
        <f>ROUND(5841/1.2,2)</f>
        <v>4867.5</v>
      </c>
      <c r="F10" s="102">
        <f t="shared" si="0"/>
        <v>447810</v>
      </c>
      <c r="G10" s="102">
        <f t="shared" si="1"/>
        <v>537372</v>
      </c>
    </row>
    <row r="11" spans="1:7" x14ac:dyDescent="0.3">
      <c r="A11" s="66">
        <f t="shared" si="2"/>
        <v>8</v>
      </c>
      <c r="B11" s="213" t="s">
        <v>714</v>
      </c>
      <c r="C11" s="201" t="s">
        <v>730</v>
      </c>
      <c r="D11" s="87">
        <v>1</v>
      </c>
      <c r="E11" s="202">
        <v>330000</v>
      </c>
      <c r="F11" s="203">
        <f t="shared" ref="F11" si="3">ROUND(E11*D11,2)</f>
        <v>330000</v>
      </c>
      <c r="G11" s="203">
        <f t="shared" ref="G11" si="4">ROUND(F11*1.2,2)</f>
        <v>396000</v>
      </c>
    </row>
    <row r="12" spans="1:7" s="1" customFormat="1" x14ac:dyDescent="0.3">
      <c r="A12" s="100"/>
      <c r="B12" s="502" t="s">
        <v>716</v>
      </c>
      <c r="C12" s="503"/>
      <c r="D12" s="503"/>
      <c r="E12" s="504"/>
      <c r="F12" s="111">
        <f>SUM(F4:F11)</f>
        <v>14125151</v>
      </c>
      <c r="G12" s="111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386"/>
  <sheetViews>
    <sheetView topLeftCell="A382" zoomScale="85" zoomScaleNormal="85" zoomScaleSheetLayoutView="80" workbookViewId="0">
      <selection activeCell="D231" sqref="D231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8.88671875" style="454"/>
    <col min="9" max="9" width="16.6640625" customWidth="1"/>
  </cols>
  <sheetData>
    <row r="1" spans="1:10" x14ac:dyDescent="0.3">
      <c r="A1" s="506" t="s">
        <v>226</v>
      </c>
      <c r="B1" s="486" t="s">
        <v>201</v>
      </c>
      <c r="C1" s="486" t="s">
        <v>230</v>
      </c>
      <c r="D1" s="486" t="s">
        <v>202</v>
      </c>
      <c r="E1" s="526" t="s">
        <v>441</v>
      </c>
      <c r="F1" s="526" t="s">
        <v>433</v>
      </c>
      <c r="G1" s="528" t="s">
        <v>409</v>
      </c>
    </row>
    <row r="2" spans="1:10" ht="56.4" customHeight="1" x14ac:dyDescent="0.3">
      <c r="A2" s="506"/>
      <c r="B2" s="486"/>
      <c r="C2" s="486"/>
      <c r="D2" s="486"/>
      <c r="E2" s="527"/>
      <c r="F2" s="527"/>
      <c r="G2" s="529"/>
      <c r="J2" s="382"/>
    </row>
    <row r="3" spans="1:10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27.6" x14ac:dyDescent="0.3">
      <c r="A4" s="154"/>
      <c r="B4" s="173" t="s">
        <v>550</v>
      </c>
      <c r="C4" s="162"/>
      <c r="D4" s="162"/>
      <c r="E4" s="162"/>
      <c r="F4" s="162"/>
      <c r="G4" s="162"/>
      <c r="J4" s="382"/>
    </row>
    <row r="5" spans="1:10" ht="18" customHeight="1" x14ac:dyDescent="0.3">
      <c r="A5" s="152"/>
      <c r="B5" s="85" t="s">
        <v>513</v>
      </c>
      <c r="C5" s="160"/>
      <c r="D5" s="160"/>
      <c r="E5" s="163"/>
      <c r="F5" s="86"/>
      <c r="G5" s="169"/>
    </row>
    <row r="6" spans="1:10" ht="20.25" customHeight="1" x14ac:dyDescent="0.3">
      <c r="A6" s="87">
        <v>1</v>
      </c>
      <c r="B6" s="67" t="s">
        <v>636</v>
      </c>
      <c r="C6" s="109" t="s">
        <v>193</v>
      </c>
      <c r="D6" s="164">
        <v>160</v>
      </c>
      <c r="E6" s="171">
        <v>464.82929999999999</v>
      </c>
      <c r="F6" s="102">
        <f t="shared" ref="F6:F16" si="0">ROUND(E6*D6,2)</f>
        <v>74372.69</v>
      </c>
      <c r="G6" s="102">
        <f>ROUND(F6*1.2,2)</f>
        <v>89247.23</v>
      </c>
    </row>
    <row r="7" spans="1:10" ht="27.6" x14ac:dyDescent="0.3">
      <c r="A7" s="87">
        <f>A6+1</f>
        <v>2</v>
      </c>
      <c r="B7" s="67" t="s">
        <v>637</v>
      </c>
      <c r="C7" s="66" t="s">
        <v>193</v>
      </c>
      <c r="D7" s="71">
        <v>92</v>
      </c>
      <c r="E7" s="171">
        <v>2881.94166</v>
      </c>
      <c r="F7" s="102">
        <f t="shared" si="0"/>
        <v>265138.63</v>
      </c>
      <c r="G7" s="102">
        <f t="shared" ref="G7:G35" si="1">ROUND(F7*1.2,2)</f>
        <v>318166.36</v>
      </c>
    </row>
    <row r="8" spans="1:10" ht="15.6" x14ac:dyDescent="0.3">
      <c r="A8" s="87">
        <f>A7+1</f>
        <v>3</v>
      </c>
      <c r="B8" s="67" t="s">
        <v>515</v>
      </c>
      <c r="C8" s="66" t="s">
        <v>193</v>
      </c>
      <c r="D8" s="71">
        <v>5</v>
      </c>
      <c r="E8" s="171">
        <v>2541.5435879999995</v>
      </c>
      <c r="F8" s="102">
        <f t="shared" si="0"/>
        <v>12707.72</v>
      </c>
      <c r="G8" s="102">
        <f t="shared" si="1"/>
        <v>15249.26</v>
      </c>
    </row>
    <row r="9" spans="1:10" ht="15.6" x14ac:dyDescent="0.3">
      <c r="A9" s="87">
        <f t="shared" ref="A9:A16" si="2">A8+1</f>
        <v>4</v>
      </c>
      <c r="B9" s="67" t="s">
        <v>521</v>
      </c>
      <c r="C9" s="66" t="s">
        <v>193</v>
      </c>
      <c r="D9" s="71">
        <v>3</v>
      </c>
      <c r="E9" s="171">
        <v>1972.306476</v>
      </c>
      <c r="F9" s="102">
        <f t="shared" si="0"/>
        <v>5916.92</v>
      </c>
      <c r="G9" s="102">
        <f t="shared" si="1"/>
        <v>7100.3</v>
      </c>
    </row>
    <row r="10" spans="1:10" ht="15.6" x14ac:dyDescent="0.3">
      <c r="A10" s="87">
        <f t="shared" si="2"/>
        <v>5</v>
      </c>
      <c r="B10" s="67" t="s">
        <v>522</v>
      </c>
      <c r="C10" s="66" t="s">
        <v>193</v>
      </c>
      <c r="D10" s="71">
        <v>10</v>
      </c>
      <c r="E10" s="171">
        <v>1972.306476</v>
      </c>
      <c r="F10" s="102">
        <f t="shared" si="0"/>
        <v>19723.060000000001</v>
      </c>
      <c r="G10" s="102">
        <f t="shared" si="1"/>
        <v>23667.67</v>
      </c>
    </row>
    <row r="11" spans="1:10" ht="15.6" x14ac:dyDescent="0.3">
      <c r="A11" s="87">
        <f t="shared" si="2"/>
        <v>6</v>
      </c>
      <c r="B11" s="67" t="s">
        <v>516</v>
      </c>
      <c r="C11" s="66" t="s">
        <v>193</v>
      </c>
      <c r="D11" s="71">
        <v>231</v>
      </c>
      <c r="E11" s="171">
        <v>178.78050000000002</v>
      </c>
      <c r="F11" s="102">
        <f t="shared" si="0"/>
        <v>41298.300000000003</v>
      </c>
      <c r="G11" s="102">
        <f t="shared" si="1"/>
        <v>49557.96</v>
      </c>
    </row>
    <row r="12" spans="1:10" ht="15.6" x14ac:dyDescent="0.3">
      <c r="A12" s="87">
        <f t="shared" si="2"/>
        <v>7</v>
      </c>
      <c r="B12" s="67" t="s">
        <v>638</v>
      </c>
      <c r="C12" s="66" t="s">
        <v>193</v>
      </c>
      <c r="D12" s="71">
        <v>12</v>
      </c>
      <c r="E12" s="171">
        <v>1285.789356</v>
      </c>
      <c r="F12" s="102">
        <f t="shared" si="0"/>
        <v>15429.47</v>
      </c>
      <c r="G12" s="102">
        <f t="shared" si="1"/>
        <v>18515.36</v>
      </c>
    </row>
    <row r="13" spans="1:10" ht="15.6" x14ac:dyDescent="0.3">
      <c r="A13" s="87">
        <f t="shared" si="2"/>
        <v>8</v>
      </c>
      <c r="B13" s="67" t="s">
        <v>451</v>
      </c>
      <c r="C13" s="66" t="s">
        <v>193</v>
      </c>
      <c r="D13" s="71">
        <v>231</v>
      </c>
      <c r="E13" s="171">
        <v>283.188312</v>
      </c>
      <c r="F13" s="102">
        <f t="shared" si="0"/>
        <v>65416.5</v>
      </c>
      <c r="G13" s="102">
        <f t="shared" si="1"/>
        <v>78499.8</v>
      </c>
    </row>
    <row r="14" spans="1:10" ht="15.6" x14ac:dyDescent="0.3">
      <c r="A14" s="87">
        <f t="shared" si="2"/>
        <v>9</v>
      </c>
      <c r="B14" s="67" t="s">
        <v>639</v>
      </c>
      <c r="C14" s="66" t="s">
        <v>431</v>
      </c>
      <c r="D14" s="71">
        <v>640</v>
      </c>
      <c r="E14" s="171">
        <v>178.78050000000002</v>
      </c>
      <c r="F14" s="102">
        <f t="shared" si="0"/>
        <v>114419.52</v>
      </c>
      <c r="G14" s="102">
        <f t="shared" si="1"/>
        <v>137303.42000000001</v>
      </c>
    </row>
    <row r="15" spans="1:10" ht="15.6" x14ac:dyDescent="0.3">
      <c r="A15" s="87">
        <f t="shared" si="2"/>
        <v>10</v>
      </c>
      <c r="B15" s="67" t="s">
        <v>518</v>
      </c>
      <c r="C15" s="66" t="s">
        <v>239</v>
      </c>
      <c r="D15" s="72">
        <v>22.4</v>
      </c>
      <c r="E15" s="171">
        <v>464.82929999999999</v>
      </c>
      <c r="F15" s="102">
        <f t="shared" si="0"/>
        <v>10412.18</v>
      </c>
      <c r="G15" s="102">
        <f t="shared" si="1"/>
        <v>12494.62</v>
      </c>
    </row>
    <row r="16" spans="1:10" ht="15.6" x14ac:dyDescent="0.3">
      <c r="A16" s="466">
        <f t="shared" si="2"/>
        <v>11</v>
      </c>
      <c r="B16" s="67" t="s">
        <v>503</v>
      </c>
      <c r="C16" s="66" t="s">
        <v>239</v>
      </c>
      <c r="D16" s="72">
        <v>22.4</v>
      </c>
      <c r="E16" s="171">
        <f>'исключение-свод'!D1</f>
        <v>4948.6400000000003</v>
      </c>
      <c r="F16" s="102">
        <f t="shared" si="0"/>
        <v>110849.54</v>
      </c>
      <c r="G16" s="102">
        <f t="shared" si="1"/>
        <v>133019.45000000001</v>
      </c>
    </row>
    <row r="17" spans="1:7" ht="15.6" x14ac:dyDescent="0.3">
      <c r="A17" s="87"/>
      <c r="B17" s="62" t="s">
        <v>523</v>
      </c>
      <c r="C17" s="66"/>
      <c r="D17" s="71"/>
      <c r="E17" s="171">
        <v>0</v>
      </c>
      <c r="F17" s="102"/>
      <c r="G17" s="102"/>
    </row>
    <row r="18" spans="1:7" ht="27.6" x14ac:dyDescent="0.3">
      <c r="A18" s="87">
        <f>A16+1</f>
        <v>12</v>
      </c>
      <c r="B18" s="67" t="s">
        <v>640</v>
      </c>
      <c r="C18" s="66" t="s">
        <v>194</v>
      </c>
      <c r="D18" s="71">
        <v>35</v>
      </c>
      <c r="E18" s="171">
        <v>1454.5581479999998</v>
      </c>
      <c r="F18" s="102">
        <f t="shared" ref="F18:F35" si="3">ROUND(E18*D18,2)</f>
        <v>50909.54</v>
      </c>
      <c r="G18" s="102">
        <f t="shared" si="1"/>
        <v>61091.45</v>
      </c>
    </row>
    <row r="19" spans="1:7" ht="27.6" x14ac:dyDescent="0.3">
      <c r="A19" s="87">
        <f>A18+1</f>
        <v>13</v>
      </c>
      <c r="B19" s="67" t="s">
        <v>641</v>
      </c>
      <c r="C19" s="66" t="s">
        <v>194</v>
      </c>
      <c r="D19" s="71">
        <v>3</v>
      </c>
      <c r="E19" s="171">
        <v>1041.2176320000001</v>
      </c>
      <c r="F19" s="102">
        <f t="shared" si="3"/>
        <v>3123.65</v>
      </c>
      <c r="G19" s="102">
        <f t="shared" si="1"/>
        <v>3748.38</v>
      </c>
    </row>
    <row r="20" spans="1:7" ht="27.6" x14ac:dyDescent="0.3">
      <c r="A20" s="87">
        <f t="shared" ref="A20:A35" si="4">A19+1</f>
        <v>14</v>
      </c>
      <c r="B20" s="67" t="s">
        <v>642</v>
      </c>
      <c r="C20" s="66" t="s">
        <v>194</v>
      </c>
      <c r="D20" s="153">
        <v>6</v>
      </c>
      <c r="E20" s="171">
        <v>2118.1913639999998</v>
      </c>
      <c r="F20" s="102">
        <f t="shared" si="3"/>
        <v>12709.15</v>
      </c>
      <c r="G20" s="102">
        <f t="shared" si="1"/>
        <v>15250.98</v>
      </c>
    </row>
    <row r="21" spans="1:7" ht="15.6" x14ac:dyDescent="0.3">
      <c r="A21" s="87">
        <f t="shared" si="4"/>
        <v>15</v>
      </c>
      <c r="B21" s="67" t="s">
        <v>643</v>
      </c>
      <c r="C21" s="66" t="s">
        <v>194</v>
      </c>
      <c r="D21" s="71">
        <v>6</v>
      </c>
      <c r="E21" s="171">
        <v>1577.5591319999999</v>
      </c>
      <c r="F21" s="102">
        <f t="shared" si="3"/>
        <v>9465.35</v>
      </c>
      <c r="G21" s="102">
        <f t="shared" si="1"/>
        <v>11358.42</v>
      </c>
    </row>
    <row r="22" spans="1:7" ht="15.6" x14ac:dyDescent="0.3">
      <c r="A22" s="87">
        <f t="shared" si="4"/>
        <v>16</v>
      </c>
      <c r="B22" s="67" t="s">
        <v>644</v>
      </c>
      <c r="C22" s="66" t="s">
        <v>645</v>
      </c>
      <c r="D22" s="71">
        <v>1</v>
      </c>
      <c r="E22" s="171">
        <v>4691.2003200000008</v>
      </c>
      <c r="F22" s="102">
        <f t="shared" si="3"/>
        <v>4691.2</v>
      </c>
      <c r="G22" s="102">
        <f t="shared" si="1"/>
        <v>5629.44</v>
      </c>
    </row>
    <row r="23" spans="1:7" ht="41.4" x14ac:dyDescent="0.3">
      <c r="A23" s="87">
        <f t="shared" si="4"/>
        <v>17</v>
      </c>
      <c r="B23" s="67" t="s">
        <v>646</v>
      </c>
      <c r="C23" s="66" t="s">
        <v>220</v>
      </c>
      <c r="D23" s="71">
        <v>2</v>
      </c>
      <c r="E23" s="171">
        <v>3518.4002399999999</v>
      </c>
      <c r="F23" s="102">
        <f t="shared" si="3"/>
        <v>7036.8</v>
      </c>
      <c r="G23" s="102">
        <f t="shared" si="1"/>
        <v>8444.16</v>
      </c>
    </row>
    <row r="24" spans="1:7" ht="15.6" x14ac:dyDescent="0.3">
      <c r="A24" s="87">
        <f t="shared" si="4"/>
        <v>18</v>
      </c>
      <c r="B24" s="67" t="s">
        <v>647</v>
      </c>
      <c r="C24" s="66" t="s">
        <v>220</v>
      </c>
      <c r="D24" s="71">
        <v>1</v>
      </c>
      <c r="E24" s="171">
        <v>4154.8588200000004</v>
      </c>
      <c r="F24" s="102">
        <f t="shared" si="3"/>
        <v>4154.8599999999997</v>
      </c>
      <c r="G24" s="102">
        <f t="shared" si="1"/>
        <v>4985.83</v>
      </c>
    </row>
    <row r="25" spans="1:7" ht="15.6" x14ac:dyDescent="0.3">
      <c r="A25" s="87">
        <f t="shared" si="4"/>
        <v>19</v>
      </c>
      <c r="B25" s="67" t="s">
        <v>648</v>
      </c>
      <c r="C25" s="66" t="s">
        <v>220</v>
      </c>
      <c r="D25" s="71">
        <v>1</v>
      </c>
      <c r="E25" s="171">
        <v>7138.347804</v>
      </c>
      <c r="F25" s="102">
        <f t="shared" si="3"/>
        <v>7138.35</v>
      </c>
      <c r="G25" s="102">
        <f t="shared" si="1"/>
        <v>8566.02</v>
      </c>
    </row>
    <row r="26" spans="1:7" ht="27.6" x14ac:dyDescent="0.3">
      <c r="A26" s="87">
        <f t="shared" si="4"/>
        <v>20</v>
      </c>
      <c r="B26" s="67" t="s">
        <v>649</v>
      </c>
      <c r="C26" s="66" t="s">
        <v>220</v>
      </c>
      <c r="D26" s="71">
        <v>2</v>
      </c>
      <c r="E26" s="171">
        <v>3569.8890239999996</v>
      </c>
      <c r="F26" s="102">
        <f t="shared" si="3"/>
        <v>7139.78</v>
      </c>
      <c r="G26" s="102">
        <f t="shared" si="1"/>
        <v>8567.74</v>
      </c>
    </row>
    <row r="27" spans="1:7" ht="27.6" x14ac:dyDescent="0.3">
      <c r="A27" s="87">
        <f t="shared" si="4"/>
        <v>21</v>
      </c>
      <c r="B27" s="67" t="s">
        <v>650</v>
      </c>
      <c r="C27" s="66" t="s">
        <v>220</v>
      </c>
      <c r="D27" s="71">
        <v>1</v>
      </c>
      <c r="E27" s="171">
        <v>3569.8890239999996</v>
      </c>
      <c r="F27" s="102">
        <f t="shared" si="3"/>
        <v>3569.89</v>
      </c>
      <c r="G27" s="102">
        <f t="shared" si="1"/>
        <v>4283.87</v>
      </c>
    </row>
    <row r="28" spans="1:7" ht="15.6" x14ac:dyDescent="0.3">
      <c r="A28" s="87">
        <f t="shared" si="4"/>
        <v>22</v>
      </c>
      <c r="B28" s="67" t="s">
        <v>651</v>
      </c>
      <c r="C28" s="66" t="s">
        <v>220</v>
      </c>
      <c r="D28" s="71">
        <v>1</v>
      </c>
      <c r="E28" s="171">
        <v>3568.4587799999999</v>
      </c>
      <c r="F28" s="102">
        <f t="shared" si="3"/>
        <v>3568.46</v>
      </c>
      <c r="G28" s="102">
        <f t="shared" si="1"/>
        <v>4282.1499999999996</v>
      </c>
    </row>
    <row r="29" spans="1:7" ht="41.4" x14ac:dyDescent="0.3">
      <c r="A29" s="87">
        <f t="shared" si="4"/>
        <v>23</v>
      </c>
      <c r="B29" s="67" t="s">
        <v>652</v>
      </c>
      <c r="C29" s="66" t="s">
        <v>220</v>
      </c>
      <c r="D29" s="71">
        <v>1</v>
      </c>
      <c r="E29" s="171">
        <v>4884.2832600000002</v>
      </c>
      <c r="F29" s="102">
        <f t="shared" si="3"/>
        <v>4884.28</v>
      </c>
      <c r="G29" s="102">
        <f t="shared" si="1"/>
        <v>5861.14</v>
      </c>
    </row>
    <row r="30" spans="1:7" ht="15.6" x14ac:dyDescent="0.3">
      <c r="A30" s="87">
        <f t="shared" si="4"/>
        <v>24</v>
      </c>
      <c r="B30" s="67" t="s">
        <v>653</v>
      </c>
      <c r="C30" s="66" t="s">
        <v>220</v>
      </c>
      <c r="D30" s="71">
        <v>1</v>
      </c>
      <c r="E30" s="171">
        <v>7082.5682879999995</v>
      </c>
      <c r="F30" s="102">
        <f t="shared" si="3"/>
        <v>7082.57</v>
      </c>
      <c r="G30" s="102">
        <f t="shared" si="1"/>
        <v>8499.08</v>
      </c>
    </row>
    <row r="31" spans="1:7" ht="15.6" x14ac:dyDescent="0.3">
      <c r="A31" s="87">
        <f t="shared" si="4"/>
        <v>25</v>
      </c>
      <c r="B31" s="67" t="s">
        <v>654</v>
      </c>
      <c r="C31" s="66" t="s">
        <v>220</v>
      </c>
      <c r="D31" s="71">
        <v>1</v>
      </c>
      <c r="E31" s="171">
        <v>2236.9016159999996</v>
      </c>
      <c r="F31" s="102">
        <f t="shared" si="3"/>
        <v>2236.9</v>
      </c>
      <c r="G31" s="102">
        <f t="shared" si="1"/>
        <v>2684.28</v>
      </c>
    </row>
    <row r="32" spans="1:7" ht="27.6" x14ac:dyDescent="0.3">
      <c r="A32" s="87">
        <f t="shared" si="4"/>
        <v>26</v>
      </c>
      <c r="B32" s="67" t="s">
        <v>655</v>
      </c>
      <c r="C32" s="66" t="s">
        <v>220</v>
      </c>
      <c r="D32" s="71">
        <v>1</v>
      </c>
      <c r="E32" s="171">
        <v>21719.685384</v>
      </c>
      <c r="F32" s="102">
        <f t="shared" si="3"/>
        <v>21719.69</v>
      </c>
      <c r="G32" s="102">
        <f t="shared" si="1"/>
        <v>26063.63</v>
      </c>
    </row>
    <row r="33" spans="1:7" ht="27.6" x14ac:dyDescent="0.3">
      <c r="A33" s="87">
        <f t="shared" si="4"/>
        <v>27</v>
      </c>
      <c r="B33" s="67" t="s">
        <v>656</v>
      </c>
      <c r="C33" s="66" t="s">
        <v>220</v>
      </c>
      <c r="D33" s="71">
        <v>1</v>
      </c>
      <c r="E33" s="171">
        <v>3725.7856199999997</v>
      </c>
      <c r="F33" s="102">
        <f t="shared" si="3"/>
        <v>3725.79</v>
      </c>
      <c r="G33" s="102">
        <f t="shared" si="1"/>
        <v>4470.95</v>
      </c>
    </row>
    <row r="34" spans="1:7" ht="15.6" x14ac:dyDescent="0.3">
      <c r="A34" s="87">
        <f t="shared" si="4"/>
        <v>28</v>
      </c>
      <c r="B34" s="67" t="s">
        <v>657</v>
      </c>
      <c r="C34" s="66" t="s">
        <v>193</v>
      </c>
      <c r="D34" s="68">
        <v>7.0000000000000007E-2</v>
      </c>
      <c r="E34" s="171">
        <v>1234.3005719999999</v>
      </c>
      <c r="F34" s="102">
        <f t="shared" si="3"/>
        <v>86.4</v>
      </c>
      <c r="G34" s="102">
        <f t="shared" si="1"/>
        <v>103.68</v>
      </c>
    </row>
    <row r="35" spans="1:7" ht="27.6" x14ac:dyDescent="0.3">
      <c r="A35" s="87">
        <f t="shared" si="4"/>
        <v>29</v>
      </c>
      <c r="B35" s="265" t="s">
        <v>1078</v>
      </c>
      <c r="C35" s="87" t="s">
        <v>193</v>
      </c>
      <c r="D35" s="227">
        <v>0.5</v>
      </c>
      <c r="E35" s="171">
        <v>13196.947202639998</v>
      </c>
      <c r="F35" s="103">
        <f t="shared" si="3"/>
        <v>6598.47</v>
      </c>
      <c r="G35" s="103">
        <f t="shared" si="1"/>
        <v>7918.16</v>
      </c>
    </row>
    <row r="36" spans="1:7" ht="33" customHeight="1" x14ac:dyDescent="0.3">
      <c r="A36" s="154"/>
      <c r="B36" s="222" t="s">
        <v>1160</v>
      </c>
      <c r="C36" s="162"/>
      <c r="D36" s="162"/>
      <c r="E36" s="162"/>
      <c r="F36" s="162"/>
      <c r="G36" s="162"/>
    </row>
    <row r="37" spans="1:7" ht="15.6" x14ac:dyDescent="0.3">
      <c r="A37" s="87"/>
      <c r="B37" s="85" t="s">
        <v>513</v>
      </c>
      <c r="C37" s="87"/>
      <c r="D37" s="153"/>
      <c r="E37" s="171">
        <v>0</v>
      </c>
      <c r="F37" s="161"/>
      <c r="G37" s="266"/>
    </row>
    <row r="38" spans="1:7" ht="15.6" x14ac:dyDescent="0.3">
      <c r="A38" s="87">
        <f>A35+1</f>
        <v>30</v>
      </c>
      <c r="B38" s="244" t="s">
        <v>636</v>
      </c>
      <c r="C38" s="87" t="s">
        <v>193</v>
      </c>
      <c r="D38" s="153">
        <v>790</v>
      </c>
      <c r="E38" s="171">
        <v>464.82929999999999</v>
      </c>
      <c r="F38" s="103">
        <f t="shared" ref="F38:F47" si="5">ROUND(E38*D38,2)</f>
        <v>367215.15</v>
      </c>
      <c r="G38" s="103">
        <f t="shared" ref="G38:G47" si="6">ROUND(F38*1.2,2)</f>
        <v>440658.18</v>
      </c>
    </row>
    <row r="39" spans="1:7" ht="15.6" x14ac:dyDescent="0.3">
      <c r="A39" s="87">
        <f>A38+1</f>
        <v>31</v>
      </c>
      <c r="B39" s="244" t="s">
        <v>515</v>
      </c>
      <c r="C39" s="87" t="s">
        <v>193</v>
      </c>
      <c r="D39" s="153">
        <v>24</v>
      </c>
      <c r="E39" s="171">
        <v>2541.5435879999995</v>
      </c>
      <c r="F39" s="103">
        <f t="shared" si="5"/>
        <v>60997.05</v>
      </c>
      <c r="G39" s="103">
        <f t="shared" si="6"/>
        <v>73196.460000000006</v>
      </c>
    </row>
    <row r="40" spans="1:7" ht="15.6" x14ac:dyDescent="0.3">
      <c r="A40" s="87">
        <f t="shared" ref="A40:A47" si="7">A39+1</f>
        <v>32</v>
      </c>
      <c r="B40" s="244" t="s">
        <v>521</v>
      </c>
      <c r="C40" s="87" t="s">
        <v>193</v>
      </c>
      <c r="D40" s="153">
        <v>8</v>
      </c>
      <c r="E40" s="171">
        <v>1972.306476</v>
      </c>
      <c r="F40" s="103">
        <f t="shared" si="5"/>
        <v>15778.45</v>
      </c>
      <c r="G40" s="103">
        <f t="shared" si="6"/>
        <v>18934.14</v>
      </c>
    </row>
    <row r="41" spans="1:7" ht="15.6" x14ac:dyDescent="0.3">
      <c r="A41" s="87">
        <f t="shared" si="7"/>
        <v>33</v>
      </c>
      <c r="B41" s="244" t="s">
        <v>522</v>
      </c>
      <c r="C41" s="87" t="s">
        <v>193</v>
      </c>
      <c r="D41" s="228">
        <v>106</v>
      </c>
      <c r="E41" s="171">
        <v>1972.306476</v>
      </c>
      <c r="F41" s="103">
        <f t="shared" si="5"/>
        <v>209064.49</v>
      </c>
      <c r="G41" s="103">
        <f t="shared" si="6"/>
        <v>250877.39</v>
      </c>
    </row>
    <row r="42" spans="1:7" ht="15.6" x14ac:dyDescent="0.3">
      <c r="A42" s="87">
        <f t="shared" si="7"/>
        <v>34</v>
      </c>
      <c r="B42" s="244" t="s">
        <v>516</v>
      </c>
      <c r="C42" s="87" t="s">
        <v>193</v>
      </c>
      <c r="D42" s="153">
        <v>663</v>
      </c>
      <c r="E42" s="171">
        <v>178.78050000000002</v>
      </c>
      <c r="F42" s="103">
        <f t="shared" si="5"/>
        <v>118531.47</v>
      </c>
      <c r="G42" s="103">
        <f t="shared" si="6"/>
        <v>142237.76000000001</v>
      </c>
    </row>
    <row r="43" spans="1:7" ht="15.6" x14ac:dyDescent="0.3">
      <c r="A43" s="87">
        <f t="shared" si="7"/>
        <v>35</v>
      </c>
      <c r="B43" s="244" t="s">
        <v>638</v>
      </c>
      <c r="C43" s="87" t="s">
        <v>193</v>
      </c>
      <c r="D43" s="153">
        <v>35</v>
      </c>
      <c r="E43" s="171">
        <v>1285.789356</v>
      </c>
      <c r="F43" s="103">
        <f t="shared" si="5"/>
        <v>45002.63</v>
      </c>
      <c r="G43" s="103">
        <f t="shared" si="6"/>
        <v>54003.16</v>
      </c>
    </row>
    <row r="44" spans="1:7" ht="15.6" x14ac:dyDescent="0.3">
      <c r="A44" s="87">
        <f t="shared" si="7"/>
        <v>36</v>
      </c>
      <c r="B44" s="244" t="s">
        <v>451</v>
      </c>
      <c r="C44" s="87" t="s">
        <v>193</v>
      </c>
      <c r="D44" s="153">
        <v>116</v>
      </c>
      <c r="E44" s="171">
        <v>283.188312</v>
      </c>
      <c r="F44" s="103">
        <f t="shared" si="5"/>
        <v>32849.839999999997</v>
      </c>
      <c r="G44" s="103">
        <f t="shared" si="6"/>
        <v>39419.81</v>
      </c>
    </row>
    <row r="45" spans="1:7" ht="15.6" x14ac:dyDescent="0.3">
      <c r="A45" s="87">
        <f t="shared" si="7"/>
        <v>37</v>
      </c>
      <c r="B45" s="244" t="s">
        <v>639</v>
      </c>
      <c r="C45" s="87" t="s">
        <v>431</v>
      </c>
      <c r="D45" s="268">
        <v>232</v>
      </c>
      <c r="E45" s="171">
        <v>178.78050000000002</v>
      </c>
      <c r="F45" s="103">
        <f t="shared" si="5"/>
        <v>41477.08</v>
      </c>
      <c r="G45" s="103">
        <f t="shared" si="6"/>
        <v>49772.5</v>
      </c>
    </row>
    <row r="46" spans="1:7" ht="15.6" x14ac:dyDescent="0.3">
      <c r="A46" s="87">
        <f t="shared" si="7"/>
        <v>38</v>
      </c>
      <c r="B46" s="244" t="s">
        <v>518</v>
      </c>
      <c r="C46" s="87" t="s">
        <v>239</v>
      </c>
      <c r="D46" s="228">
        <v>185.6</v>
      </c>
      <c r="E46" s="171">
        <v>464.82929999999999</v>
      </c>
      <c r="F46" s="103">
        <f t="shared" si="5"/>
        <v>86272.320000000007</v>
      </c>
      <c r="G46" s="103">
        <f t="shared" si="6"/>
        <v>103526.78</v>
      </c>
    </row>
    <row r="47" spans="1:7" ht="15.6" x14ac:dyDescent="0.3">
      <c r="A47" s="466">
        <f t="shared" si="7"/>
        <v>39</v>
      </c>
      <c r="B47" s="244" t="s">
        <v>503</v>
      </c>
      <c r="C47" s="87" t="s">
        <v>239</v>
      </c>
      <c r="D47" s="228">
        <v>185.6</v>
      </c>
      <c r="E47" s="171">
        <f>'исключение-свод'!D1</f>
        <v>4948.6400000000003</v>
      </c>
      <c r="F47" s="103">
        <f t="shared" si="5"/>
        <v>918467.58</v>
      </c>
      <c r="G47" s="103">
        <f t="shared" si="6"/>
        <v>1102161.1000000001</v>
      </c>
    </row>
    <row r="48" spans="1:7" ht="15.6" x14ac:dyDescent="0.3">
      <c r="A48" s="87"/>
      <c r="B48" s="85" t="s">
        <v>523</v>
      </c>
      <c r="C48" s="87"/>
      <c r="D48" s="153"/>
      <c r="E48" s="171">
        <v>0</v>
      </c>
      <c r="F48" s="161"/>
      <c r="G48" s="266"/>
    </row>
    <row r="49" spans="1:7" ht="27.6" x14ac:dyDescent="0.3">
      <c r="A49" s="87">
        <f>A47+1</f>
        <v>40</v>
      </c>
      <c r="B49" s="244" t="s">
        <v>640</v>
      </c>
      <c r="C49" s="87" t="s">
        <v>194</v>
      </c>
      <c r="D49" s="153">
        <v>101</v>
      </c>
      <c r="E49" s="171">
        <v>1454.5581479999998</v>
      </c>
      <c r="F49" s="103">
        <f t="shared" ref="F49:F56" si="8">ROUND(E49*D49,2)</f>
        <v>146910.37</v>
      </c>
      <c r="G49" s="103">
        <f t="shared" ref="G49:G56" si="9">ROUND(F49*1.2,2)</f>
        <v>176292.44</v>
      </c>
    </row>
    <row r="50" spans="1:7" ht="41.4" x14ac:dyDescent="0.3">
      <c r="A50" s="87">
        <f>A49+1</f>
        <v>41</v>
      </c>
      <c r="B50" s="244" t="s">
        <v>1158</v>
      </c>
      <c r="C50" s="87" t="s">
        <v>194</v>
      </c>
      <c r="D50" s="153">
        <v>12</v>
      </c>
      <c r="E50" s="171">
        <v>2183.9825879999994</v>
      </c>
      <c r="F50" s="103">
        <f t="shared" si="8"/>
        <v>26207.79</v>
      </c>
      <c r="G50" s="103">
        <f t="shared" si="9"/>
        <v>31449.35</v>
      </c>
    </row>
    <row r="51" spans="1:7" ht="15.6" x14ac:dyDescent="0.3">
      <c r="A51" s="87">
        <f t="shared" ref="A51:A56" si="10">A50+1</f>
        <v>42</v>
      </c>
      <c r="B51" s="244" t="s">
        <v>643</v>
      </c>
      <c r="C51" s="87" t="s">
        <v>194</v>
      </c>
      <c r="D51" s="153">
        <v>12</v>
      </c>
      <c r="E51" s="171">
        <v>1633.3386479999999</v>
      </c>
      <c r="F51" s="103">
        <f t="shared" si="8"/>
        <v>19600.060000000001</v>
      </c>
      <c r="G51" s="103">
        <f t="shared" si="9"/>
        <v>23520.07</v>
      </c>
    </row>
    <row r="52" spans="1:7" ht="15.6" x14ac:dyDescent="0.3">
      <c r="A52" s="87">
        <f t="shared" si="10"/>
        <v>43</v>
      </c>
      <c r="B52" s="244" t="s">
        <v>644</v>
      </c>
      <c r="C52" s="87" t="s">
        <v>645</v>
      </c>
      <c r="D52" s="153">
        <v>1</v>
      </c>
      <c r="E52" s="171">
        <v>4858.5388679999996</v>
      </c>
      <c r="F52" s="103">
        <f t="shared" si="8"/>
        <v>4858.54</v>
      </c>
      <c r="G52" s="103">
        <f t="shared" si="9"/>
        <v>5830.25</v>
      </c>
    </row>
    <row r="53" spans="1:7" ht="27.6" x14ac:dyDescent="0.3">
      <c r="A53" s="87">
        <f t="shared" si="10"/>
        <v>44</v>
      </c>
      <c r="B53" s="244" t="s">
        <v>662</v>
      </c>
      <c r="C53" s="87" t="s">
        <v>220</v>
      </c>
      <c r="D53" s="153">
        <v>2</v>
      </c>
      <c r="E53" s="171">
        <v>5708.1038040000003</v>
      </c>
      <c r="F53" s="103">
        <f t="shared" si="8"/>
        <v>11416.21</v>
      </c>
      <c r="G53" s="103">
        <f t="shared" si="9"/>
        <v>13699.45</v>
      </c>
    </row>
    <row r="54" spans="1:7" ht="27.6" x14ac:dyDescent="0.3">
      <c r="A54" s="87">
        <f t="shared" si="10"/>
        <v>45</v>
      </c>
      <c r="B54" s="244" t="s">
        <v>663</v>
      </c>
      <c r="C54" s="87" t="s">
        <v>220</v>
      </c>
      <c r="D54" s="153">
        <v>2</v>
      </c>
      <c r="E54" s="171">
        <v>2092.4469720000002</v>
      </c>
      <c r="F54" s="103">
        <f t="shared" si="8"/>
        <v>4184.8900000000003</v>
      </c>
      <c r="G54" s="103">
        <f t="shared" si="9"/>
        <v>5021.87</v>
      </c>
    </row>
    <row r="55" spans="1:7" ht="41.4" x14ac:dyDescent="0.3">
      <c r="A55" s="87">
        <f t="shared" si="10"/>
        <v>46</v>
      </c>
      <c r="B55" s="244" t="s">
        <v>652</v>
      </c>
      <c r="C55" s="87" t="s">
        <v>220</v>
      </c>
      <c r="D55" s="153">
        <v>2</v>
      </c>
      <c r="E55" s="171">
        <v>5055.9125400000003</v>
      </c>
      <c r="F55" s="103">
        <f t="shared" si="8"/>
        <v>10111.83</v>
      </c>
      <c r="G55" s="103">
        <f t="shared" si="9"/>
        <v>12134.2</v>
      </c>
    </row>
    <row r="56" spans="1:7" ht="27.6" x14ac:dyDescent="0.3">
      <c r="A56" s="87">
        <f t="shared" si="10"/>
        <v>47</v>
      </c>
      <c r="B56" s="265" t="s">
        <v>1155</v>
      </c>
      <c r="C56" s="87" t="s">
        <v>193</v>
      </c>
      <c r="D56" s="267">
        <v>0.3</v>
      </c>
      <c r="E56" s="171">
        <v>13196.947202639998</v>
      </c>
      <c r="F56" s="103">
        <f t="shared" si="8"/>
        <v>3959.08</v>
      </c>
      <c r="G56" s="103">
        <f t="shared" si="9"/>
        <v>4750.8999999999996</v>
      </c>
    </row>
    <row r="57" spans="1:7" ht="34.5" customHeight="1" x14ac:dyDescent="0.3">
      <c r="A57" s="154"/>
      <c r="B57" s="243" t="s">
        <v>1161</v>
      </c>
      <c r="C57" s="162"/>
      <c r="D57" s="162"/>
      <c r="E57" s="162"/>
      <c r="F57" s="162"/>
      <c r="G57" s="162"/>
    </row>
    <row r="58" spans="1:7" ht="15.6" x14ac:dyDescent="0.3">
      <c r="A58" s="87"/>
      <c r="B58" s="85" t="s">
        <v>513</v>
      </c>
      <c r="C58" s="87"/>
      <c r="D58" s="269"/>
      <c r="E58" s="171">
        <v>0</v>
      </c>
      <c r="F58" s="161"/>
      <c r="G58" s="266"/>
    </row>
    <row r="59" spans="1:7" ht="15.6" x14ac:dyDescent="0.3">
      <c r="A59" s="87">
        <f>A56+1</f>
        <v>48</v>
      </c>
      <c r="B59" s="244" t="s">
        <v>636</v>
      </c>
      <c r="C59" s="87" t="s">
        <v>193</v>
      </c>
      <c r="D59" s="153">
        <v>177</v>
      </c>
      <c r="E59" s="171">
        <v>464.82929999999999</v>
      </c>
      <c r="F59" s="103">
        <f t="shared" ref="F59:F68" si="11">ROUND(E59*D59,2)</f>
        <v>82274.789999999994</v>
      </c>
      <c r="G59" s="103">
        <f t="shared" ref="G59:G68" si="12">ROUND(F59*1.2,2)</f>
        <v>98729.75</v>
      </c>
    </row>
    <row r="60" spans="1:7" ht="15.6" x14ac:dyDescent="0.3">
      <c r="A60" s="87">
        <f>A59+1</f>
        <v>49</v>
      </c>
      <c r="B60" s="244" t="s">
        <v>515</v>
      </c>
      <c r="C60" s="87" t="s">
        <v>193</v>
      </c>
      <c r="D60" s="228">
        <v>5.5</v>
      </c>
      <c r="E60" s="171">
        <v>2541.5435879999995</v>
      </c>
      <c r="F60" s="103">
        <f t="shared" si="11"/>
        <v>13978.49</v>
      </c>
      <c r="G60" s="103">
        <f t="shared" si="12"/>
        <v>16774.189999999999</v>
      </c>
    </row>
    <row r="61" spans="1:7" ht="15.6" x14ac:dyDescent="0.3">
      <c r="A61" s="87">
        <f t="shared" ref="A61:A68" si="13">A60+1</f>
        <v>50</v>
      </c>
      <c r="B61" s="244" t="s">
        <v>521</v>
      </c>
      <c r="C61" s="87" t="s">
        <v>193</v>
      </c>
      <c r="D61" s="153">
        <v>3</v>
      </c>
      <c r="E61" s="171">
        <v>1972.306476</v>
      </c>
      <c r="F61" s="103">
        <f t="shared" si="11"/>
        <v>5916.92</v>
      </c>
      <c r="G61" s="103">
        <f t="shared" si="12"/>
        <v>7100.3</v>
      </c>
    </row>
    <row r="62" spans="1:7" ht="15.6" x14ac:dyDescent="0.3">
      <c r="A62" s="87">
        <f t="shared" si="13"/>
        <v>51</v>
      </c>
      <c r="B62" s="244" t="s">
        <v>522</v>
      </c>
      <c r="C62" s="87" t="s">
        <v>193</v>
      </c>
      <c r="D62" s="228">
        <v>44</v>
      </c>
      <c r="E62" s="171">
        <v>1972.306476</v>
      </c>
      <c r="F62" s="103">
        <f t="shared" si="11"/>
        <v>86781.48</v>
      </c>
      <c r="G62" s="103">
        <f t="shared" si="12"/>
        <v>104137.78</v>
      </c>
    </row>
    <row r="63" spans="1:7" ht="15.6" x14ac:dyDescent="0.3">
      <c r="A63" s="87">
        <f t="shared" si="13"/>
        <v>52</v>
      </c>
      <c r="B63" s="244" t="s">
        <v>516</v>
      </c>
      <c r="C63" s="87" t="s">
        <v>193</v>
      </c>
      <c r="D63" s="153">
        <v>125</v>
      </c>
      <c r="E63" s="171">
        <v>178.78050000000002</v>
      </c>
      <c r="F63" s="103">
        <f t="shared" si="11"/>
        <v>22347.56</v>
      </c>
      <c r="G63" s="103">
        <f t="shared" si="12"/>
        <v>26817.07</v>
      </c>
    </row>
    <row r="64" spans="1:7" ht="15.6" x14ac:dyDescent="0.3">
      <c r="A64" s="87">
        <f t="shared" si="13"/>
        <v>53</v>
      </c>
      <c r="B64" s="244" t="s">
        <v>638</v>
      </c>
      <c r="C64" s="87" t="s">
        <v>193</v>
      </c>
      <c r="D64" s="153">
        <v>7</v>
      </c>
      <c r="E64" s="171">
        <v>1285.789356</v>
      </c>
      <c r="F64" s="103">
        <f t="shared" si="11"/>
        <v>9000.5300000000007</v>
      </c>
      <c r="G64" s="103">
        <f t="shared" si="12"/>
        <v>10800.64</v>
      </c>
    </row>
    <row r="65" spans="1:8" ht="15.6" x14ac:dyDescent="0.3">
      <c r="A65" s="87">
        <f t="shared" si="13"/>
        <v>54</v>
      </c>
      <c r="B65" s="244" t="s">
        <v>451</v>
      </c>
      <c r="C65" s="87" t="s">
        <v>193</v>
      </c>
      <c r="D65" s="153">
        <v>125</v>
      </c>
      <c r="E65" s="171">
        <v>283.188312</v>
      </c>
      <c r="F65" s="103">
        <f t="shared" si="11"/>
        <v>35398.54</v>
      </c>
      <c r="G65" s="103">
        <f t="shared" si="12"/>
        <v>42478.25</v>
      </c>
    </row>
    <row r="66" spans="1:8" ht="15.6" x14ac:dyDescent="0.3">
      <c r="A66" s="87">
        <f t="shared" si="13"/>
        <v>55</v>
      </c>
      <c r="B66" s="244" t="s">
        <v>639</v>
      </c>
      <c r="C66" s="87" t="s">
        <v>431</v>
      </c>
      <c r="D66" s="153">
        <v>250</v>
      </c>
      <c r="E66" s="171">
        <v>178.78050000000002</v>
      </c>
      <c r="F66" s="103">
        <f t="shared" si="11"/>
        <v>44695.13</v>
      </c>
      <c r="G66" s="103">
        <f t="shared" si="12"/>
        <v>53634.16</v>
      </c>
    </row>
    <row r="67" spans="1:8" ht="15.6" x14ac:dyDescent="0.3">
      <c r="A67" s="87">
        <f t="shared" si="13"/>
        <v>56</v>
      </c>
      <c r="B67" s="244" t="s">
        <v>518</v>
      </c>
      <c r="C67" s="87" t="s">
        <v>239</v>
      </c>
      <c r="D67" s="228">
        <v>80.8</v>
      </c>
      <c r="E67" s="171">
        <v>464.82929999999999</v>
      </c>
      <c r="F67" s="103">
        <f t="shared" si="11"/>
        <v>37558.21</v>
      </c>
      <c r="G67" s="103">
        <f t="shared" si="12"/>
        <v>45069.85</v>
      </c>
    </row>
    <row r="68" spans="1:8" ht="15.6" x14ac:dyDescent="0.3">
      <c r="A68" s="466">
        <f t="shared" si="13"/>
        <v>57</v>
      </c>
      <c r="B68" s="244" t="s">
        <v>503</v>
      </c>
      <c r="C68" s="87" t="s">
        <v>239</v>
      </c>
      <c r="D68" s="228">
        <v>80.8</v>
      </c>
      <c r="E68" s="171">
        <f>'исключение-свод'!D1</f>
        <v>4948.6400000000003</v>
      </c>
      <c r="F68" s="103">
        <f t="shared" si="11"/>
        <v>399850.11</v>
      </c>
      <c r="G68" s="103">
        <f t="shared" si="12"/>
        <v>479820.13</v>
      </c>
    </row>
    <row r="69" spans="1:8" ht="15.6" x14ac:dyDescent="0.3">
      <c r="A69" s="87"/>
      <c r="B69" s="85" t="s">
        <v>523</v>
      </c>
      <c r="C69" s="87"/>
      <c r="D69" s="153"/>
      <c r="E69" s="171">
        <v>0</v>
      </c>
      <c r="F69" s="161"/>
      <c r="G69" s="266"/>
    </row>
    <row r="70" spans="1:8" ht="27.6" x14ac:dyDescent="0.3">
      <c r="A70" s="286">
        <f>A68+1</f>
        <v>58</v>
      </c>
      <c r="B70" s="291" t="s">
        <v>1162</v>
      </c>
      <c r="C70" s="286" t="s">
        <v>194</v>
      </c>
      <c r="D70" s="292">
        <v>32</v>
      </c>
      <c r="E70" s="171">
        <v>2137.0848872399997</v>
      </c>
      <c r="F70" s="289">
        <f t="shared" ref="F70:F76" si="14">ROUND(E70*D70,2)</f>
        <v>68386.720000000001</v>
      </c>
      <c r="G70" s="289">
        <f t="shared" ref="G70:G72" si="15">ROUND(F70*1.2,2)</f>
        <v>82064.06</v>
      </c>
    </row>
    <row r="71" spans="1:8" ht="41.4" x14ac:dyDescent="0.3">
      <c r="A71" s="286">
        <f>A70+1</f>
        <v>59</v>
      </c>
      <c r="B71" s="291" t="s">
        <v>1165</v>
      </c>
      <c r="C71" s="286" t="s">
        <v>194</v>
      </c>
      <c r="D71" s="299">
        <v>6</v>
      </c>
      <c r="E71" s="171">
        <v>8003.6454240000003</v>
      </c>
      <c r="F71" s="289">
        <f t="shared" si="14"/>
        <v>48021.87</v>
      </c>
      <c r="G71" s="289">
        <f t="shared" si="15"/>
        <v>57626.239999999998</v>
      </c>
    </row>
    <row r="72" spans="1:8" s="245" customFormat="1" ht="15.6" x14ac:dyDescent="0.3">
      <c r="A72" s="286">
        <f t="shared" ref="A72:A73" si="16">A71+1</f>
        <v>60</v>
      </c>
      <c r="B72" s="291" t="s">
        <v>1169</v>
      </c>
      <c r="C72" s="286" t="s">
        <v>645</v>
      </c>
      <c r="D72" s="299">
        <v>1</v>
      </c>
      <c r="E72" s="171">
        <v>9604.088459999999</v>
      </c>
      <c r="F72" s="289">
        <f t="shared" si="14"/>
        <v>9604.09</v>
      </c>
      <c r="G72" s="289">
        <f t="shared" si="15"/>
        <v>11524.91</v>
      </c>
      <c r="H72" s="455"/>
    </row>
    <row r="73" spans="1:8" ht="27.6" x14ac:dyDescent="0.3">
      <c r="A73" s="286">
        <f t="shared" si="16"/>
        <v>61</v>
      </c>
      <c r="B73" s="291" t="s">
        <v>1163</v>
      </c>
      <c r="C73" s="286" t="s">
        <v>220</v>
      </c>
      <c r="D73" s="299">
        <v>2</v>
      </c>
      <c r="E73" s="171">
        <v>10374.904161359998</v>
      </c>
      <c r="F73" s="289">
        <f t="shared" si="14"/>
        <v>20749.810000000001</v>
      </c>
      <c r="G73" s="289">
        <f t="shared" ref="G73" si="17">ROUND(F73*1.2,2)</f>
        <v>24899.77</v>
      </c>
    </row>
    <row r="74" spans="1:8" ht="15.6" x14ac:dyDescent="0.3">
      <c r="A74" s="286">
        <f>A73+1</f>
        <v>62</v>
      </c>
      <c r="B74" s="291" t="s">
        <v>1164</v>
      </c>
      <c r="C74" s="286" t="s">
        <v>220</v>
      </c>
      <c r="D74" s="299">
        <v>2</v>
      </c>
      <c r="E74" s="171">
        <v>9571.1070333599982</v>
      </c>
      <c r="F74" s="289">
        <f t="shared" si="14"/>
        <v>19142.21</v>
      </c>
      <c r="G74" s="289">
        <f t="shared" ref="G74" si="18">ROUND(F74*1.2,2)</f>
        <v>22970.65</v>
      </c>
    </row>
    <row r="75" spans="1:8" ht="41.4" x14ac:dyDescent="0.3">
      <c r="A75" s="87">
        <f>A74+1</f>
        <v>63</v>
      </c>
      <c r="B75" s="244" t="s">
        <v>875</v>
      </c>
      <c r="C75" s="87" t="s">
        <v>220</v>
      </c>
      <c r="D75" s="153">
        <v>2</v>
      </c>
      <c r="E75" s="171">
        <v>7401.5127000000002</v>
      </c>
      <c r="F75" s="103">
        <f t="shared" si="14"/>
        <v>14803.03</v>
      </c>
      <c r="G75" s="103">
        <f t="shared" ref="G75:G76" si="19">ROUND(F75*1.2,2)</f>
        <v>17763.64</v>
      </c>
    </row>
    <row r="76" spans="1:8" ht="27.6" x14ac:dyDescent="0.3">
      <c r="A76" s="87">
        <f>A75+1</f>
        <v>64</v>
      </c>
      <c r="B76" s="244" t="s">
        <v>1155</v>
      </c>
      <c r="C76" s="87" t="s">
        <v>193</v>
      </c>
      <c r="D76" s="153">
        <v>1</v>
      </c>
      <c r="E76" s="171">
        <v>13196.947202639998</v>
      </c>
      <c r="F76" s="103">
        <f t="shared" si="14"/>
        <v>13196.95</v>
      </c>
      <c r="G76" s="103">
        <f t="shared" si="19"/>
        <v>15836.34</v>
      </c>
    </row>
    <row r="77" spans="1:8" ht="27.6" x14ac:dyDescent="0.3">
      <c r="A77" s="154"/>
      <c r="B77" s="243" t="s">
        <v>1204</v>
      </c>
      <c r="C77" s="162"/>
      <c r="D77" s="162"/>
      <c r="E77" s="162"/>
      <c r="F77" s="162"/>
      <c r="G77" s="162"/>
    </row>
    <row r="78" spans="1:8" ht="15.6" x14ac:dyDescent="0.3">
      <c r="A78" s="87"/>
      <c r="B78" s="85" t="s">
        <v>513</v>
      </c>
      <c r="C78" s="87"/>
      <c r="D78" s="269"/>
      <c r="E78" s="171">
        <v>0</v>
      </c>
      <c r="F78" s="161"/>
      <c r="G78" s="266"/>
    </row>
    <row r="79" spans="1:8" ht="15.6" x14ac:dyDescent="0.3">
      <c r="A79" s="87">
        <f>A76+1</f>
        <v>65</v>
      </c>
      <c r="B79" s="244" t="s">
        <v>636</v>
      </c>
      <c r="C79" s="87" t="s">
        <v>193</v>
      </c>
      <c r="D79" s="153">
        <v>1888</v>
      </c>
      <c r="E79" s="171">
        <v>464.82929999999999</v>
      </c>
      <c r="F79" s="103">
        <f t="shared" ref="F79:F88" si="20">ROUND(E79*D79,2)</f>
        <v>877597.72</v>
      </c>
      <c r="G79" s="103">
        <f t="shared" ref="G79:G88" si="21">ROUND(F79*1.2,2)</f>
        <v>1053117.26</v>
      </c>
    </row>
    <row r="80" spans="1:8" ht="15.6" x14ac:dyDescent="0.3">
      <c r="A80" s="87">
        <f>A79+1</f>
        <v>66</v>
      </c>
      <c r="B80" s="244" t="s">
        <v>515</v>
      </c>
      <c r="C80" s="87" t="s">
        <v>193</v>
      </c>
      <c r="D80" s="228">
        <v>57</v>
      </c>
      <c r="E80" s="171">
        <v>2541.5435879999995</v>
      </c>
      <c r="F80" s="103">
        <f t="shared" si="20"/>
        <v>144867.98000000001</v>
      </c>
      <c r="G80" s="103">
        <f t="shared" si="21"/>
        <v>173841.58</v>
      </c>
    </row>
    <row r="81" spans="1:8" ht="15.6" x14ac:dyDescent="0.3">
      <c r="A81" s="87">
        <f t="shared" ref="A81:A88" si="22">A80+1</f>
        <v>67</v>
      </c>
      <c r="B81" s="244" t="s">
        <v>521</v>
      </c>
      <c r="C81" s="87" t="s">
        <v>193</v>
      </c>
      <c r="D81" s="228">
        <v>27.5</v>
      </c>
      <c r="E81" s="171">
        <v>1972.306476</v>
      </c>
      <c r="F81" s="103">
        <f t="shared" si="20"/>
        <v>54238.43</v>
      </c>
      <c r="G81" s="103">
        <f t="shared" si="21"/>
        <v>65086.12</v>
      </c>
    </row>
    <row r="82" spans="1:8" ht="15.6" x14ac:dyDescent="0.3">
      <c r="A82" s="87">
        <f t="shared" si="22"/>
        <v>68</v>
      </c>
      <c r="B82" s="244" t="s">
        <v>522</v>
      </c>
      <c r="C82" s="87" t="s">
        <v>193</v>
      </c>
      <c r="D82" s="228">
        <v>609</v>
      </c>
      <c r="E82" s="171">
        <v>1972.306476</v>
      </c>
      <c r="F82" s="103">
        <f t="shared" si="20"/>
        <v>1201134.6399999999</v>
      </c>
      <c r="G82" s="103">
        <f t="shared" si="21"/>
        <v>1441361.57</v>
      </c>
    </row>
    <row r="83" spans="1:8" ht="15.6" x14ac:dyDescent="0.3">
      <c r="A83" s="87">
        <f t="shared" si="22"/>
        <v>69</v>
      </c>
      <c r="B83" s="244" t="s">
        <v>516</v>
      </c>
      <c r="C83" s="87" t="s">
        <v>193</v>
      </c>
      <c r="D83" s="153">
        <v>1205</v>
      </c>
      <c r="E83" s="171">
        <v>178.78050000000002</v>
      </c>
      <c r="F83" s="103">
        <f t="shared" si="20"/>
        <v>215430.5</v>
      </c>
      <c r="G83" s="103">
        <f t="shared" si="21"/>
        <v>258516.6</v>
      </c>
    </row>
    <row r="84" spans="1:8" ht="15.6" x14ac:dyDescent="0.3">
      <c r="A84" s="87">
        <f t="shared" si="22"/>
        <v>70</v>
      </c>
      <c r="B84" s="244" t="s">
        <v>638</v>
      </c>
      <c r="C84" s="87" t="s">
        <v>193</v>
      </c>
      <c r="D84" s="153">
        <v>63</v>
      </c>
      <c r="E84" s="171">
        <v>1285.789356</v>
      </c>
      <c r="F84" s="103">
        <f t="shared" si="20"/>
        <v>81004.73</v>
      </c>
      <c r="G84" s="103">
        <f t="shared" si="21"/>
        <v>97205.68</v>
      </c>
    </row>
    <row r="85" spans="1:8" ht="15.6" x14ac:dyDescent="0.3">
      <c r="A85" s="87">
        <f t="shared" si="22"/>
        <v>71</v>
      </c>
      <c r="B85" s="244" t="s">
        <v>451</v>
      </c>
      <c r="C85" s="87" t="s">
        <v>193</v>
      </c>
      <c r="D85" s="153">
        <v>1205</v>
      </c>
      <c r="E85" s="171">
        <v>283.188312</v>
      </c>
      <c r="F85" s="103">
        <f t="shared" si="20"/>
        <v>341241.92</v>
      </c>
      <c r="G85" s="103">
        <f t="shared" si="21"/>
        <v>409490.3</v>
      </c>
    </row>
    <row r="86" spans="1:8" ht="15.6" x14ac:dyDescent="0.3">
      <c r="A86" s="87">
        <f t="shared" si="22"/>
        <v>72</v>
      </c>
      <c r="B86" s="244" t="s">
        <v>639</v>
      </c>
      <c r="C86" s="87" t="s">
        <v>431</v>
      </c>
      <c r="D86" s="153">
        <v>2410</v>
      </c>
      <c r="E86" s="171">
        <v>178.78050000000002</v>
      </c>
      <c r="F86" s="103">
        <f t="shared" si="20"/>
        <v>430861.01</v>
      </c>
      <c r="G86" s="103">
        <f t="shared" si="21"/>
        <v>517033.21</v>
      </c>
    </row>
    <row r="87" spans="1:8" ht="15.6" x14ac:dyDescent="0.3">
      <c r="A87" s="87">
        <f t="shared" si="22"/>
        <v>73</v>
      </c>
      <c r="B87" s="244" t="s">
        <v>518</v>
      </c>
      <c r="C87" s="87" t="s">
        <v>239</v>
      </c>
      <c r="D87" s="228">
        <v>1083.2</v>
      </c>
      <c r="E87" s="171">
        <v>464.82929999999999</v>
      </c>
      <c r="F87" s="103">
        <f t="shared" si="20"/>
        <v>503503.1</v>
      </c>
      <c r="G87" s="103">
        <f t="shared" si="21"/>
        <v>604203.72</v>
      </c>
    </row>
    <row r="88" spans="1:8" ht="15.6" x14ac:dyDescent="0.3">
      <c r="A88" s="466">
        <f t="shared" si="22"/>
        <v>74</v>
      </c>
      <c r="B88" s="244" t="s">
        <v>503</v>
      </c>
      <c r="C88" s="87" t="s">
        <v>239</v>
      </c>
      <c r="D88" s="228">
        <v>1083.2</v>
      </c>
      <c r="E88" s="171">
        <f>'исключение-свод'!D1</f>
        <v>4948.6400000000003</v>
      </c>
      <c r="F88" s="103">
        <f t="shared" si="20"/>
        <v>5360366.8499999996</v>
      </c>
      <c r="G88" s="103">
        <f t="shared" si="21"/>
        <v>6432440.2199999997</v>
      </c>
    </row>
    <row r="89" spans="1:8" ht="15.6" x14ac:dyDescent="0.3">
      <c r="A89" s="87"/>
      <c r="B89" s="85" t="s">
        <v>523</v>
      </c>
      <c r="C89" s="87"/>
      <c r="D89" s="153"/>
      <c r="E89" s="171">
        <v>0</v>
      </c>
      <c r="F89" s="161"/>
      <c r="G89" s="266"/>
    </row>
    <row r="90" spans="1:8" ht="27.6" x14ac:dyDescent="0.3">
      <c r="A90" s="286">
        <f>A88+1</f>
        <v>75</v>
      </c>
      <c r="B90" s="291" t="s">
        <v>1162</v>
      </c>
      <c r="C90" s="286" t="s">
        <v>194</v>
      </c>
      <c r="D90" s="292">
        <v>238</v>
      </c>
      <c r="E90" s="171">
        <v>2137.0848872399997</v>
      </c>
      <c r="F90" s="289">
        <f t="shared" ref="F90:F108" si="23">ROUND(E90*D90,2)</f>
        <v>508626.2</v>
      </c>
      <c r="G90" s="289">
        <f t="shared" ref="G90" si="24">ROUND(F90*1.2,2)</f>
        <v>610351.43999999994</v>
      </c>
    </row>
    <row r="91" spans="1:8" ht="27.6" x14ac:dyDescent="0.3">
      <c r="A91" s="286">
        <f>A90+1</f>
        <v>76</v>
      </c>
      <c r="B91" s="291" t="s">
        <v>1167</v>
      </c>
      <c r="C91" s="286" t="s">
        <v>194</v>
      </c>
      <c r="D91" s="292">
        <v>23</v>
      </c>
      <c r="E91" s="171">
        <v>1730.5952400000001</v>
      </c>
      <c r="F91" s="289">
        <f t="shared" si="23"/>
        <v>39803.69</v>
      </c>
      <c r="G91" s="289">
        <f t="shared" ref="G91:G95" si="25">ROUND(F91*1.2,2)</f>
        <v>47764.43</v>
      </c>
    </row>
    <row r="92" spans="1:8" ht="41.4" x14ac:dyDescent="0.3">
      <c r="A92" s="87">
        <f>A91+1</f>
        <v>77</v>
      </c>
      <c r="B92" s="244" t="s">
        <v>1168</v>
      </c>
      <c r="C92" s="87" t="s">
        <v>194</v>
      </c>
      <c r="D92" s="153">
        <v>99</v>
      </c>
      <c r="E92" s="171">
        <v>8003.6454240000003</v>
      </c>
      <c r="F92" s="103">
        <f t="shared" si="23"/>
        <v>792360.9</v>
      </c>
      <c r="G92" s="103">
        <f t="shared" si="25"/>
        <v>950833.08</v>
      </c>
    </row>
    <row r="93" spans="1:8" s="245" customFormat="1" ht="15.6" x14ac:dyDescent="0.3">
      <c r="A93" s="87">
        <f t="shared" ref="A93:A108" si="26">A92+1</f>
        <v>78</v>
      </c>
      <c r="B93" s="244" t="s">
        <v>1169</v>
      </c>
      <c r="C93" s="87" t="s">
        <v>645</v>
      </c>
      <c r="D93" s="153">
        <v>1</v>
      </c>
      <c r="E93" s="171">
        <v>9604.088459999999</v>
      </c>
      <c r="F93" s="103">
        <f t="shared" si="23"/>
        <v>9604.09</v>
      </c>
      <c r="G93" s="103">
        <f t="shared" si="25"/>
        <v>11524.91</v>
      </c>
      <c r="H93" s="455"/>
    </row>
    <row r="94" spans="1:8" ht="53.25" customHeight="1" x14ac:dyDescent="0.3">
      <c r="A94" s="87">
        <f t="shared" si="26"/>
        <v>79</v>
      </c>
      <c r="B94" s="244" t="s">
        <v>1171</v>
      </c>
      <c r="C94" s="87" t="s">
        <v>194</v>
      </c>
      <c r="D94" s="228">
        <v>10.5</v>
      </c>
      <c r="E94" s="171">
        <v>6930.9624239999994</v>
      </c>
      <c r="F94" s="103">
        <f t="shared" si="23"/>
        <v>72775.11</v>
      </c>
      <c r="G94" s="103">
        <f t="shared" si="25"/>
        <v>87330.13</v>
      </c>
    </row>
    <row r="95" spans="1:8" ht="15.6" x14ac:dyDescent="0.3">
      <c r="A95" s="87">
        <f t="shared" si="26"/>
        <v>80</v>
      </c>
      <c r="B95" s="244" t="s">
        <v>1170</v>
      </c>
      <c r="C95" s="87" t="s">
        <v>645</v>
      </c>
      <c r="D95" s="153">
        <v>1</v>
      </c>
      <c r="E95" s="171">
        <v>6441.8189760000005</v>
      </c>
      <c r="F95" s="103">
        <f t="shared" si="23"/>
        <v>6441.82</v>
      </c>
      <c r="G95" s="103">
        <f t="shared" si="25"/>
        <v>7730.18</v>
      </c>
    </row>
    <row r="96" spans="1:8" ht="41.4" x14ac:dyDescent="0.3">
      <c r="A96" s="87">
        <f t="shared" si="26"/>
        <v>81</v>
      </c>
      <c r="B96" s="244" t="s">
        <v>1172</v>
      </c>
      <c r="C96" s="87" t="s">
        <v>220</v>
      </c>
      <c r="D96" s="153">
        <v>1</v>
      </c>
      <c r="E96" s="171">
        <v>22682.239595999999</v>
      </c>
      <c r="F96" s="103">
        <f t="shared" si="23"/>
        <v>22682.240000000002</v>
      </c>
      <c r="G96" s="103">
        <f t="shared" ref="G96" si="27">ROUND(F96*1.2,2)</f>
        <v>27218.69</v>
      </c>
    </row>
    <row r="97" spans="1:8" ht="41.4" x14ac:dyDescent="0.3">
      <c r="A97" s="87">
        <f t="shared" si="26"/>
        <v>82</v>
      </c>
      <c r="B97" s="244" t="s">
        <v>1173</v>
      </c>
      <c r="C97" s="87" t="s">
        <v>220</v>
      </c>
      <c r="D97" s="153">
        <v>2</v>
      </c>
      <c r="E97" s="171">
        <v>8507.0913119999987</v>
      </c>
      <c r="F97" s="103">
        <f t="shared" si="23"/>
        <v>17014.18</v>
      </c>
      <c r="G97" s="103">
        <f t="shared" ref="G97:G98" si="28">ROUND(F97*1.2,2)</f>
        <v>20417.02</v>
      </c>
    </row>
    <row r="98" spans="1:8" ht="20.25" customHeight="1" x14ac:dyDescent="0.3">
      <c r="A98" s="286">
        <f t="shared" si="26"/>
        <v>83</v>
      </c>
      <c r="B98" s="291" t="s">
        <v>1174</v>
      </c>
      <c r="C98" s="286" t="s">
        <v>220</v>
      </c>
      <c r="D98" s="299">
        <v>2</v>
      </c>
      <c r="E98" s="171">
        <v>11150.182224</v>
      </c>
      <c r="F98" s="289">
        <f t="shared" si="23"/>
        <v>22300.36</v>
      </c>
      <c r="G98" s="289">
        <f t="shared" si="28"/>
        <v>26760.43</v>
      </c>
    </row>
    <row r="99" spans="1:8" ht="27.6" x14ac:dyDescent="0.3">
      <c r="A99" s="286">
        <f t="shared" si="26"/>
        <v>84</v>
      </c>
      <c r="B99" s="291" t="s">
        <v>1163</v>
      </c>
      <c r="C99" s="286" t="s">
        <v>220</v>
      </c>
      <c r="D99" s="299">
        <v>14</v>
      </c>
      <c r="E99" s="171">
        <v>10374.904161359998</v>
      </c>
      <c r="F99" s="289">
        <f t="shared" si="23"/>
        <v>145248.66</v>
      </c>
      <c r="G99" s="289">
        <f t="shared" ref="G99:G102" si="29">ROUND(F99*1.2,2)</f>
        <v>174298.39</v>
      </c>
    </row>
    <row r="100" spans="1:8" ht="15.6" x14ac:dyDescent="0.3">
      <c r="A100" s="286">
        <f t="shared" si="26"/>
        <v>85</v>
      </c>
      <c r="B100" s="291" t="s">
        <v>1164</v>
      </c>
      <c r="C100" s="286" t="s">
        <v>220</v>
      </c>
      <c r="D100" s="299">
        <v>14</v>
      </c>
      <c r="E100" s="171">
        <v>9571.1070333599982</v>
      </c>
      <c r="F100" s="289">
        <f t="shared" si="23"/>
        <v>133995.5</v>
      </c>
      <c r="G100" s="289">
        <f t="shared" si="29"/>
        <v>160794.6</v>
      </c>
    </row>
    <row r="101" spans="1:8" ht="27.6" x14ac:dyDescent="0.3">
      <c r="A101" s="87">
        <f t="shared" si="26"/>
        <v>86</v>
      </c>
      <c r="B101" s="244" t="s">
        <v>659</v>
      </c>
      <c r="C101" s="87" t="s">
        <v>220</v>
      </c>
      <c r="D101" s="153">
        <v>2</v>
      </c>
      <c r="E101" s="171">
        <v>9717.0777359999993</v>
      </c>
      <c r="F101" s="103">
        <f t="shared" si="23"/>
        <v>19434.16</v>
      </c>
      <c r="G101" s="103">
        <f t="shared" si="29"/>
        <v>23320.99</v>
      </c>
    </row>
    <row r="102" spans="1:8" ht="15.6" x14ac:dyDescent="0.3">
      <c r="A102" s="87">
        <f t="shared" si="26"/>
        <v>87</v>
      </c>
      <c r="B102" s="244" t="s">
        <v>1175</v>
      </c>
      <c r="C102" s="87" t="s">
        <v>220</v>
      </c>
      <c r="D102" s="153">
        <v>2</v>
      </c>
      <c r="E102" s="171">
        <v>2092.4469720000002</v>
      </c>
      <c r="F102" s="103">
        <f t="shared" si="23"/>
        <v>4184.8900000000003</v>
      </c>
      <c r="G102" s="103">
        <f t="shared" si="29"/>
        <v>5021.87</v>
      </c>
    </row>
    <row r="103" spans="1:8" ht="27.6" x14ac:dyDescent="0.3">
      <c r="A103" s="286">
        <f t="shared" si="26"/>
        <v>88</v>
      </c>
      <c r="B103" s="291" t="s">
        <v>1176</v>
      </c>
      <c r="C103" s="286" t="s">
        <v>220</v>
      </c>
      <c r="D103" s="299">
        <v>1</v>
      </c>
      <c r="E103" s="171">
        <v>10374.904161359998</v>
      </c>
      <c r="F103" s="289">
        <f t="shared" si="23"/>
        <v>10374.9</v>
      </c>
      <c r="G103" s="289">
        <f t="shared" ref="G103:G105" si="30">ROUND(F103*1.2,2)</f>
        <v>12449.88</v>
      </c>
    </row>
    <row r="104" spans="1:8" ht="41.4" x14ac:dyDescent="0.3">
      <c r="A104" s="286">
        <f t="shared" si="26"/>
        <v>89</v>
      </c>
      <c r="B104" s="291" t="s">
        <v>671</v>
      </c>
      <c r="C104" s="286" t="s">
        <v>220</v>
      </c>
      <c r="D104" s="299">
        <v>14</v>
      </c>
      <c r="E104" s="171">
        <v>7401.5127000000002</v>
      </c>
      <c r="F104" s="289">
        <f t="shared" si="23"/>
        <v>103621.18</v>
      </c>
      <c r="G104" s="289">
        <f t="shared" si="30"/>
        <v>124345.42</v>
      </c>
    </row>
    <row r="105" spans="1:8" ht="41.4" x14ac:dyDescent="0.3">
      <c r="A105" s="286">
        <f t="shared" si="26"/>
        <v>90</v>
      </c>
      <c r="B105" s="291" t="s">
        <v>1177</v>
      </c>
      <c r="C105" s="286" t="s">
        <v>220</v>
      </c>
      <c r="D105" s="299">
        <v>2</v>
      </c>
      <c r="E105" s="171">
        <v>4884.2832600000002</v>
      </c>
      <c r="F105" s="289">
        <f t="shared" si="23"/>
        <v>9768.57</v>
      </c>
      <c r="G105" s="289">
        <f t="shared" si="30"/>
        <v>11722.28</v>
      </c>
    </row>
    <row r="106" spans="1:8" ht="15.6" x14ac:dyDescent="0.3">
      <c r="A106" s="286">
        <f t="shared" si="26"/>
        <v>91</v>
      </c>
      <c r="B106" s="291" t="s">
        <v>1178</v>
      </c>
      <c r="C106" s="286" t="s">
        <v>220</v>
      </c>
      <c r="D106" s="299">
        <v>2</v>
      </c>
      <c r="E106" s="171">
        <v>2182.5523440000002</v>
      </c>
      <c r="F106" s="289">
        <f t="shared" si="23"/>
        <v>4365.1000000000004</v>
      </c>
      <c r="G106" s="289">
        <f t="shared" ref="G106:G108" si="31">ROUND(F106*1.2,2)</f>
        <v>5238.12</v>
      </c>
    </row>
    <row r="107" spans="1:8" ht="15.6" x14ac:dyDescent="0.3">
      <c r="A107" s="286">
        <f t="shared" si="26"/>
        <v>92</v>
      </c>
      <c r="B107" s="291" t="s">
        <v>1179</v>
      </c>
      <c r="C107" s="286" t="s">
        <v>220</v>
      </c>
      <c r="D107" s="299">
        <v>2</v>
      </c>
      <c r="E107" s="171">
        <v>2182.5523440000002</v>
      </c>
      <c r="F107" s="289">
        <f t="shared" si="23"/>
        <v>4365.1000000000004</v>
      </c>
      <c r="G107" s="289">
        <f t="shared" si="31"/>
        <v>5238.12</v>
      </c>
    </row>
    <row r="108" spans="1:8" ht="27.6" x14ac:dyDescent="0.3">
      <c r="A108" s="286">
        <f t="shared" si="26"/>
        <v>93</v>
      </c>
      <c r="B108" s="291" t="s">
        <v>1155</v>
      </c>
      <c r="C108" s="286" t="s">
        <v>193</v>
      </c>
      <c r="D108" s="299">
        <v>14</v>
      </c>
      <c r="E108" s="171">
        <v>13196.947202639998</v>
      </c>
      <c r="F108" s="289">
        <f t="shared" si="23"/>
        <v>184757.26</v>
      </c>
      <c r="G108" s="289">
        <f t="shared" si="31"/>
        <v>221708.71</v>
      </c>
    </row>
    <row r="109" spans="1:8" ht="15.6" x14ac:dyDescent="0.3">
      <c r="A109" s="286"/>
      <c r="B109" s="303" t="s">
        <v>1180</v>
      </c>
      <c r="C109" s="286"/>
      <c r="D109" s="299"/>
      <c r="E109" s="171">
        <v>0</v>
      </c>
      <c r="F109" s="313"/>
      <c r="G109" s="314"/>
    </row>
    <row r="110" spans="1:8" ht="27.6" x14ac:dyDescent="0.3">
      <c r="A110" s="286">
        <f>A108+1</f>
        <v>94</v>
      </c>
      <c r="B110" s="291" t="s">
        <v>526</v>
      </c>
      <c r="C110" s="286" t="s">
        <v>193</v>
      </c>
      <c r="D110" s="292">
        <f>3*0.38+3*0.283+4*0.4+4*0.265+4*0.03</f>
        <v>4.769000000000001</v>
      </c>
      <c r="E110" s="171">
        <v>25993.823904999994</v>
      </c>
      <c r="F110" s="289">
        <f>ROUND(E110*D110,2)</f>
        <v>123964.55</v>
      </c>
      <c r="G110" s="289">
        <f t="shared" ref="G110" si="32">ROUND(F110*1.2,2)</f>
        <v>148757.46</v>
      </c>
    </row>
    <row r="111" spans="1:8" ht="27.6" x14ac:dyDescent="0.3">
      <c r="A111" s="286">
        <f>A110+1</f>
        <v>95</v>
      </c>
      <c r="B111" s="291" t="s">
        <v>1181</v>
      </c>
      <c r="C111" s="286" t="s">
        <v>431</v>
      </c>
      <c r="D111" s="299">
        <v>150</v>
      </c>
      <c r="E111" s="171">
        <v>687.94736399999988</v>
      </c>
      <c r="F111" s="289">
        <f>ROUND(E111*D111,2)</f>
        <v>103192.1</v>
      </c>
      <c r="G111" s="289">
        <f t="shared" ref="G111" si="33">ROUND(F111*1.2,2)</f>
        <v>123830.52</v>
      </c>
    </row>
    <row r="112" spans="1:8" ht="27.6" x14ac:dyDescent="0.3">
      <c r="A112" s="154"/>
      <c r="B112" s="243" t="s">
        <v>1153</v>
      </c>
      <c r="C112" s="162"/>
      <c r="D112" s="162"/>
      <c r="E112" s="162"/>
      <c r="F112" s="162"/>
      <c r="G112" s="162"/>
      <c r="H112" s="453"/>
    </row>
    <row r="113" spans="1:7" ht="15.6" x14ac:dyDescent="0.3">
      <c r="A113" s="66"/>
      <c r="B113" s="62" t="s">
        <v>513</v>
      </c>
      <c r="C113" s="66"/>
      <c r="D113" s="170"/>
      <c r="E113" s="171">
        <v>0</v>
      </c>
      <c r="F113" s="161"/>
      <c r="G113" s="169"/>
    </row>
    <row r="114" spans="1:7" ht="15.6" x14ac:dyDescent="0.3">
      <c r="A114" s="66">
        <f>A35+1</f>
        <v>30</v>
      </c>
      <c r="B114" s="67" t="s">
        <v>636</v>
      </c>
      <c r="C114" s="66" t="s">
        <v>193</v>
      </c>
      <c r="D114" s="71">
        <v>465</v>
      </c>
      <c r="E114" s="171">
        <v>464.82929999999999</v>
      </c>
      <c r="F114" s="102">
        <f t="shared" ref="F114:F123" si="34">ROUND(E114*D114,2)</f>
        <v>216145.62</v>
      </c>
      <c r="G114" s="102">
        <f t="shared" ref="G114:G132" si="35">ROUND(F114*1.2,2)</f>
        <v>259374.74</v>
      </c>
    </row>
    <row r="115" spans="1:7" ht="15.6" x14ac:dyDescent="0.3">
      <c r="A115" s="66">
        <f t="shared" ref="A115:A132" si="36">A114+1</f>
        <v>31</v>
      </c>
      <c r="B115" s="67" t="s">
        <v>515</v>
      </c>
      <c r="C115" s="66" t="s">
        <v>193</v>
      </c>
      <c r="D115" s="71">
        <v>14</v>
      </c>
      <c r="E115" s="171">
        <v>2541.5435879999995</v>
      </c>
      <c r="F115" s="102">
        <f t="shared" si="34"/>
        <v>35581.61</v>
      </c>
      <c r="G115" s="102">
        <f t="shared" si="35"/>
        <v>42697.93</v>
      </c>
    </row>
    <row r="116" spans="1:7" ht="15.6" x14ac:dyDescent="0.3">
      <c r="A116" s="66">
        <f t="shared" si="36"/>
        <v>32</v>
      </c>
      <c r="B116" s="67" t="s">
        <v>521</v>
      </c>
      <c r="C116" s="66" t="s">
        <v>193</v>
      </c>
      <c r="D116" s="71">
        <v>2</v>
      </c>
      <c r="E116" s="171">
        <v>1972.306476</v>
      </c>
      <c r="F116" s="102">
        <f t="shared" si="34"/>
        <v>3944.61</v>
      </c>
      <c r="G116" s="102">
        <f t="shared" si="35"/>
        <v>4733.53</v>
      </c>
    </row>
    <row r="117" spans="1:7" ht="15.6" x14ac:dyDescent="0.3">
      <c r="A117" s="66">
        <f t="shared" si="36"/>
        <v>33</v>
      </c>
      <c r="B117" s="67" t="s">
        <v>522</v>
      </c>
      <c r="C117" s="66" t="s">
        <v>193</v>
      </c>
      <c r="D117" s="72">
        <v>9.5</v>
      </c>
      <c r="E117" s="171">
        <v>1972.306476</v>
      </c>
      <c r="F117" s="102">
        <f t="shared" si="34"/>
        <v>18736.91</v>
      </c>
      <c r="G117" s="102">
        <f t="shared" si="35"/>
        <v>22484.29</v>
      </c>
    </row>
    <row r="118" spans="1:7" ht="15.6" x14ac:dyDescent="0.3">
      <c r="A118" s="66">
        <f t="shared" si="36"/>
        <v>34</v>
      </c>
      <c r="B118" s="67" t="s">
        <v>516</v>
      </c>
      <c r="C118" s="66" t="s">
        <v>193</v>
      </c>
      <c r="D118" s="71">
        <v>443</v>
      </c>
      <c r="E118" s="171">
        <v>178.78050000000002</v>
      </c>
      <c r="F118" s="102">
        <f t="shared" si="34"/>
        <v>79199.759999999995</v>
      </c>
      <c r="G118" s="102">
        <f t="shared" si="35"/>
        <v>95039.71</v>
      </c>
    </row>
    <row r="119" spans="1:7" ht="15.6" x14ac:dyDescent="0.3">
      <c r="A119" s="66">
        <f t="shared" si="36"/>
        <v>35</v>
      </c>
      <c r="B119" s="67" t="s">
        <v>638</v>
      </c>
      <c r="C119" s="66" t="s">
        <v>193</v>
      </c>
      <c r="D119" s="71">
        <v>23</v>
      </c>
      <c r="E119" s="171">
        <v>1285.789356</v>
      </c>
      <c r="F119" s="102">
        <f t="shared" si="34"/>
        <v>29573.16</v>
      </c>
      <c r="G119" s="102">
        <f t="shared" si="35"/>
        <v>35487.79</v>
      </c>
    </row>
    <row r="120" spans="1:7" ht="15.6" x14ac:dyDescent="0.3">
      <c r="A120" s="66">
        <f t="shared" si="36"/>
        <v>36</v>
      </c>
      <c r="B120" s="67" t="s">
        <v>451</v>
      </c>
      <c r="C120" s="66" t="s">
        <v>193</v>
      </c>
      <c r="D120" s="71">
        <v>443</v>
      </c>
      <c r="E120" s="171">
        <v>283.188312</v>
      </c>
      <c r="F120" s="102">
        <f t="shared" si="34"/>
        <v>125452.42</v>
      </c>
      <c r="G120" s="102">
        <f t="shared" si="35"/>
        <v>150542.9</v>
      </c>
    </row>
    <row r="121" spans="1:7" ht="15.6" x14ac:dyDescent="0.3">
      <c r="A121" s="66">
        <f t="shared" si="36"/>
        <v>37</v>
      </c>
      <c r="B121" s="67" t="s">
        <v>639</v>
      </c>
      <c r="C121" s="66" t="s">
        <v>431</v>
      </c>
      <c r="D121" s="71">
        <v>1860</v>
      </c>
      <c r="E121" s="171">
        <v>178.78050000000002</v>
      </c>
      <c r="F121" s="102">
        <f t="shared" si="34"/>
        <v>332531.73</v>
      </c>
      <c r="G121" s="102">
        <f t="shared" si="35"/>
        <v>399038.08</v>
      </c>
    </row>
    <row r="122" spans="1:7" ht="15.6" x14ac:dyDescent="0.3">
      <c r="A122" s="66">
        <f t="shared" si="36"/>
        <v>38</v>
      </c>
      <c r="B122" s="67" t="s">
        <v>518</v>
      </c>
      <c r="C122" s="66" t="s">
        <v>239</v>
      </c>
      <c r="D122" s="72">
        <v>20.8</v>
      </c>
      <c r="E122" s="171">
        <v>464.82929999999999</v>
      </c>
      <c r="F122" s="102">
        <f t="shared" si="34"/>
        <v>9668.4500000000007</v>
      </c>
      <c r="G122" s="102">
        <f t="shared" si="35"/>
        <v>11602.14</v>
      </c>
    </row>
    <row r="123" spans="1:7" ht="15.6" x14ac:dyDescent="0.3">
      <c r="A123" s="466">
        <f t="shared" si="36"/>
        <v>39</v>
      </c>
      <c r="B123" s="67" t="s">
        <v>503</v>
      </c>
      <c r="C123" s="66" t="s">
        <v>239</v>
      </c>
      <c r="D123" s="72">
        <v>20.8</v>
      </c>
      <c r="E123" s="171">
        <f>'исключение-свод'!D1</f>
        <v>4948.6400000000003</v>
      </c>
      <c r="F123" s="102">
        <f t="shared" si="34"/>
        <v>102931.71</v>
      </c>
      <c r="G123" s="102">
        <f t="shared" si="35"/>
        <v>123518.05</v>
      </c>
    </row>
    <row r="124" spans="1:7" ht="15.6" x14ac:dyDescent="0.3">
      <c r="A124" s="66"/>
      <c r="B124" s="62" t="s">
        <v>523</v>
      </c>
      <c r="C124" s="66"/>
      <c r="D124" s="68"/>
      <c r="E124" s="171">
        <v>0</v>
      </c>
      <c r="F124" s="102"/>
      <c r="G124" s="102"/>
    </row>
    <row r="125" spans="1:7" ht="27.6" x14ac:dyDescent="0.3">
      <c r="A125" s="66">
        <f>A123+1</f>
        <v>40</v>
      </c>
      <c r="B125" s="67" t="s">
        <v>658</v>
      </c>
      <c r="C125" s="66" t="s">
        <v>194</v>
      </c>
      <c r="D125" s="71">
        <v>32</v>
      </c>
      <c r="E125" s="171">
        <v>1730.5952400000001</v>
      </c>
      <c r="F125" s="102">
        <f t="shared" ref="F125:F132" si="37">ROUND(E125*D125,2)</f>
        <v>55379.05</v>
      </c>
      <c r="G125" s="102">
        <f t="shared" si="35"/>
        <v>66454.86</v>
      </c>
    </row>
    <row r="126" spans="1:7" ht="41.4" x14ac:dyDescent="0.3">
      <c r="A126" s="66">
        <f t="shared" si="36"/>
        <v>41</v>
      </c>
      <c r="B126" s="67" t="s">
        <v>1154</v>
      </c>
      <c r="C126" s="66" t="s">
        <v>194</v>
      </c>
      <c r="D126" s="72">
        <v>7.5</v>
      </c>
      <c r="E126" s="171">
        <v>2595.8928599999999</v>
      </c>
      <c r="F126" s="102">
        <f t="shared" si="37"/>
        <v>19469.2</v>
      </c>
      <c r="G126" s="102">
        <f t="shared" si="35"/>
        <v>23363.040000000001</v>
      </c>
    </row>
    <row r="127" spans="1:7" ht="15.6" x14ac:dyDescent="0.3">
      <c r="A127" s="66">
        <f t="shared" si="36"/>
        <v>42</v>
      </c>
      <c r="B127" s="67" t="s">
        <v>643</v>
      </c>
      <c r="C127" s="66" t="s">
        <v>194</v>
      </c>
      <c r="D127" s="72">
        <v>7.5</v>
      </c>
      <c r="E127" s="171">
        <v>1732.025484</v>
      </c>
      <c r="F127" s="102">
        <f t="shared" si="37"/>
        <v>12990.19</v>
      </c>
      <c r="G127" s="102">
        <f t="shared" si="35"/>
        <v>15588.23</v>
      </c>
    </row>
    <row r="128" spans="1:7" ht="15.6" x14ac:dyDescent="0.3">
      <c r="A128" s="66">
        <f t="shared" si="36"/>
        <v>43</v>
      </c>
      <c r="B128" s="67" t="s">
        <v>644</v>
      </c>
      <c r="C128" s="66" t="s">
        <v>645</v>
      </c>
      <c r="D128" s="71">
        <v>1</v>
      </c>
      <c r="E128" s="171">
        <v>4858.5388679999996</v>
      </c>
      <c r="F128" s="102">
        <f t="shared" si="37"/>
        <v>4858.54</v>
      </c>
      <c r="G128" s="102">
        <f t="shared" si="35"/>
        <v>5830.25</v>
      </c>
    </row>
    <row r="129" spans="1:8" ht="27.6" x14ac:dyDescent="0.3">
      <c r="A129" s="66">
        <f t="shared" si="36"/>
        <v>44</v>
      </c>
      <c r="B129" s="67" t="s">
        <v>659</v>
      </c>
      <c r="C129" s="66" t="s">
        <v>220</v>
      </c>
      <c r="D129" s="71">
        <v>2</v>
      </c>
      <c r="E129" s="171">
        <v>9717.0777359999993</v>
      </c>
      <c r="F129" s="102">
        <f t="shared" si="37"/>
        <v>19434.16</v>
      </c>
      <c r="G129" s="102">
        <f t="shared" si="35"/>
        <v>23320.99</v>
      </c>
    </row>
    <row r="130" spans="1:8" ht="27.6" x14ac:dyDescent="0.3">
      <c r="A130" s="66">
        <f t="shared" si="36"/>
        <v>45</v>
      </c>
      <c r="B130" s="67" t="s">
        <v>660</v>
      </c>
      <c r="C130" s="66" t="s">
        <v>220</v>
      </c>
      <c r="D130" s="71">
        <v>2</v>
      </c>
      <c r="E130" s="171">
        <v>2092.4469720000002</v>
      </c>
      <c r="F130" s="102">
        <f t="shared" si="37"/>
        <v>4184.8900000000003</v>
      </c>
      <c r="G130" s="102">
        <f t="shared" si="35"/>
        <v>5021.87</v>
      </c>
    </row>
    <row r="131" spans="1:8" ht="41.4" x14ac:dyDescent="0.3">
      <c r="A131" s="66">
        <f t="shared" si="36"/>
        <v>46</v>
      </c>
      <c r="B131" s="67" t="s">
        <v>661</v>
      </c>
      <c r="C131" s="66" t="s">
        <v>220</v>
      </c>
      <c r="D131" s="71">
        <v>2</v>
      </c>
      <c r="E131" s="171">
        <v>5055.9125400000003</v>
      </c>
      <c r="F131" s="102">
        <f t="shared" si="37"/>
        <v>10111.83</v>
      </c>
      <c r="G131" s="102">
        <f t="shared" si="35"/>
        <v>12134.2</v>
      </c>
    </row>
    <row r="132" spans="1:8" ht="27.6" x14ac:dyDescent="0.3">
      <c r="A132" s="87">
        <f t="shared" si="36"/>
        <v>47</v>
      </c>
      <c r="B132" s="265" t="s">
        <v>1155</v>
      </c>
      <c r="C132" s="87" t="s">
        <v>193</v>
      </c>
      <c r="D132" s="267">
        <v>0.7</v>
      </c>
      <c r="E132" s="171">
        <v>13196.947202639998</v>
      </c>
      <c r="F132" s="103">
        <f t="shared" si="37"/>
        <v>9237.86</v>
      </c>
      <c r="G132" s="103">
        <f t="shared" si="35"/>
        <v>11085.43</v>
      </c>
    </row>
    <row r="133" spans="1:8" ht="27.6" x14ac:dyDescent="0.3">
      <c r="A133" s="154"/>
      <c r="B133" s="243" t="s">
        <v>1156</v>
      </c>
      <c r="C133" s="162"/>
      <c r="D133" s="166"/>
      <c r="E133" s="166"/>
      <c r="F133" s="166"/>
      <c r="G133" s="166"/>
      <c r="H133" s="453"/>
    </row>
    <row r="134" spans="1:8" ht="15.6" x14ac:dyDescent="0.3">
      <c r="A134" s="66"/>
      <c r="B134" s="62" t="s">
        <v>513</v>
      </c>
      <c r="C134" s="66"/>
      <c r="D134" s="170"/>
      <c r="E134" s="171">
        <v>0</v>
      </c>
      <c r="F134" s="161"/>
      <c r="G134" s="169"/>
    </row>
    <row r="135" spans="1:8" ht="15.6" x14ac:dyDescent="0.3">
      <c r="A135" s="66">
        <f>A132+1</f>
        <v>48</v>
      </c>
      <c r="B135" s="67" t="s">
        <v>636</v>
      </c>
      <c r="C135" s="66" t="s">
        <v>193</v>
      </c>
      <c r="D135" s="71">
        <v>310</v>
      </c>
      <c r="E135" s="171">
        <v>464.82929999999999</v>
      </c>
      <c r="F135" s="102">
        <f t="shared" ref="F135:F144" si="38">ROUND(E135*D135,2)</f>
        <v>144097.07999999999</v>
      </c>
      <c r="G135" s="102">
        <f t="shared" ref="G135:G153" si="39">ROUND(F135*1.2,2)</f>
        <v>172916.5</v>
      </c>
    </row>
    <row r="136" spans="1:8" ht="15.6" x14ac:dyDescent="0.3">
      <c r="A136" s="66">
        <f>A135+1</f>
        <v>49</v>
      </c>
      <c r="B136" s="67" t="s">
        <v>515</v>
      </c>
      <c r="C136" s="66" t="s">
        <v>193</v>
      </c>
      <c r="D136" s="71">
        <v>9</v>
      </c>
      <c r="E136" s="171">
        <v>2541.5435879999995</v>
      </c>
      <c r="F136" s="102">
        <f t="shared" si="38"/>
        <v>22873.89</v>
      </c>
      <c r="G136" s="102">
        <f t="shared" si="39"/>
        <v>27448.67</v>
      </c>
    </row>
    <row r="137" spans="1:8" ht="15.6" x14ac:dyDescent="0.3">
      <c r="A137" s="66">
        <f t="shared" ref="A137:A144" si="40">A136+1</f>
        <v>50</v>
      </c>
      <c r="B137" s="67" t="s">
        <v>521</v>
      </c>
      <c r="C137" s="66" t="s">
        <v>193</v>
      </c>
      <c r="D137" s="71">
        <v>3</v>
      </c>
      <c r="E137" s="171">
        <v>1972.306476</v>
      </c>
      <c r="F137" s="102">
        <f t="shared" si="38"/>
        <v>5916.92</v>
      </c>
      <c r="G137" s="102">
        <f t="shared" si="39"/>
        <v>7100.3</v>
      </c>
    </row>
    <row r="138" spans="1:8" ht="15.6" x14ac:dyDescent="0.3">
      <c r="A138" s="66">
        <f t="shared" si="40"/>
        <v>51</v>
      </c>
      <c r="B138" s="67" t="s">
        <v>522</v>
      </c>
      <c r="C138" s="66" t="s">
        <v>193</v>
      </c>
      <c r="D138" s="72">
        <v>12</v>
      </c>
      <c r="E138" s="171">
        <v>1972.306476</v>
      </c>
      <c r="F138" s="102">
        <f t="shared" si="38"/>
        <v>23667.68</v>
      </c>
      <c r="G138" s="102">
        <f t="shared" si="39"/>
        <v>28401.22</v>
      </c>
    </row>
    <row r="139" spans="1:8" ht="15.6" x14ac:dyDescent="0.3">
      <c r="A139" s="66">
        <f t="shared" si="40"/>
        <v>52</v>
      </c>
      <c r="B139" s="67" t="s">
        <v>516</v>
      </c>
      <c r="C139" s="66" t="s">
        <v>193</v>
      </c>
      <c r="D139" s="71">
        <v>287</v>
      </c>
      <c r="E139" s="171">
        <v>178.78050000000002</v>
      </c>
      <c r="F139" s="102">
        <f t="shared" si="38"/>
        <v>51310</v>
      </c>
      <c r="G139" s="102">
        <f t="shared" si="39"/>
        <v>61572</v>
      </c>
    </row>
    <row r="140" spans="1:8" ht="15.6" x14ac:dyDescent="0.3">
      <c r="A140" s="66">
        <f t="shared" si="40"/>
        <v>53</v>
      </c>
      <c r="B140" s="67" t="s">
        <v>638</v>
      </c>
      <c r="C140" s="66" t="s">
        <v>193</v>
      </c>
      <c r="D140" s="71">
        <v>15</v>
      </c>
      <c r="E140" s="171">
        <v>1285.789356</v>
      </c>
      <c r="F140" s="102">
        <f t="shared" si="38"/>
        <v>19286.84</v>
      </c>
      <c r="G140" s="102">
        <f t="shared" si="39"/>
        <v>23144.21</v>
      </c>
    </row>
    <row r="141" spans="1:8" ht="15.6" x14ac:dyDescent="0.3">
      <c r="A141" s="66">
        <f t="shared" si="40"/>
        <v>54</v>
      </c>
      <c r="B141" s="67" t="s">
        <v>451</v>
      </c>
      <c r="C141" s="66" t="s">
        <v>193</v>
      </c>
      <c r="D141" s="71">
        <v>287</v>
      </c>
      <c r="E141" s="171">
        <v>283.188312</v>
      </c>
      <c r="F141" s="102">
        <f t="shared" si="38"/>
        <v>81275.05</v>
      </c>
      <c r="G141" s="102">
        <f t="shared" si="39"/>
        <v>97530.06</v>
      </c>
    </row>
    <row r="142" spans="1:8" ht="15.6" x14ac:dyDescent="0.3">
      <c r="A142" s="66">
        <f t="shared" si="40"/>
        <v>55</v>
      </c>
      <c r="B142" s="67" t="s">
        <v>639</v>
      </c>
      <c r="C142" s="66" t="s">
        <v>431</v>
      </c>
      <c r="D142" s="71">
        <v>9240</v>
      </c>
      <c r="E142" s="171">
        <v>178.78050000000002</v>
      </c>
      <c r="F142" s="102">
        <f t="shared" si="38"/>
        <v>1651931.82</v>
      </c>
      <c r="G142" s="102">
        <f t="shared" si="39"/>
        <v>1982318.18</v>
      </c>
    </row>
    <row r="143" spans="1:8" ht="15.6" x14ac:dyDescent="0.3">
      <c r="A143" s="66">
        <f t="shared" si="40"/>
        <v>56</v>
      </c>
      <c r="B143" s="67" t="s">
        <v>518</v>
      </c>
      <c r="C143" s="66" t="s">
        <v>239</v>
      </c>
      <c r="D143" s="72">
        <v>27.2</v>
      </c>
      <c r="E143" s="171">
        <v>464.82929999999999</v>
      </c>
      <c r="F143" s="102">
        <f t="shared" si="38"/>
        <v>12643.36</v>
      </c>
      <c r="G143" s="102">
        <f t="shared" si="39"/>
        <v>15172.03</v>
      </c>
    </row>
    <row r="144" spans="1:8" ht="15.6" x14ac:dyDescent="0.3">
      <c r="A144" s="466">
        <f t="shared" si="40"/>
        <v>57</v>
      </c>
      <c r="B144" s="67" t="s">
        <v>503</v>
      </c>
      <c r="C144" s="66" t="s">
        <v>239</v>
      </c>
      <c r="D144" s="72">
        <v>27.2</v>
      </c>
      <c r="E144" s="171">
        <f>'исключение-свод'!D1</f>
        <v>4948.6400000000003</v>
      </c>
      <c r="F144" s="102">
        <f t="shared" si="38"/>
        <v>134603.01</v>
      </c>
      <c r="G144" s="102">
        <f t="shared" si="39"/>
        <v>161523.60999999999</v>
      </c>
    </row>
    <row r="145" spans="1:7" ht="15.6" x14ac:dyDescent="0.3">
      <c r="A145" s="66"/>
      <c r="B145" s="62" t="s">
        <v>523</v>
      </c>
      <c r="C145" s="66"/>
      <c r="D145" s="68"/>
      <c r="E145" s="171">
        <v>0</v>
      </c>
      <c r="F145" s="102"/>
      <c r="G145" s="102"/>
    </row>
    <row r="146" spans="1:7" ht="27.6" x14ac:dyDescent="0.3">
      <c r="A146" s="66">
        <f>A144+1</f>
        <v>58</v>
      </c>
      <c r="B146" s="67" t="s">
        <v>640</v>
      </c>
      <c r="C146" s="66" t="s">
        <v>194</v>
      </c>
      <c r="D146" s="71">
        <v>50</v>
      </c>
      <c r="E146" s="171">
        <v>1454.5581479999998</v>
      </c>
      <c r="F146" s="102">
        <f t="shared" ref="F146:F153" si="41">ROUND(E146*D146,2)</f>
        <v>72727.91</v>
      </c>
      <c r="G146" s="102">
        <f t="shared" si="39"/>
        <v>87273.49</v>
      </c>
    </row>
    <row r="147" spans="1:7" ht="41.4" x14ac:dyDescent="0.3">
      <c r="A147" s="66">
        <f>A146+1</f>
        <v>59</v>
      </c>
      <c r="B147" s="67" t="s">
        <v>1158</v>
      </c>
      <c r="C147" s="66" t="s">
        <v>194</v>
      </c>
      <c r="D147" s="71">
        <v>17</v>
      </c>
      <c r="E147" s="171">
        <v>2183.9825879999994</v>
      </c>
      <c r="F147" s="102">
        <f t="shared" si="41"/>
        <v>37127.699999999997</v>
      </c>
      <c r="G147" s="102">
        <f t="shared" si="39"/>
        <v>44553.24</v>
      </c>
    </row>
    <row r="148" spans="1:7" ht="15.6" x14ac:dyDescent="0.3">
      <c r="A148" s="66">
        <f t="shared" ref="A148:A153" si="42">A147+1</f>
        <v>60</v>
      </c>
      <c r="B148" s="67" t="s">
        <v>643</v>
      </c>
      <c r="C148" s="66" t="s">
        <v>194</v>
      </c>
      <c r="D148" s="71">
        <v>17</v>
      </c>
      <c r="E148" s="171">
        <v>1633.3386479999999</v>
      </c>
      <c r="F148" s="102">
        <f t="shared" si="41"/>
        <v>27766.76</v>
      </c>
      <c r="G148" s="102">
        <f t="shared" si="39"/>
        <v>33320.11</v>
      </c>
    </row>
    <row r="149" spans="1:7" ht="15.6" x14ac:dyDescent="0.3">
      <c r="A149" s="66">
        <f t="shared" si="42"/>
        <v>61</v>
      </c>
      <c r="B149" s="67" t="s">
        <v>644</v>
      </c>
      <c r="C149" s="66" t="s">
        <v>645</v>
      </c>
      <c r="D149" s="71">
        <v>1</v>
      </c>
      <c r="E149" s="171">
        <v>4858.5388679999996</v>
      </c>
      <c r="F149" s="102">
        <f t="shared" si="41"/>
        <v>4858.54</v>
      </c>
      <c r="G149" s="102">
        <f t="shared" si="39"/>
        <v>5830.25</v>
      </c>
    </row>
    <row r="150" spans="1:7" ht="27.6" x14ac:dyDescent="0.3">
      <c r="A150" s="66">
        <f t="shared" si="42"/>
        <v>62</v>
      </c>
      <c r="B150" s="67" t="s">
        <v>662</v>
      </c>
      <c r="C150" s="66" t="s">
        <v>220</v>
      </c>
      <c r="D150" s="71">
        <v>2</v>
      </c>
      <c r="E150" s="171">
        <v>5708.1038040000003</v>
      </c>
      <c r="F150" s="102">
        <f t="shared" si="41"/>
        <v>11416.21</v>
      </c>
      <c r="G150" s="102">
        <f t="shared" si="39"/>
        <v>13699.45</v>
      </c>
    </row>
    <row r="151" spans="1:7" ht="27.6" x14ac:dyDescent="0.3">
      <c r="A151" s="66">
        <f t="shared" si="42"/>
        <v>63</v>
      </c>
      <c r="B151" s="67" t="s">
        <v>663</v>
      </c>
      <c r="C151" s="66" t="s">
        <v>220</v>
      </c>
      <c r="D151" s="71">
        <v>2</v>
      </c>
      <c r="E151" s="171">
        <v>2092.4469720000002</v>
      </c>
      <c r="F151" s="102">
        <f t="shared" si="41"/>
        <v>4184.8900000000003</v>
      </c>
      <c r="G151" s="102">
        <f t="shared" si="39"/>
        <v>5021.87</v>
      </c>
    </row>
    <row r="152" spans="1:7" ht="41.4" x14ac:dyDescent="0.3">
      <c r="A152" s="66">
        <f t="shared" si="42"/>
        <v>64</v>
      </c>
      <c r="B152" s="67" t="s">
        <v>652</v>
      </c>
      <c r="C152" s="66" t="s">
        <v>220</v>
      </c>
      <c r="D152" s="71">
        <v>2</v>
      </c>
      <c r="E152" s="171">
        <v>5055.9125400000003</v>
      </c>
      <c r="F152" s="102">
        <f t="shared" si="41"/>
        <v>10111.83</v>
      </c>
      <c r="G152" s="102">
        <f t="shared" si="39"/>
        <v>12134.2</v>
      </c>
    </row>
    <row r="153" spans="1:7" ht="27.6" x14ac:dyDescent="0.3">
      <c r="A153" s="87">
        <f t="shared" si="42"/>
        <v>65</v>
      </c>
      <c r="B153" s="265" t="s">
        <v>1155</v>
      </c>
      <c r="C153" s="87" t="s">
        <v>193</v>
      </c>
      <c r="D153" s="267">
        <v>1.3</v>
      </c>
      <c r="E153" s="171">
        <v>13196.947202639998</v>
      </c>
      <c r="F153" s="103">
        <f t="shared" si="41"/>
        <v>17156.03</v>
      </c>
      <c r="G153" s="103">
        <f t="shared" si="39"/>
        <v>20587.240000000002</v>
      </c>
    </row>
    <row r="154" spans="1:7" ht="25.5" customHeight="1" x14ac:dyDescent="0.3">
      <c r="A154" s="154"/>
      <c r="B154" s="243" t="s">
        <v>580</v>
      </c>
      <c r="C154" s="162"/>
      <c r="D154" s="162"/>
      <c r="E154" s="162"/>
      <c r="F154" s="162"/>
      <c r="G154" s="162"/>
    </row>
    <row r="155" spans="1:7" ht="15.6" x14ac:dyDescent="0.3">
      <c r="A155" s="87"/>
      <c r="B155" s="85" t="s">
        <v>1079</v>
      </c>
      <c r="C155" s="87"/>
      <c r="D155" s="153"/>
      <c r="E155" s="171">
        <v>0</v>
      </c>
      <c r="F155" s="161"/>
      <c r="G155" s="266"/>
    </row>
    <row r="156" spans="1:7" ht="15.6" x14ac:dyDescent="0.3">
      <c r="A156" s="87"/>
      <c r="B156" s="85" t="s">
        <v>513</v>
      </c>
      <c r="C156" s="87"/>
      <c r="D156" s="153"/>
      <c r="E156" s="171">
        <v>0</v>
      </c>
      <c r="F156" s="161"/>
      <c r="G156" s="266"/>
    </row>
    <row r="157" spans="1:7" ht="15.6" x14ac:dyDescent="0.3">
      <c r="A157" s="87">
        <f>A153+1</f>
        <v>66</v>
      </c>
      <c r="B157" s="244" t="s">
        <v>664</v>
      </c>
      <c r="C157" s="87" t="s">
        <v>193</v>
      </c>
      <c r="D157" s="227">
        <v>9.8800000000000008</v>
      </c>
      <c r="E157" s="171">
        <v>534.91125600000009</v>
      </c>
      <c r="F157" s="103">
        <f t="shared" ref="F157:F162" si="43">ROUND(E157*D157,2)</f>
        <v>5284.92</v>
      </c>
      <c r="G157" s="103">
        <f t="shared" ref="G157" si="44">ROUND(F157*1.2,2)</f>
        <v>6341.9</v>
      </c>
    </row>
    <row r="158" spans="1:7" ht="15.6" x14ac:dyDescent="0.3">
      <c r="A158" s="87">
        <f>A157+1</f>
        <v>67</v>
      </c>
      <c r="B158" s="244" t="s">
        <v>666</v>
      </c>
      <c r="C158" s="87" t="s">
        <v>193</v>
      </c>
      <c r="D158" s="228">
        <v>0.4</v>
      </c>
      <c r="E158" s="171">
        <v>2033.8069679999999</v>
      </c>
      <c r="F158" s="103">
        <f t="shared" si="43"/>
        <v>813.52</v>
      </c>
      <c r="G158" s="103">
        <f t="shared" ref="G158:G162" si="45">ROUND(F158*1.2,2)</f>
        <v>976.22</v>
      </c>
    </row>
    <row r="159" spans="1:7" ht="15.6" x14ac:dyDescent="0.3">
      <c r="A159" s="87">
        <f t="shared" ref="A159:A162" si="46">A158+1</f>
        <v>68</v>
      </c>
      <c r="B159" s="244" t="s">
        <v>667</v>
      </c>
      <c r="C159" s="87" t="s">
        <v>193</v>
      </c>
      <c r="D159" s="227">
        <v>7.54</v>
      </c>
      <c r="E159" s="171">
        <v>178.78050000000002</v>
      </c>
      <c r="F159" s="103">
        <f t="shared" si="43"/>
        <v>1348</v>
      </c>
      <c r="G159" s="103">
        <f t="shared" si="45"/>
        <v>1617.6</v>
      </c>
    </row>
    <row r="160" spans="1:7" ht="15.6" x14ac:dyDescent="0.3">
      <c r="A160" s="87">
        <f t="shared" si="46"/>
        <v>69</v>
      </c>
      <c r="B160" s="244" t="s">
        <v>451</v>
      </c>
      <c r="C160" s="87" t="s">
        <v>193</v>
      </c>
      <c r="D160" s="227">
        <v>7.54</v>
      </c>
      <c r="E160" s="171">
        <v>283.188312</v>
      </c>
      <c r="F160" s="103">
        <f t="shared" si="43"/>
        <v>2135.2399999999998</v>
      </c>
      <c r="G160" s="103">
        <f t="shared" si="45"/>
        <v>2562.29</v>
      </c>
    </row>
    <row r="161" spans="1:8" ht="15.6" x14ac:dyDescent="0.3">
      <c r="A161" s="87">
        <f t="shared" si="46"/>
        <v>70</v>
      </c>
      <c r="B161" s="244" t="s">
        <v>518</v>
      </c>
      <c r="C161" s="87" t="s">
        <v>239</v>
      </c>
      <c r="D161" s="227">
        <v>4.4400000000000004</v>
      </c>
      <c r="E161" s="171">
        <v>464.82929999999999</v>
      </c>
      <c r="F161" s="103">
        <f t="shared" si="43"/>
        <v>2063.84</v>
      </c>
      <c r="G161" s="103">
        <f t="shared" si="45"/>
        <v>2476.61</v>
      </c>
    </row>
    <row r="162" spans="1:8" ht="15.6" x14ac:dyDescent="0.3">
      <c r="A162" s="466">
        <f t="shared" si="46"/>
        <v>71</v>
      </c>
      <c r="B162" s="244" t="s">
        <v>503</v>
      </c>
      <c r="C162" s="87" t="s">
        <v>239</v>
      </c>
      <c r="D162" s="227">
        <v>4.4400000000000004</v>
      </c>
      <c r="E162" s="171">
        <f>'исключение-свод'!D1</f>
        <v>4948.6400000000003</v>
      </c>
      <c r="F162" s="103">
        <f t="shared" si="43"/>
        <v>21971.96</v>
      </c>
      <c r="G162" s="103">
        <f t="shared" si="45"/>
        <v>26366.35</v>
      </c>
    </row>
    <row r="163" spans="1:8" ht="15.6" x14ac:dyDescent="0.3">
      <c r="A163" s="87"/>
      <c r="B163" s="85" t="s">
        <v>525</v>
      </c>
      <c r="C163" s="87"/>
      <c r="D163" s="153"/>
      <c r="E163" s="171">
        <v>0</v>
      </c>
      <c r="F163" s="161"/>
      <c r="G163" s="266"/>
    </row>
    <row r="164" spans="1:8" ht="27.6" x14ac:dyDescent="0.3">
      <c r="A164" s="87">
        <f>A162+1</f>
        <v>72</v>
      </c>
      <c r="B164" s="244" t="s">
        <v>526</v>
      </c>
      <c r="C164" s="87" t="s">
        <v>193</v>
      </c>
      <c r="D164" s="228">
        <f>0.18+0.1+0.242+0.16*2+0.03+0.05</f>
        <v>0.92200000000000015</v>
      </c>
      <c r="E164" s="171">
        <v>25993.823904999994</v>
      </c>
      <c r="F164" s="103">
        <f>ROUND(E164*D164,2)</f>
        <v>23966.31</v>
      </c>
      <c r="G164" s="103">
        <f t="shared" ref="G164:G165" si="47">ROUND(F164*1.2,2)</f>
        <v>28759.57</v>
      </c>
    </row>
    <row r="165" spans="1:8" ht="41.4" x14ac:dyDescent="0.3">
      <c r="A165" s="324">
        <f>A164+1</f>
        <v>73</v>
      </c>
      <c r="B165" s="325" t="s">
        <v>1080</v>
      </c>
      <c r="C165" s="324" t="s">
        <v>220</v>
      </c>
      <c r="D165" s="328">
        <v>1</v>
      </c>
      <c r="E165" s="296">
        <v>17893.782683999998</v>
      </c>
      <c r="F165" s="289">
        <f>ROUND(E165*D165,2)</f>
        <v>17893.78</v>
      </c>
      <c r="G165" s="289">
        <f t="shared" si="47"/>
        <v>21472.54</v>
      </c>
    </row>
    <row r="166" spans="1:8" ht="15.6" x14ac:dyDescent="0.3">
      <c r="A166" s="324">
        <f>A165+1</f>
        <v>74</v>
      </c>
      <c r="B166" s="325" t="s">
        <v>1081</v>
      </c>
      <c r="C166" s="324" t="s">
        <v>220</v>
      </c>
      <c r="D166" s="328">
        <v>1</v>
      </c>
      <c r="E166" s="296">
        <v>20795.747760000002</v>
      </c>
      <c r="F166" s="289">
        <f>ROUND(E166*D166,2)</f>
        <v>20795.75</v>
      </c>
      <c r="G166" s="289">
        <f t="shared" ref="G166:G168" si="48">ROUND(F166*1.2,2)</f>
        <v>24954.9</v>
      </c>
    </row>
    <row r="167" spans="1:8" ht="15.6" x14ac:dyDescent="0.3">
      <c r="A167" s="324">
        <f t="shared" ref="A167:A168" si="49">A166+1</f>
        <v>75</v>
      </c>
      <c r="B167" s="325" t="s">
        <v>916</v>
      </c>
      <c r="C167" s="324" t="s">
        <v>239</v>
      </c>
      <c r="D167" s="383">
        <f>0.45+0.25+0.6+0.4+0.2+0.492+0.48+16.2</f>
        <v>19.071999999999999</v>
      </c>
      <c r="E167" s="296">
        <v>649.42916526845636</v>
      </c>
      <c r="F167" s="289">
        <f>ROUND(E167*D167,2)</f>
        <v>12385.91</v>
      </c>
      <c r="G167" s="289">
        <f t="shared" si="48"/>
        <v>14863.09</v>
      </c>
      <c r="H167" s="240" t="s">
        <v>1617</v>
      </c>
    </row>
    <row r="168" spans="1:8" ht="27.6" x14ac:dyDescent="0.3">
      <c r="A168" s="324">
        <f t="shared" si="49"/>
        <v>76</v>
      </c>
      <c r="B168" s="325" t="s">
        <v>850</v>
      </c>
      <c r="C168" s="324" t="s">
        <v>239</v>
      </c>
      <c r="D168" s="383">
        <f>0.45+0.25+0.6+0.4+0.2+0.492+0.48+16.2</f>
        <v>19.071999999999999</v>
      </c>
      <c r="E168" s="296">
        <v>4948.6442400000005</v>
      </c>
      <c r="F168" s="289">
        <f>ROUND(E168*D168,2)</f>
        <v>94380.54</v>
      </c>
      <c r="G168" s="289">
        <f t="shared" si="48"/>
        <v>113256.65</v>
      </c>
      <c r="H168" s="240" t="s">
        <v>1617</v>
      </c>
    </row>
    <row r="169" spans="1:8" ht="41.4" x14ac:dyDescent="0.3">
      <c r="A169" s="324"/>
      <c r="B169" s="384" t="s">
        <v>1082</v>
      </c>
      <c r="C169" s="324"/>
      <c r="D169" s="328"/>
      <c r="E169" s="296">
        <v>0</v>
      </c>
      <c r="F169" s="312"/>
      <c r="G169" s="314"/>
    </row>
    <row r="170" spans="1:8" ht="15.6" x14ac:dyDescent="0.3">
      <c r="A170" s="324"/>
      <c r="B170" s="384" t="s">
        <v>1083</v>
      </c>
      <c r="C170" s="324"/>
      <c r="D170" s="328"/>
      <c r="E170" s="296">
        <v>0</v>
      </c>
      <c r="F170" s="312"/>
      <c r="G170" s="314"/>
    </row>
    <row r="171" spans="1:8" ht="15.6" x14ac:dyDescent="0.3">
      <c r="A171" s="324"/>
      <c r="B171" s="384" t="s">
        <v>513</v>
      </c>
      <c r="C171" s="324"/>
      <c r="D171" s="328"/>
      <c r="E171" s="296">
        <v>0</v>
      </c>
      <c r="F171" s="312"/>
      <c r="G171" s="314"/>
    </row>
    <row r="172" spans="1:8" ht="27.6" x14ac:dyDescent="0.3">
      <c r="A172" s="324">
        <f>A168+1</f>
        <v>77</v>
      </c>
      <c r="B172" s="325" t="s">
        <v>1085</v>
      </c>
      <c r="C172" s="324" t="s">
        <v>193</v>
      </c>
      <c r="D172" s="326">
        <v>2612.46</v>
      </c>
      <c r="E172" s="296">
        <v>534.91125600000009</v>
      </c>
      <c r="F172" s="289">
        <f t="shared" ref="F172:F186" si="50">ROUND(E172*D172,2)</f>
        <v>1397434.26</v>
      </c>
      <c r="G172" s="289">
        <f t="shared" ref="G172:G186" si="51">ROUND(F172*1.2,2)</f>
        <v>1676921.11</v>
      </c>
    </row>
    <row r="173" spans="1:8" ht="15.6" x14ac:dyDescent="0.3">
      <c r="A173" s="324">
        <f>A172+1</f>
        <v>78</v>
      </c>
      <c r="B173" s="325" t="s">
        <v>515</v>
      </c>
      <c r="C173" s="324" t="s">
        <v>193</v>
      </c>
      <c r="D173" s="326">
        <v>80.8</v>
      </c>
      <c r="E173" s="296">
        <v>2541.5435879999995</v>
      </c>
      <c r="F173" s="289">
        <f t="shared" si="50"/>
        <v>205356.72</v>
      </c>
      <c r="G173" s="289">
        <f t="shared" si="51"/>
        <v>246428.06</v>
      </c>
    </row>
    <row r="174" spans="1:8" ht="15.6" x14ac:dyDescent="0.3">
      <c r="A174" s="324">
        <f t="shared" ref="A174:A186" si="52">A173+1</f>
        <v>79</v>
      </c>
      <c r="B174" s="325" t="s">
        <v>1084</v>
      </c>
      <c r="C174" s="324" t="s">
        <v>193</v>
      </c>
      <c r="D174" s="326">
        <v>30.99</v>
      </c>
      <c r="E174" s="296">
        <v>1972.306476</v>
      </c>
      <c r="F174" s="289">
        <f t="shared" si="50"/>
        <v>61121.78</v>
      </c>
      <c r="G174" s="289">
        <f t="shared" si="51"/>
        <v>73346.14</v>
      </c>
    </row>
    <row r="175" spans="1:8" ht="15.6" x14ac:dyDescent="0.3">
      <c r="A175" s="324">
        <f t="shared" si="52"/>
        <v>80</v>
      </c>
      <c r="B175" s="325" t="s">
        <v>1112</v>
      </c>
      <c r="C175" s="324" t="s">
        <v>193</v>
      </c>
      <c r="D175" s="326">
        <v>660.24</v>
      </c>
      <c r="E175" s="296">
        <v>1972.306476</v>
      </c>
      <c r="F175" s="289">
        <f t="shared" si="50"/>
        <v>1302195.6299999999</v>
      </c>
      <c r="G175" s="289">
        <f t="shared" si="51"/>
        <v>1562634.76</v>
      </c>
    </row>
    <row r="176" spans="1:8" ht="27.6" x14ac:dyDescent="0.3">
      <c r="A176" s="324">
        <f t="shared" si="52"/>
        <v>81</v>
      </c>
      <c r="B176" s="325" t="s">
        <v>1086</v>
      </c>
      <c r="C176" s="324" t="s">
        <v>193</v>
      </c>
      <c r="D176" s="326">
        <v>196.21</v>
      </c>
      <c r="E176" s="296">
        <v>534.91125600000009</v>
      </c>
      <c r="F176" s="289">
        <f t="shared" si="50"/>
        <v>104954.94</v>
      </c>
      <c r="G176" s="289">
        <f t="shared" ref="G176" si="53">ROUND(F176*1.2,2)</f>
        <v>125945.93</v>
      </c>
    </row>
    <row r="177" spans="1:7" ht="15.6" x14ac:dyDescent="0.3">
      <c r="A177" s="87">
        <f t="shared" si="52"/>
        <v>82</v>
      </c>
      <c r="B177" s="244" t="s">
        <v>666</v>
      </c>
      <c r="C177" s="87" t="s">
        <v>193</v>
      </c>
      <c r="D177" s="227">
        <v>4.7300000000000004</v>
      </c>
      <c r="E177" s="171">
        <v>2033.8069679999999</v>
      </c>
      <c r="F177" s="103">
        <f t="shared" si="50"/>
        <v>9619.91</v>
      </c>
      <c r="G177" s="103">
        <f t="shared" si="51"/>
        <v>11543.89</v>
      </c>
    </row>
    <row r="178" spans="1:7" ht="27.6" x14ac:dyDescent="0.3">
      <c r="A178" s="87">
        <f t="shared" si="52"/>
        <v>83</v>
      </c>
      <c r="B178" s="244" t="s">
        <v>1087</v>
      </c>
      <c r="C178" s="87" t="s">
        <v>194</v>
      </c>
      <c r="D178" s="153">
        <v>35</v>
      </c>
      <c r="E178" s="171">
        <v>6930.9624239999994</v>
      </c>
      <c r="F178" s="103">
        <f t="shared" si="50"/>
        <v>242583.67999999999</v>
      </c>
      <c r="G178" s="103">
        <f t="shared" ref="G178:G182" si="54">ROUND(F178*1.2,2)</f>
        <v>291100.42</v>
      </c>
    </row>
    <row r="179" spans="1:7" ht="27.6" x14ac:dyDescent="0.3">
      <c r="A179" s="87">
        <f t="shared" si="52"/>
        <v>84</v>
      </c>
      <c r="B179" s="244" t="s">
        <v>1088</v>
      </c>
      <c r="C179" s="87" t="s">
        <v>194</v>
      </c>
      <c r="D179" s="153">
        <v>35</v>
      </c>
      <c r="E179" s="171">
        <v>592.12101599999994</v>
      </c>
      <c r="F179" s="103">
        <f t="shared" si="50"/>
        <v>20724.240000000002</v>
      </c>
      <c r="G179" s="103">
        <f t="shared" si="54"/>
        <v>24869.09</v>
      </c>
    </row>
    <row r="180" spans="1:7" ht="15.6" x14ac:dyDescent="0.3">
      <c r="A180" s="87">
        <f t="shared" si="52"/>
        <v>85</v>
      </c>
      <c r="B180" s="244" t="s">
        <v>678</v>
      </c>
      <c r="C180" s="87" t="s">
        <v>645</v>
      </c>
      <c r="D180" s="153">
        <v>1</v>
      </c>
      <c r="E180" s="171">
        <v>9604.088459999999</v>
      </c>
      <c r="F180" s="103">
        <f t="shared" si="50"/>
        <v>9604.09</v>
      </c>
      <c r="G180" s="103">
        <f t="shared" si="54"/>
        <v>11524.91</v>
      </c>
    </row>
    <row r="181" spans="1:7" ht="27.6" x14ac:dyDescent="0.3">
      <c r="A181" s="87">
        <f t="shared" si="52"/>
        <v>86</v>
      </c>
      <c r="B181" s="244" t="s">
        <v>1089</v>
      </c>
      <c r="C181" s="87" t="s">
        <v>193</v>
      </c>
      <c r="D181" s="227">
        <v>4.62</v>
      </c>
      <c r="E181" s="171">
        <v>13196.947202639998</v>
      </c>
      <c r="F181" s="103">
        <f t="shared" si="50"/>
        <v>60969.9</v>
      </c>
      <c r="G181" s="103">
        <f t="shared" si="54"/>
        <v>73163.88</v>
      </c>
    </row>
    <row r="182" spans="1:7" ht="15.6" x14ac:dyDescent="0.3">
      <c r="A182" s="87">
        <f t="shared" si="52"/>
        <v>87</v>
      </c>
      <c r="B182" s="244" t="s">
        <v>1090</v>
      </c>
      <c r="C182" s="87" t="s">
        <v>194</v>
      </c>
      <c r="D182" s="153">
        <v>35</v>
      </c>
      <c r="E182" s="171">
        <v>5296.1935320000002</v>
      </c>
      <c r="F182" s="103">
        <f t="shared" si="50"/>
        <v>185366.77</v>
      </c>
      <c r="G182" s="103">
        <f t="shared" si="54"/>
        <v>222440.12</v>
      </c>
    </row>
    <row r="183" spans="1:7" ht="15.6" x14ac:dyDescent="0.3">
      <c r="A183" s="87">
        <f t="shared" si="52"/>
        <v>88</v>
      </c>
      <c r="B183" s="244" t="s">
        <v>667</v>
      </c>
      <c r="C183" s="87" t="s">
        <v>193</v>
      </c>
      <c r="D183" s="227">
        <v>2101.14</v>
      </c>
      <c r="E183" s="171">
        <v>178.78050000000002</v>
      </c>
      <c r="F183" s="103">
        <f t="shared" si="50"/>
        <v>375642.86</v>
      </c>
      <c r="G183" s="103">
        <f t="shared" si="51"/>
        <v>450771.43</v>
      </c>
    </row>
    <row r="184" spans="1:7" ht="15.6" x14ac:dyDescent="0.3">
      <c r="A184" s="87">
        <f t="shared" si="52"/>
        <v>89</v>
      </c>
      <c r="B184" s="244" t="s">
        <v>451</v>
      </c>
      <c r="C184" s="87" t="s">
        <v>193</v>
      </c>
      <c r="D184" s="227">
        <v>2101.14</v>
      </c>
      <c r="E184" s="171">
        <v>283.188312</v>
      </c>
      <c r="F184" s="103">
        <f t="shared" si="50"/>
        <v>595018.29</v>
      </c>
      <c r="G184" s="103">
        <f t="shared" si="51"/>
        <v>714021.95</v>
      </c>
    </row>
    <row r="185" spans="1:7" ht="15.6" x14ac:dyDescent="0.3">
      <c r="A185" s="87">
        <f t="shared" si="52"/>
        <v>90</v>
      </c>
      <c r="B185" s="244" t="s">
        <v>518</v>
      </c>
      <c r="C185" s="87" t="s">
        <v>239</v>
      </c>
      <c r="D185" s="227">
        <v>1437.07</v>
      </c>
      <c r="E185" s="171">
        <v>464.82929999999999</v>
      </c>
      <c r="F185" s="103">
        <f t="shared" si="50"/>
        <v>667992.24</v>
      </c>
      <c r="G185" s="103">
        <f t="shared" si="51"/>
        <v>801590.69</v>
      </c>
    </row>
    <row r="186" spans="1:7" ht="15.6" x14ac:dyDescent="0.3">
      <c r="A186" s="466">
        <f t="shared" si="52"/>
        <v>91</v>
      </c>
      <c r="B186" s="244" t="s">
        <v>503</v>
      </c>
      <c r="C186" s="87" t="s">
        <v>239</v>
      </c>
      <c r="D186" s="227">
        <v>1437.07</v>
      </c>
      <c r="E186" s="171">
        <f>'исключение-свод'!D1</f>
        <v>4948.6400000000003</v>
      </c>
      <c r="F186" s="103">
        <f t="shared" si="50"/>
        <v>7111542.0800000001</v>
      </c>
      <c r="G186" s="103">
        <f t="shared" si="51"/>
        <v>8533850.5</v>
      </c>
    </row>
    <row r="187" spans="1:7" ht="15.6" x14ac:dyDescent="0.3">
      <c r="A187" s="87"/>
      <c r="B187" s="85" t="s">
        <v>523</v>
      </c>
      <c r="C187" s="87"/>
      <c r="D187" s="153"/>
      <c r="E187" s="171">
        <v>0</v>
      </c>
      <c r="F187" s="161"/>
      <c r="G187" s="266"/>
    </row>
    <row r="188" spans="1:7" ht="15.6" x14ac:dyDescent="0.3">
      <c r="A188" s="87">
        <f>A186+1</f>
        <v>92</v>
      </c>
      <c r="B188" s="244" t="s">
        <v>1091</v>
      </c>
      <c r="C188" s="87" t="s">
        <v>194</v>
      </c>
      <c r="D188" s="153">
        <v>215</v>
      </c>
      <c r="E188" s="171">
        <v>2081.0050200000001</v>
      </c>
      <c r="F188" s="103">
        <f>ROUND(E188*D188,2)</f>
        <v>447416.08</v>
      </c>
      <c r="G188" s="103">
        <f t="shared" ref="G188" si="55">ROUND(F188*1.2,2)</f>
        <v>536899.30000000005</v>
      </c>
    </row>
    <row r="189" spans="1:7" ht="15.6" x14ac:dyDescent="0.3">
      <c r="A189" s="87"/>
      <c r="B189" s="85" t="s">
        <v>525</v>
      </c>
      <c r="C189" s="87"/>
      <c r="D189" s="153"/>
      <c r="E189" s="171">
        <v>0</v>
      </c>
      <c r="F189" s="161"/>
      <c r="G189" s="266"/>
    </row>
    <row r="190" spans="1:7" ht="27.6" x14ac:dyDescent="0.3">
      <c r="A190" s="87">
        <f>A188+1</f>
        <v>93</v>
      </c>
      <c r="B190" s="244" t="s">
        <v>526</v>
      </c>
      <c r="C190" s="87" t="s">
        <v>193</v>
      </c>
      <c r="D190" s="228">
        <f>0.18*4+0.1*5+0.242*7+0.16*1+0.03*19+0.05*1+0.38*10+0.283*5+0.4*15+0.265*2</f>
        <v>15.438999999999998</v>
      </c>
      <c r="E190" s="171">
        <v>25993.823904999994</v>
      </c>
      <c r="F190" s="103">
        <f>ROUND(E190*D190,2)</f>
        <v>401318.65</v>
      </c>
      <c r="G190" s="103">
        <f t="shared" ref="G190:G191" si="56">ROUND(F190*1.2,2)</f>
        <v>481582.38</v>
      </c>
    </row>
    <row r="191" spans="1:7" ht="41.4" x14ac:dyDescent="0.3">
      <c r="A191" s="87">
        <f t="shared" ref="A191" si="57">A190+1</f>
        <v>94</v>
      </c>
      <c r="B191" s="244" t="s">
        <v>1092</v>
      </c>
      <c r="C191" s="87" t="s">
        <v>220</v>
      </c>
      <c r="D191" s="153">
        <v>15</v>
      </c>
      <c r="E191" s="171">
        <v>12767.788187999999</v>
      </c>
      <c r="F191" s="103">
        <f>ROUND(E191*D191,2)</f>
        <v>191516.82</v>
      </c>
      <c r="G191" s="103">
        <f t="shared" si="56"/>
        <v>229820.18</v>
      </c>
    </row>
    <row r="192" spans="1:7" ht="15.6" x14ac:dyDescent="0.3">
      <c r="A192" s="286"/>
      <c r="B192" s="303" t="s">
        <v>1093</v>
      </c>
      <c r="C192" s="286"/>
      <c r="D192" s="299"/>
      <c r="E192" s="171">
        <v>0</v>
      </c>
      <c r="F192" s="313"/>
      <c r="G192" s="314"/>
    </row>
    <row r="193" spans="1:8" ht="20.25" customHeight="1" x14ac:dyDescent="0.3">
      <c r="A193" s="324">
        <f>A191+1</f>
        <v>95</v>
      </c>
      <c r="B193" s="325" t="s">
        <v>1094</v>
      </c>
      <c r="C193" s="324" t="s">
        <v>220</v>
      </c>
      <c r="D193" s="328">
        <v>10</v>
      </c>
      <c r="E193" s="296">
        <v>20795.747760000002</v>
      </c>
      <c r="F193" s="289">
        <f>ROUND(E193*D193,2)</f>
        <v>207957.48</v>
      </c>
      <c r="G193" s="289">
        <f t="shared" ref="G193:G195" si="58">ROUND(F193*1.2,2)</f>
        <v>249548.98</v>
      </c>
    </row>
    <row r="194" spans="1:8" ht="15.6" x14ac:dyDescent="0.3">
      <c r="A194" s="324">
        <f t="shared" ref="A194:A197" si="59">A193+1</f>
        <v>96</v>
      </c>
      <c r="B194" s="325" t="s">
        <v>916</v>
      </c>
      <c r="C194" s="324" t="s">
        <v>239</v>
      </c>
      <c r="D194" s="383">
        <f>1.8+1.25+4.2+0.4+4.75+0.4+4.75+3.45+15+1.32+0.75+0.492+1.2+0.0324+0.039+0.0078+0.117</f>
        <v>39.958200000000005</v>
      </c>
      <c r="E194" s="296">
        <v>309.97174647506642</v>
      </c>
      <c r="F194" s="289">
        <f>ROUND(E194*D194,2)</f>
        <v>12385.91</v>
      </c>
      <c r="G194" s="289">
        <f t="shared" si="58"/>
        <v>14863.09</v>
      </c>
      <c r="H194" s="240" t="s">
        <v>1617</v>
      </c>
    </row>
    <row r="195" spans="1:8" ht="27.6" x14ac:dyDescent="0.3">
      <c r="A195" s="324">
        <f t="shared" si="59"/>
        <v>97</v>
      </c>
      <c r="B195" s="325" t="s">
        <v>850</v>
      </c>
      <c r="C195" s="324" t="s">
        <v>239</v>
      </c>
      <c r="D195" s="383">
        <f>1.8+1.25+4.2+0.4+4.75+0.4+4.75+3.45+15+1.32+0.75+0.492+1.2+0.0324+0.039+0.0078+0.117</f>
        <v>39.958200000000005</v>
      </c>
      <c r="E195" s="296">
        <v>4948.6442400000005</v>
      </c>
      <c r="F195" s="289">
        <f>ROUND(E195*D195,2)</f>
        <v>197738.92</v>
      </c>
      <c r="G195" s="289">
        <f t="shared" si="58"/>
        <v>237286.7</v>
      </c>
      <c r="H195" s="240" t="s">
        <v>1617</v>
      </c>
    </row>
    <row r="196" spans="1:8" ht="15.6" x14ac:dyDescent="0.3">
      <c r="A196" s="324">
        <f t="shared" si="59"/>
        <v>98</v>
      </c>
      <c r="B196" s="325" t="s">
        <v>1095</v>
      </c>
      <c r="C196" s="324" t="s">
        <v>194</v>
      </c>
      <c r="D196" s="328">
        <v>230</v>
      </c>
      <c r="E196" s="296">
        <v>1312.963992</v>
      </c>
      <c r="F196" s="289">
        <f>ROUND(E196*D196,2)</f>
        <v>301981.71999999997</v>
      </c>
      <c r="G196" s="289">
        <f t="shared" ref="G196:G197" si="60">ROUND(F196*1.2,2)</f>
        <v>362378.06</v>
      </c>
    </row>
    <row r="197" spans="1:8" ht="15.6" x14ac:dyDescent="0.3">
      <c r="A197" s="324">
        <f t="shared" si="59"/>
        <v>99</v>
      </c>
      <c r="B197" s="325" t="s">
        <v>1096</v>
      </c>
      <c r="C197" s="324" t="s">
        <v>220</v>
      </c>
      <c r="D197" s="328">
        <v>2</v>
      </c>
      <c r="E197" s="296">
        <v>20795.747760000002</v>
      </c>
      <c r="F197" s="289">
        <f>ROUND(E197*D197,2)</f>
        <v>41591.5</v>
      </c>
      <c r="G197" s="289">
        <f t="shared" si="60"/>
        <v>49909.8</v>
      </c>
    </row>
    <row r="198" spans="1:8" ht="19.5" customHeight="1" x14ac:dyDescent="0.3">
      <c r="A198" s="324"/>
      <c r="B198" s="384" t="s">
        <v>1097</v>
      </c>
      <c r="C198" s="324"/>
      <c r="D198" s="328"/>
      <c r="E198" s="296">
        <v>0</v>
      </c>
      <c r="F198" s="312"/>
      <c r="G198" s="314"/>
    </row>
    <row r="199" spans="1:8" ht="21.75" customHeight="1" x14ac:dyDescent="0.3">
      <c r="A199" s="324"/>
      <c r="B199" s="384" t="s">
        <v>513</v>
      </c>
      <c r="C199" s="324"/>
      <c r="D199" s="328"/>
      <c r="E199" s="296">
        <v>0</v>
      </c>
      <c r="F199" s="312"/>
      <c r="G199" s="314"/>
    </row>
    <row r="200" spans="1:8" ht="27.6" x14ac:dyDescent="0.3">
      <c r="A200" s="324">
        <v>100</v>
      </c>
      <c r="B200" s="325" t="s">
        <v>1085</v>
      </c>
      <c r="C200" s="324" t="s">
        <v>193</v>
      </c>
      <c r="D200" s="326">
        <v>279.94</v>
      </c>
      <c r="E200" s="296">
        <v>534.91125600000009</v>
      </c>
      <c r="F200" s="289">
        <f t="shared" ref="F200:F209" si="61">ROUND(E200*D200,2)</f>
        <v>149743.06</v>
      </c>
      <c r="G200" s="289">
        <f t="shared" ref="G200:G209" si="62">ROUND(F200*1.2,2)</f>
        <v>179691.67</v>
      </c>
    </row>
    <row r="201" spans="1:8" ht="15.6" x14ac:dyDescent="0.3">
      <c r="A201" s="324">
        <f t="shared" ref="A201:A211" si="63">A200+1</f>
        <v>101</v>
      </c>
      <c r="B201" s="325" t="s">
        <v>515</v>
      </c>
      <c r="C201" s="324" t="s">
        <v>193</v>
      </c>
      <c r="D201" s="326">
        <v>8.6999999999999993</v>
      </c>
      <c r="E201" s="296">
        <v>2541.5435879999995</v>
      </c>
      <c r="F201" s="289">
        <f t="shared" si="61"/>
        <v>22111.43</v>
      </c>
      <c r="G201" s="289">
        <f t="shared" si="62"/>
        <v>26533.72</v>
      </c>
    </row>
    <row r="202" spans="1:8" ht="15.6" x14ac:dyDescent="0.3">
      <c r="A202" s="324">
        <f t="shared" si="63"/>
        <v>102</v>
      </c>
      <c r="B202" s="325" t="s">
        <v>1084</v>
      </c>
      <c r="C202" s="324" t="s">
        <v>193</v>
      </c>
      <c r="D202" s="326">
        <v>7.1</v>
      </c>
      <c r="E202" s="296">
        <v>1972.306476</v>
      </c>
      <c r="F202" s="289">
        <f t="shared" si="61"/>
        <v>14003.38</v>
      </c>
      <c r="G202" s="289">
        <f t="shared" si="62"/>
        <v>16804.060000000001</v>
      </c>
    </row>
    <row r="203" spans="1:8" ht="15.6" x14ac:dyDescent="0.3">
      <c r="A203" s="324">
        <f t="shared" si="63"/>
        <v>103</v>
      </c>
      <c r="B203" s="325" t="s">
        <v>1112</v>
      </c>
      <c r="C203" s="324" t="s">
        <v>193</v>
      </c>
      <c r="D203" s="326">
        <v>103.41</v>
      </c>
      <c r="E203" s="296">
        <v>1972.306476</v>
      </c>
      <c r="F203" s="289">
        <f t="shared" si="61"/>
        <v>203956.21</v>
      </c>
      <c r="G203" s="289">
        <f t="shared" si="62"/>
        <v>244747.45</v>
      </c>
    </row>
    <row r="204" spans="1:8" ht="27.6" x14ac:dyDescent="0.3">
      <c r="A204" s="324">
        <f t="shared" si="63"/>
        <v>104</v>
      </c>
      <c r="B204" s="325" t="s">
        <v>1086</v>
      </c>
      <c r="C204" s="324" t="s">
        <v>193</v>
      </c>
      <c r="D204" s="326">
        <v>18.72</v>
      </c>
      <c r="E204" s="296">
        <v>534.91125600000009</v>
      </c>
      <c r="F204" s="289">
        <f t="shared" si="61"/>
        <v>10013.540000000001</v>
      </c>
      <c r="G204" s="289">
        <f t="shared" si="62"/>
        <v>12016.25</v>
      </c>
    </row>
    <row r="205" spans="1:8" ht="15.6" x14ac:dyDescent="0.3">
      <c r="A205" s="286">
        <f t="shared" si="63"/>
        <v>105</v>
      </c>
      <c r="B205" s="291" t="s">
        <v>666</v>
      </c>
      <c r="C205" s="87" t="s">
        <v>193</v>
      </c>
      <c r="D205" s="227">
        <v>0.8</v>
      </c>
      <c r="E205" s="171">
        <v>2033.8069679999999</v>
      </c>
      <c r="F205" s="103">
        <f t="shared" si="61"/>
        <v>1627.05</v>
      </c>
      <c r="G205" s="103">
        <f t="shared" si="62"/>
        <v>1952.46</v>
      </c>
    </row>
    <row r="206" spans="1:8" ht="15.6" x14ac:dyDescent="0.3">
      <c r="A206" s="286">
        <f t="shared" si="63"/>
        <v>106</v>
      </c>
      <c r="B206" s="291" t="s">
        <v>667</v>
      </c>
      <c r="C206" s="87" t="s">
        <v>193</v>
      </c>
      <c r="D206" s="227">
        <v>189.59</v>
      </c>
      <c r="E206" s="171">
        <v>178.78050000000002</v>
      </c>
      <c r="F206" s="103">
        <f t="shared" si="61"/>
        <v>33894.99</v>
      </c>
      <c r="G206" s="103">
        <f t="shared" si="62"/>
        <v>40673.99</v>
      </c>
    </row>
    <row r="207" spans="1:8" ht="15.6" x14ac:dyDescent="0.3">
      <c r="A207" s="286">
        <f t="shared" si="63"/>
        <v>107</v>
      </c>
      <c r="B207" s="291" t="s">
        <v>451</v>
      </c>
      <c r="C207" s="87" t="s">
        <v>193</v>
      </c>
      <c r="D207" s="227">
        <v>189.59</v>
      </c>
      <c r="E207" s="171">
        <v>283.188312</v>
      </c>
      <c r="F207" s="103">
        <f t="shared" si="61"/>
        <v>53689.67</v>
      </c>
      <c r="G207" s="103">
        <f t="shared" si="62"/>
        <v>64427.6</v>
      </c>
    </row>
    <row r="208" spans="1:8" ht="15.6" x14ac:dyDescent="0.3">
      <c r="A208" s="286">
        <f t="shared" si="63"/>
        <v>108</v>
      </c>
      <c r="B208" s="291" t="s">
        <v>518</v>
      </c>
      <c r="C208" s="87" t="s">
        <v>239</v>
      </c>
      <c r="D208" s="227">
        <v>221.55</v>
      </c>
      <c r="E208" s="171">
        <v>464.82929999999999</v>
      </c>
      <c r="F208" s="103">
        <f t="shared" si="61"/>
        <v>102982.93</v>
      </c>
      <c r="G208" s="103">
        <f t="shared" si="62"/>
        <v>123579.52</v>
      </c>
    </row>
    <row r="209" spans="1:8" ht="15.6" x14ac:dyDescent="0.3">
      <c r="A209" s="466">
        <f t="shared" si="63"/>
        <v>109</v>
      </c>
      <c r="B209" s="291" t="s">
        <v>503</v>
      </c>
      <c r="C209" s="87" t="s">
        <v>239</v>
      </c>
      <c r="D209" s="227">
        <v>221.55</v>
      </c>
      <c r="E209" s="171">
        <f>'исключение-свод'!D1</f>
        <v>4948.6400000000003</v>
      </c>
      <c r="F209" s="103">
        <f t="shared" si="61"/>
        <v>1096371.19</v>
      </c>
      <c r="G209" s="103">
        <f t="shared" si="62"/>
        <v>1315645.43</v>
      </c>
    </row>
    <row r="210" spans="1:8" ht="21" customHeight="1" x14ac:dyDescent="0.3">
      <c r="A210" s="286">
        <f t="shared" si="63"/>
        <v>110</v>
      </c>
      <c r="B210" s="303" t="s">
        <v>523</v>
      </c>
      <c r="C210" s="87"/>
      <c r="D210" s="153"/>
      <c r="E210" s="171">
        <v>0</v>
      </c>
      <c r="F210" s="161"/>
      <c r="G210" s="266"/>
    </row>
    <row r="211" spans="1:8" ht="18.75" customHeight="1" x14ac:dyDescent="0.3">
      <c r="A211" s="286">
        <f t="shared" si="63"/>
        <v>111</v>
      </c>
      <c r="B211" s="291" t="s">
        <v>1091</v>
      </c>
      <c r="C211" s="87" t="s">
        <v>194</v>
      </c>
      <c r="D211" s="153">
        <v>27</v>
      </c>
      <c r="E211" s="171">
        <v>2081.0050200000001</v>
      </c>
      <c r="F211" s="103">
        <f>ROUND(E211*D211,2)</f>
        <v>56187.14</v>
      </c>
      <c r="G211" s="103">
        <f t="shared" ref="G211" si="64">ROUND(F211*1.2,2)</f>
        <v>67424.570000000007</v>
      </c>
    </row>
    <row r="212" spans="1:8" ht="33" customHeight="1" x14ac:dyDescent="0.3">
      <c r="A212" s="87"/>
      <c r="B212" s="85" t="s">
        <v>1098</v>
      </c>
      <c r="C212" s="87"/>
      <c r="D212" s="153"/>
      <c r="E212" s="171">
        <v>0</v>
      </c>
      <c r="F212" s="161"/>
      <c r="G212" s="266"/>
    </row>
    <row r="213" spans="1:8" ht="27.6" x14ac:dyDescent="0.3">
      <c r="A213" s="87">
        <f>A211+1</f>
        <v>112</v>
      </c>
      <c r="B213" s="244" t="s">
        <v>526</v>
      </c>
      <c r="C213" s="87" t="s">
        <v>193</v>
      </c>
      <c r="D213" s="228">
        <f>2*0.18+2*0.1+2*0.242</f>
        <v>1.044</v>
      </c>
      <c r="E213" s="171">
        <v>25993.823904999994</v>
      </c>
      <c r="F213" s="103">
        <f>ROUND(E213*D213,2)</f>
        <v>27137.55</v>
      </c>
      <c r="G213" s="103">
        <f t="shared" ref="G213" si="65">ROUND(F213*1.2,2)</f>
        <v>32565.06</v>
      </c>
    </row>
    <row r="214" spans="1:8" ht="15.6" x14ac:dyDescent="0.3">
      <c r="A214" s="286">
        <f>A213+1</f>
        <v>113</v>
      </c>
      <c r="B214" s="291" t="s">
        <v>1099</v>
      </c>
      <c r="C214" s="286" t="s">
        <v>220</v>
      </c>
      <c r="D214" s="299">
        <v>2</v>
      </c>
      <c r="E214" s="171">
        <v>3268.10754</v>
      </c>
      <c r="F214" s="289">
        <f>ROUND(E214*D214,2)</f>
        <v>6536.22</v>
      </c>
      <c r="G214" s="289">
        <f t="shared" ref="G214" si="66">ROUND(F214*1.2,2)</f>
        <v>7843.46</v>
      </c>
    </row>
    <row r="215" spans="1:8" s="210" customFormat="1" ht="21" customHeight="1" x14ac:dyDescent="0.3">
      <c r="A215" s="430"/>
      <c r="B215" s="431" t="s">
        <v>1100</v>
      </c>
      <c r="C215" s="430"/>
      <c r="D215" s="432"/>
      <c r="E215" s="433">
        <v>0</v>
      </c>
      <c r="F215" s="434"/>
      <c r="G215" s="435"/>
      <c r="H215" s="240"/>
    </row>
    <row r="216" spans="1:8" s="210" customFormat="1" ht="15.6" x14ac:dyDescent="0.3">
      <c r="A216" s="430"/>
      <c r="B216" s="431" t="s">
        <v>513</v>
      </c>
      <c r="C216" s="430"/>
      <c r="D216" s="432"/>
      <c r="E216" s="433">
        <v>0</v>
      </c>
      <c r="F216" s="434"/>
      <c r="G216" s="435"/>
      <c r="H216" s="240"/>
    </row>
    <row r="217" spans="1:8" s="210" customFormat="1" ht="27.6" x14ac:dyDescent="0.3">
      <c r="A217" s="430">
        <f>A214+1</f>
        <v>114</v>
      </c>
      <c r="B217" s="436" t="s">
        <v>1085</v>
      </c>
      <c r="C217" s="430" t="s">
        <v>193</v>
      </c>
      <c r="D217" s="437">
        <f>'исключение-свод'!B1*1686.55</f>
        <v>1686.55</v>
      </c>
      <c r="E217" s="433">
        <v>534.91125600000009</v>
      </c>
      <c r="F217" s="438">
        <f t="shared" ref="F217:F231" si="67">ROUND(E217*D217,2)</f>
        <v>902154.58</v>
      </c>
      <c r="G217" s="438">
        <f t="shared" ref="G217:G231" si="68">ROUND(F217*1.2,2)</f>
        <v>1082585.5</v>
      </c>
      <c r="H217" s="240"/>
    </row>
    <row r="218" spans="1:8" s="210" customFormat="1" ht="15.6" x14ac:dyDescent="0.3">
      <c r="A218" s="430">
        <f>A217+1</f>
        <v>115</v>
      </c>
      <c r="B218" s="436" t="s">
        <v>515</v>
      </c>
      <c r="C218" s="430" t="s">
        <v>193</v>
      </c>
      <c r="D218" s="437">
        <f>'исключение-свод'!B1*52.41</f>
        <v>52.41</v>
      </c>
      <c r="E218" s="433">
        <v>2541.5435879999995</v>
      </c>
      <c r="F218" s="438">
        <f t="shared" si="67"/>
        <v>133202.29999999999</v>
      </c>
      <c r="G218" s="438">
        <f t="shared" si="68"/>
        <v>159842.76</v>
      </c>
      <c r="H218" s="240"/>
    </row>
    <row r="219" spans="1:8" s="210" customFormat="1" ht="15.6" x14ac:dyDescent="0.3">
      <c r="A219" s="430">
        <f t="shared" ref="A219:A231" si="69">A218+1</f>
        <v>116</v>
      </c>
      <c r="B219" s="436" t="s">
        <v>1084</v>
      </c>
      <c r="C219" s="430" t="s">
        <v>193</v>
      </c>
      <c r="D219" s="437">
        <f>'исключение-свод'!B1*61.32</f>
        <v>61.32</v>
      </c>
      <c r="E219" s="433">
        <v>1972.306476</v>
      </c>
      <c r="F219" s="438">
        <f t="shared" si="67"/>
        <v>120941.83</v>
      </c>
      <c r="G219" s="438">
        <f t="shared" si="68"/>
        <v>145130.20000000001</v>
      </c>
      <c r="H219" s="240"/>
    </row>
    <row r="220" spans="1:8" s="210" customFormat="1" ht="15.6" x14ac:dyDescent="0.3">
      <c r="A220" s="430">
        <f t="shared" si="69"/>
        <v>117</v>
      </c>
      <c r="B220" s="436" t="s">
        <v>1112</v>
      </c>
      <c r="C220" s="430" t="s">
        <v>193</v>
      </c>
      <c r="D220" s="437">
        <f>'исключение-свод'!B1*1048.56</f>
        <v>1048.56</v>
      </c>
      <c r="E220" s="433">
        <v>1972.306476</v>
      </c>
      <c r="F220" s="438">
        <f t="shared" si="67"/>
        <v>2068081.68</v>
      </c>
      <c r="G220" s="438">
        <f t="shared" si="68"/>
        <v>2481698.02</v>
      </c>
      <c r="H220" s="240"/>
    </row>
    <row r="221" spans="1:8" s="210" customFormat="1" ht="27.6" x14ac:dyDescent="0.3">
      <c r="A221" s="430">
        <f t="shared" si="69"/>
        <v>118</v>
      </c>
      <c r="B221" s="436" t="s">
        <v>1086</v>
      </c>
      <c r="C221" s="430" t="s">
        <v>193</v>
      </c>
      <c r="D221" s="437">
        <f>'исключение-свод'!B1*62.19</f>
        <v>62.19</v>
      </c>
      <c r="E221" s="433">
        <v>534.91125600000009</v>
      </c>
      <c r="F221" s="438">
        <f t="shared" si="67"/>
        <v>33266.129999999997</v>
      </c>
      <c r="G221" s="438">
        <f t="shared" si="68"/>
        <v>39919.360000000001</v>
      </c>
      <c r="H221" s="240"/>
    </row>
    <row r="222" spans="1:8" s="210" customFormat="1" ht="15.6" x14ac:dyDescent="0.3">
      <c r="A222" s="430">
        <f t="shared" si="69"/>
        <v>119</v>
      </c>
      <c r="B222" s="436" t="s">
        <v>666</v>
      </c>
      <c r="C222" s="430" t="s">
        <v>193</v>
      </c>
      <c r="D222" s="437">
        <f>'исключение-свод'!B1*1.8</f>
        <v>1.8</v>
      </c>
      <c r="E222" s="433">
        <v>2033.8069679999999</v>
      </c>
      <c r="F222" s="438">
        <f t="shared" si="67"/>
        <v>3660.85</v>
      </c>
      <c r="G222" s="438">
        <f t="shared" si="68"/>
        <v>4393.0200000000004</v>
      </c>
      <c r="H222" s="240"/>
    </row>
    <row r="223" spans="1:8" s="210" customFormat="1" ht="27.6" x14ac:dyDescent="0.3">
      <c r="A223" s="430">
        <f t="shared" si="69"/>
        <v>120</v>
      </c>
      <c r="B223" s="436" t="s">
        <v>1101</v>
      </c>
      <c r="C223" s="430" t="s">
        <v>194</v>
      </c>
      <c r="D223" s="432">
        <f>'исключение-свод'!B1*14</f>
        <v>14</v>
      </c>
      <c r="E223" s="433">
        <v>17850.875364</v>
      </c>
      <c r="F223" s="438">
        <f t="shared" si="67"/>
        <v>249912.26</v>
      </c>
      <c r="G223" s="438">
        <f t="shared" si="68"/>
        <v>299894.71000000002</v>
      </c>
      <c r="H223" s="240"/>
    </row>
    <row r="224" spans="1:8" s="210" customFormat="1" ht="27.6" x14ac:dyDescent="0.3">
      <c r="A224" s="430">
        <f t="shared" si="69"/>
        <v>121</v>
      </c>
      <c r="B224" s="436" t="s">
        <v>668</v>
      </c>
      <c r="C224" s="430" t="s">
        <v>194</v>
      </c>
      <c r="D224" s="432">
        <f>'исключение-свод'!B1*14</f>
        <v>14</v>
      </c>
      <c r="E224" s="433">
        <v>592.12101599999994</v>
      </c>
      <c r="F224" s="438">
        <f t="shared" si="67"/>
        <v>8289.69</v>
      </c>
      <c r="G224" s="438">
        <f t="shared" si="68"/>
        <v>9947.6299999999992</v>
      </c>
      <c r="H224" s="240"/>
    </row>
    <row r="225" spans="1:8" s="210" customFormat="1" ht="15.6" x14ac:dyDescent="0.3">
      <c r="A225" s="430">
        <f t="shared" si="69"/>
        <v>122</v>
      </c>
      <c r="B225" s="436" t="s">
        <v>1102</v>
      </c>
      <c r="C225" s="430" t="s">
        <v>645</v>
      </c>
      <c r="D225" s="432">
        <f>'исключение-свод'!B1*1</f>
        <v>1</v>
      </c>
      <c r="E225" s="433">
        <v>27535.057487999995</v>
      </c>
      <c r="F225" s="438">
        <f t="shared" si="67"/>
        <v>27535.06</v>
      </c>
      <c r="G225" s="438">
        <f t="shared" si="68"/>
        <v>33042.07</v>
      </c>
      <c r="H225" s="240"/>
    </row>
    <row r="226" spans="1:8" s="210" customFormat="1" ht="27.6" x14ac:dyDescent="0.3">
      <c r="A226" s="430">
        <f t="shared" si="69"/>
        <v>123</v>
      </c>
      <c r="B226" s="436" t="s">
        <v>1104</v>
      </c>
      <c r="C226" s="430" t="s">
        <v>194</v>
      </c>
      <c r="D226" s="432">
        <f>'исключение-свод'!B1*14</f>
        <v>14</v>
      </c>
      <c r="E226" s="433">
        <v>5296.1935320000002</v>
      </c>
      <c r="F226" s="438">
        <f t="shared" si="67"/>
        <v>74146.710000000006</v>
      </c>
      <c r="G226" s="438">
        <f t="shared" ref="G226" si="70">ROUND(F226*1.2,2)</f>
        <v>88976.05</v>
      </c>
      <c r="H226" s="240"/>
    </row>
    <row r="227" spans="1:8" s="210" customFormat="1" ht="27.6" x14ac:dyDescent="0.3">
      <c r="A227" s="430">
        <f>A225+1</f>
        <v>123</v>
      </c>
      <c r="B227" s="436" t="s">
        <v>1103</v>
      </c>
      <c r="C227" s="430" t="s">
        <v>193</v>
      </c>
      <c r="D227" s="437">
        <f>'исключение-свод'!B1*6.33</f>
        <v>6.33</v>
      </c>
      <c r="E227" s="433">
        <v>13196.947202639998</v>
      </c>
      <c r="F227" s="438">
        <f t="shared" si="67"/>
        <v>83536.679999999993</v>
      </c>
      <c r="G227" s="438">
        <f t="shared" si="68"/>
        <v>100244.02</v>
      </c>
      <c r="H227" s="240"/>
    </row>
    <row r="228" spans="1:8" s="210" customFormat="1" ht="15.6" x14ac:dyDescent="0.3">
      <c r="A228" s="430">
        <f>A226+1</f>
        <v>124</v>
      </c>
      <c r="B228" s="436" t="s">
        <v>667</v>
      </c>
      <c r="C228" s="430" t="s">
        <v>193</v>
      </c>
      <c r="D228" s="437">
        <f>'исключение-свод'!B1*513.4</f>
        <v>513.4</v>
      </c>
      <c r="E228" s="433">
        <v>178.78050000000002</v>
      </c>
      <c r="F228" s="438">
        <f t="shared" si="67"/>
        <v>91785.91</v>
      </c>
      <c r="G228" s="438">
        <f t="shared" si="68"/>
        <v>110143.09</v>
      </c>
      <c r="H228" s="240"/>
    </row>
    <row r="229" spans="1:8" s="210" customFormat="1" ht="15.6" x14ac:dyDescent="0.3">
      <c r="A229" s="430">
        <f t="shared" si="69"/>
        <v>125</v>
      </c>
      <c r="B229" s="436" t="s">
        <v>451</v>
      </c>
      <c r="C229" s="430" t="s">
        <v>193</v>
      </c>
      <c r="D229" s="437">
        <f>'исключение-свод'!B1*513.4</f>
        <v>513.4</v>
      </c>
      <c r="E229" s="433">
        <v>283.188312</v>
      </c>
      <c r="F229" s="438">
        <f t="shared" si="67"/>
        <v>145388.88</v>
      </c>
      <c r="G229" s="438">
        <f t="shared" si="68"/>
        <v>174466.66</v>
      </c>
      <c r="H229" s="240"/>
    </row>
    <row r="230" spans="1:8" s="210" customFormat="1" ht="15.6" x14ac:dyDescent="0.3">
      <c r="A230" s="430">
        <f t="shared" si="69"/>
        <v>126</v>
      </c>
      <c r="B230" s="436" t="s">
        <v>518</v>
      </c>
      <c r="C230" s="430" t="s">
        <v>239</v>
      </c>
      <c r="D230" s="437">
        <f>'исключение-свод'!B1*2343.96</f>
        <v>2343.96</v>
      </c>
      <c r="E230" s="433">
        <v>464.82929999999999</v>
      </c>
      <c r="F230" s="438">
        <f t="shared" si="67"/>
        <v>1089541.29</v>
      </c>
      <c r="G230" s="438">
        <f t="shared" si="68"/>
        <v>1307449.55</v>
      </c>
      <c r="H230" s="240"/>
    </row>
    <row r="231" spans="1:8" s="210" customFormat="1" ht="18" customHeight="1" x14ac:dyDescent="0.3">
      <c r="A231" s="582">
        <f t="shared" si="69"/>
        <v>127</v>
      </c>
      <c r="B231" s="436" t="s">
        <v>503</v>
      </c>
      <c r="C231" s="430" t="s">
        <v>239</v>
      </c>
      <c r="D231" s="437">
        <f>'исключение-свод'!B1*2343.96</f>
        <v>2343.96</v>
      </c>
      <c r="E231" s="433">
        <f>'исключение-свод'!D1</f>
        <v>4948.6400000000003</v>
      </c>
      <c r="F231" s="438">
        <f t="shared" si="67"/>
        <v>11599414.210000001</v>
      </c>
      <c r="G231" s="438">
        <f t="shared" si="68"/>
        <v>13919297.050000001</v>
      </c>
      <c r="H231" s="240"/>
    </row>
    <row r="232" spans="1:8" s="210" customFormat="1" ht="19.5" customHeight="1" x14ac:dyDescent="0.3">
      <c r="A232" s="430"/>
      <c r="B232" s="431" t="s">
        <v>523</v>
      </c>
      <c r="C232" s="430"/>
      <c r="D232" s="432"/>
      <c r="E232" s="433">
        <v>0</v>
      </c>
      <c r="F232" s="434"/>
      <c r="G232" s="435"/>
      <c r="H232" s="240"/>
    </row>
    <row r="233" spans="1:8" s="210" customFormat="1" ht="18.75" customHeight="1" x14ac:dyDescent="0.3">
      <c r="A233" s="430">
        <f>A231+1</f>
        <v>128</v>
      </c>
      <c r="B233" s="436" t="s">
        <v>669</v>
      </c>
      <c r="C233" s="430" t="s">
        <v>194</v>
      </c>
      <c r="D233" s="432">
        <f>'исключение-свод'!B1*132</f>
        <v>132</v>
      </c>
      <c r="E233" s="433">
        <v>6620.5994760000003</v>
      </c>
      <c r="F233" s="438">
        <f>ROUND(E233*D233,2)</f>
        <v>873919.13</v>
      </c>
      <c r="G233" s="438">
        <f t="shared" ref="G233" si="71">ROUND(F233*1.2,2)</f>
        <v>1048702.96</v>
      </c>
      <c r="H233" s="240"/>
    </row>
    <row r="234" spans="1:8" s="210" customFormat="1" ht="21.75" customHeight="1" x14ac:dyDescent="0.3">
      <c r="A234" s="430"/>
      <c r="B234" s="431" t="s">
        <v>525</v>
      </c>
      <c r="C234" s="430"/>
      <c r="D234" s="432"/>
      <c r="E234" s="433">
        <v>0</v>
      </c>
      <c r="F234" s="434"/>
      <c r="G234" s="435"/>
      <c r="H234" s="240"/>
    </row>
    <row r="235" spans="1:8" s="210" customFormat="1" ht="27.6" x14ac:dyDescent="0.3">
      <c r="A235" s="430">
        <f>A233+1</f>
        <v>129</v>
      </c>
      <c r="B235" s="436" t="s">
        <v>526</v>
      </c>
      <c r="C235" s="430" t="s">
        <v>193</v>
      </c>
      <c r="D235" s="439">
        <f>'исключение-свод'!B1*(2*0.59+4*0.53+3*0.587+1*0.389+0.03*6)</f>
        <v>5.63</v>
      </c>
      <c r="E235" s="433">
        <v>25993.823904999994</v>
      </c>
      <c r="F235" s="438">
        <f>ROUND(E235*D235,2)</f>
        <v>146345.23000000001</v>
      </c>
      <c r="G235" s="438">
        <f t="shared" ref="G235" si="72">ROUND(F235*1.2,2)</f>
        <v>175614.28</v>
      </c>
      <c r="H235" s="240"/>
    </row>
    <row r="236" spans="1:8" s="210" customFormat="1" ht="41.4" x14ac:dyDescent="0.3">
      <c r="A236" s="430">
        <f>A235+1</f>
        <v>130</v>
      </c>
      <c r="B236" s="436" t="s">
        <v>1105</v>
      </c>
      <c r="C236" s="430" t="s">
        <v>220</v>
      </c>
      <c r="D236" s="432">
        <f>'исключение-свод'!B1*6</f>
        <v>6</v>
      </c>
      <c r="E236" s="433">
        <v>27535.057487999995</v>
      </c>
      <c r="F236" s="438">
        <f>ROUND(E236*D236,2)</f>
        <v>165210.34</v>
      </c>
      <c r="G236" s="438">
        <f t="shared" ref="G236" si="73">ROUND(F236*1.2,2)</f>
        <v>198252.41</v>
      </c>
      <c r="H236" s="240"/>
    </row>
    <row r="237" spans="1:8" s="210" customFormat="1" ht="22.5" customHeight="1" x14ac:dyDescent="0.3">
      <c r="A237" s="430"/>
      <c r="B237" s="431" t="s">
        <v>708</v>
      </c>
      <c r="C237" s="430"/>
      <c r="D237" s="432"/>
      <c r="E237" s="433">
        <v>0</v>
      </c>
      <c r="F237" s="434"/>
      <c r="G237" s="435"/>
      <c r="H237" s="240"/>
    </row>
    <row r="238" spans="1:8" s="210" customFormat="1" ht="14.4" customHeight="1" x14ac:dyDescent="0.3">
      <c r="A238" s="440">
        <f>A236+1</f>
        <v>131</v>
      </c>
      <c r="B238" s="441" t="s">
        <v>1109</v>
      </c>
      <c r="C238" s="440" t="s">
        <v>220</v>
      </c>
      <c r="D238" s="442">
        <f>'исключение-свод'!B1*2</f>
        <v>2</v>
      </c>
      <c r="E238" s="433">
        <v>20795.747760000002</v>
      </c>
      <c r="F238" s="523">
        <f>ROUND(E238*D238,2)</f>
        <v>41591.5</v>
      </c>
      <c r="G238" s="523">
        <f t="shared" ref="G238:G241" si="74">ROUND(F238*1.2,2)</f>
        <v>49909.8</v>
      </c>
      <c r="H238" s="240"/>
    </row>
    <row r="239" spans="1:8" s="210" customFormat="1" ht="15.75" customHeight="1" x14ac:dyDescent="0.3">
      <c r="A239" s="440">
        <f>A238+1</f>
        <v>132</v>
      </c>
      <c r="B239" s="441" t="s">
        <v>1108</v>
      </c>
      <c r="C239" s="440" t="s">
        <v>220</v>
      </c>
      <c r="D239" s="442">
        <f>'исключение-свод'!B1*2</f>
        <v>2</v>
      </c>
      <c r="E239" s="433">
        <v>0</v>
      </c>
      <c r="F239" s="524">
        <f>ROUND(E239*D239,2)</f>
        <v>0</v>
      </c>
      <c r="G239" s="524">
        <f t="shared" si="74"/>
        <v>0</v>
      </c>
      <c r="H239" s="240"/>
    </row>
    <row r="240" spans="1:8" s="210" customFormat="1" ht="15.75" customHeight="1" x14ac:dyDescent="0.3">
      <c r="A240" s="440">
        <f>A239+1</f>
        <v>133</v>
      </c>
      <c r="B240" s="441" t="s">
        <v>1106</v>
      </c>
      <c r="C240" s="440" t="s">
        <v>220</v>
      </c>
      <c r="D240" s="442">
        <f>'исключение-свод'!B1*2</f>
        <v>2</v>
      </c>
      <c r="E240" s="433">
        <v>0</v>
      </c>
      <c r="F240" s="525">
        <f>ROUND(E240*D240,2)</f>
        <v>0</v>
      </c>
      <c r="G240" s="525">
        <f t="shared" si="74"/>
        <v>0</v>
      </c>
      <c r="H240" s="240"/>
    </row>
    <row r="241" spans="1:8" s="210" customFormat="1" ht="15.6" x14ac:dyDescent="0.3">
      <c r="A241" s="440">
        <f>A240+1</f>
        <v>134</v>
      </c>
      <c r="B241" s="441" t="s">
        <v>1107</v>
      </c>
      <c r="C241" s="440" t="s">
        <v>194</v>
      </c>
      <c r="D241" s="442">
        <f>'исключение-свод'!B1*132</f>
        <v>132</v>
      </c>
      <c r="E241" s="433">
        <v>2937.7211759999996</v>
      </c>
      <c r="F241" s="443">
        <f>ROUND(E241*D241,2)</f>
        <v>387779.2</v>
      </c>
      <c r="G241" s="443">
        <f t="shared" si="74"/>
        <v>465335.03999999998</v>
      </c>
      <c r="H241" s="240"/>
    </row>
    <row r="242" spans="1:8" s="210" customFormat="1" ht="20.25" customHeight="1" x14ac:dyDescent="0.3">
      <c r="A242" s="430"/>
      <c r="B242" s="431" t="s">
        <v>1110</v>
      </c>
      <c r="C242" s="430"/>
      <c r="D242" s="432"/>
      <c r="E242" s="433">
        <v>0</v>
      </c>
      <c r="F242" s="434"/>
      <c r="G242" s="435"/>
      <c r="H242" s="240"/>
    </row>
    <row r="243" spans="1:8" s="210" customFormat="1" ht="21" customHeight="1" x14ac:dyDescent="0.3">
      <c r="A243" s="430"/>
      <c r="B243" s="431" t="s">
        <v>513</v>
      </c>
      <c r="C243" s="430"/>
      <c r="D243" s="432"/>
      <c r="E243" s="433">
        <v>0</v>
      </c>
      <c r="F243" s="434"/>
      <c r="G243" s="435"/>
      <c r="H243" s="240"/>
    </row>
    <row r="244" spans="1:8" s="210" customFormat="1" ht="27.6" x14ac:dyDescent="0.3">
      <c r="A244" s="430">
        <f>A241+1</f>
        <v>135</v>
      </c>
      <c r="B244" s="436" t="s">
        <v>1085</v>
      </c>
      <c r="C244" s="430" t="s">
        <v>193</v>
      </c>
      <c r="D244" s="437">
        <f>'исключение-свод'!B1*216.6</f>
        <v>216.6</v>
      </c>
      <c r="E244" s="433">
        <v>534.91125600000009</v>
      </c>
      <c r="F244" s="438">
        <f t="shared" ref="F244:F254" si="75">ROUND(E244*D244,2)</f>
        <v>115861.78</v>
      </c>
      <c r="G244" s="438">
        <f t="shared" ref="G244:G247" si="76">ROUND(F244*1.2,2)</f>
        <v>139034.14000000001</v>
      </c>
      <c r="H244" s="240"/>
    </row>
    <row r="245" spans="1:8" s="210" customFormat="1" ht="15.6" x14ac:dyDescent="0.3">
      <c r="A245" s="430">
        <f>A244+1</f>
        <v>136</v>
      </c>
      <c r="B245" s="436" t="s">
        <v>515</v>
      </c>
      <c r="C245" s="430" t="s">
        <v>193</v>
      </c>
      <c r="D245" s="437">
        <f>'исключение-свод'!B1*6.7</f>
        <v>6.7</v>
      </c>
      <c r="E245" s="433">
        <v>2541.5435879999995</v>
      </c>
      <c r="F245" s="438">
        <f t="shared" si="75"/>
        <v>17028.34</v>
      </c>
      <c r="G245" s="438">
        <f t="shared" si="76"/>
        <v>20434.009999999998</v>
      </c>
      <c r="H245" s="240"/>
    </row>
    <row r="246" spans="1:8" s="210" customFormat="1" ht="15.6" x14ac:dyDescent="0.3">
      <c r="A246" s="430">
        <f>A245+1</f>
        <v>137</v>
      </c>
      <c r="B246" s="436" t="s">
        <v>1084</v>
      </c>
      <c r="C246" s="430" t="s">
        <v>193</v>
      </c>
      <c r="D246" s="437">
        <f>'исключение-свод'!B1*7.58</f>
        <v>7.58</v>
      </c>
      <c r="E246" s="433">
        <v>1972.306476</v>
      </c>
      <c r="F246" s="438">
        <f t="shared" si="75"/>
        <v>14950.08</v>
      </c>
      <c r="G246" s="438">
        <f t="shared" si="76"/>
        <v>17940.099999999999</v>
      </c>
      <c r="H246" s="240"/>
    </row>
    <row r="247" spans="1:8" s="210" customFormat="1" ht="15.6" x14ac:dyDescent="0.3">
      <c r="A247" s="430">
        <f>A246+1</f>
        <v>138</v>
      </c>
      <c r="B247" s="436" t="s">
        <v>1111</v>
      </c>
      <c r="C247" s="430" t="s">
        <v>193</v>
      </c>
      <c r="D247" s="437">
        <f>'исключение-свод'!B1*155.2</f>
        <v>155.19999999999999</v>
      </c>
      <c r="E247" s="433">
        <v>1972.306476</v>
      </c>
      <c r="F247" s="438">
        <f t="shared" si="75"/>
        <v>306101.96999999997</v>
      </c>
      <c r="G247" s="438">
        <f t="shared" si="76"/>
        <v>367322.36</v>
      </c>
      <c r="H247" s="240"/>
    </row>
    <row r="248" spans="1:8" s="210" customFormat="1" ht="27.6" x14ac:dyDescent="0.3">
      <c r="A248" s="440">
        <f t="shared" ref="A248:A254" si="77">A247+1</f>
        <v>139</v>
      </c>
      <c r="B248" s="444" t="s">
        <v>1115</v>
      </c>
      <c r="C248" s="440" t="s">
        <v>194</v>
      </c>
      <c r="D248" s="445">
        <f>'исключение-свод'!B1*6</f>
        <v>6</v>
      </c>
      <c r="E248" s="433">
        <v>9702.7752959999998</v>
      </c>
      <c r="F248" s="443">
        <f t="shared" si="75"/>
        <v>58216.65</v>
      </c>
      <c r="G248" s="443">
        <f t="shared" ref="G248:G254" si="78">ROUND(F248*1.2,2)</f>
        <v>69859.98</v>
      </c>
      <c r="H248" s="240"/>
    </row>
    <row r="249" spans="1:8" s="210" customFormat="1" ht="27.6" x14ac:dyDescent="0.3">
      <c r="A249" s="440">
        <f t="shared" si="77"/>
        <v>140</v>
      </c>
      <c r="B249" s="444" t="s">
        <v>1114</v>
      </c>
      <c r="C249" s="440" t="s">
        <v>194</v>
      </c>
      <c r="D249" s="445">
        <f>'исключение-свод'!B1*6</f>
        <v>6</v>
      </c>
      <c r="E249" s="433">
        <v>829.54151999999999</v>
      </c>
      <c r="F249" s="443">
        <f t="shared" si="75"/>
        <v>4977.25</v>
      </c>
      <c r="G249" s="443">
        <f t="shared" si="78"/>
        <v>5972.7</v>
      </c>
      <c r="H249" s="240"/>
    </row>
    <row r="250" spans="1:8" s="210" customFormat="1" ht="15.6" x14ac:dyDescent="0.3">
      <c r="A250" s="440">
        <f t="shared" si="77"/>
        <v>141</v>
      </c>
      <c r="B250" s="444" t="s">
        <v>1113</v>
      </c>
      <c r="C250" s="440" t="s">
        <v>194</v>
      </c>
      <c r="D250" s="445">
        <f>'исключение-свод'!B1*6</f>
        <v>6</v>
      </c>
      <c r="E250" s="433">
        <v>7414.3848960000005</v>
      </c>
      <c r="F250" s="443">
        <f t="shared" si="75"/>
        <v>44486.31</v>
      </c>
      <c r="G250" s="443">
        <f t="shared" si="78"/>
        <v>53383.57</v>
      </c>
      <c r="H250" s="240"/>
    </row>
    <row r="251" spans="1:8" s="210" customFormat="1" ht="15.6" x14ac:dyDescent="0.3">
      <c r="A251" s="430">
        <f t="shared" si="77"/>
        <v>142</v>
      </c>
      <c r="B251" s="436" t="s">
        <v>667</v>
      </c>
      <c r="C251" s="430" t="s">
        <v>193</v>
      </c>
      <c r="D251" s="437">
        <f>'исключение-свод'!B1*50.81</f>
        <v>50.81</v>
      </c>
      <c r="E251" s="433">
        <v>178.78050000000002</v>
      </c>
      <c r="F251" s="438">
        <f t="shared" si="75"/>
        <v>9083.84</v>
      </c>
      <c r="G251" s="438">
        <f t="shared" si="78"/>
        <v>10900.61</v>
      </c>
      <c r="H251" s="240"/>
    </row>
    <row r="252" spans="1:8" s="210" customFormat="1" ht="15.6" x14ac:dyDescent="0.3">
      <c r="A252" s="430">
        <f t="shared" si="77"/>
        <v>143</v>
      </c>
      <c r="B252" s="436" t="s">
        <v>451</v>
      </c>
      <c r="C252" s="430" t="s">
        <v>193</v>
      </c>
      <c r="D252" s="437">
        <f>'исключение-свод'!B1*50.81</f>
        <v>50.81</v>
      </c>
      <c r="E252" s="433">
        <v>283.188312</v>
      </c>
      <c r="F252" s="438">
        <f t="shared" si="75"/>
        <v>14388.8</v>
      </c>
      <c r="G252" s="438">
        <f t="shared" si="78"/>
        <v>17266.560000000001</v>
      </c>
      <c r="H252" s="240"/>
    </row>
    <row r="253" spans="1:8" s="210" customFormat="1" ht="15.6" x14ac:dyDescent="0.3">
      <c r="A253" s="430">
        <f t="shared" si="77"/>
        <v>144</v>
      </c>
      <c r="B253" s="436" t="s">
        <v>518</v>
      </c>
      <c r="C253" s="430" t="s">
        <v>239</v>
      </c>
      <c r="D253" s="437">
        <f>'исключение-свод'!B1*327.63</f>
        <v>327.63</v>
      </c>
      <c r="E253" s="433">
        <v>464.82929999999999</v>
      </c>
      <c r="F253" s="438">
        <f t="shared" si="75"/>
        <v>152292.01999999999</v>
      </c>
      <c r="G253" s="438">
        <f t="shared" si="78"/>
        <v>182750.42</v>
      </c>
      <c r="H253" s="240"/>
    </row>
    <row r="254" spans="1:8" s="210" customFormat="1" ht="15.6" x14ac:dyDescent="0.3">
      <c r="A254" s="582">
        <f t="shared" si="77"/>
        <v>145</v>
      </c>
      <c r="B254" s="436" t="s">
        <v>503</v>
      </c>
      <c r="C254" s="430" t="s">
        <v>239</v>
      </c>
      <c r="D254" s="437">
        <f>'исключение-свод'!B1*327.63</f>
        <v>327.63</v>
      </c>
      <c r="E254" s="433">
        <f>'исключение-свод'!D1</f>
        <v>4948.6400000000003</v>
      </c>
      <c r="F254" s="438">
        <f t="shared" si="75"/>
        <v>1621322.92</v>
      </c>
      <c r="G254" s="438">
        <f t="shared" si="78"/>
        <v>1945587.5</v>
      </c>
      <c r="H254" s="240"/>
    </row>
    <row r="255" spans="1:8" s="210" customFormat="1" ht="15.6" x14ac:dyDescent="0.3">
      <c r="A255" s="430"/>
      <c r="B255" s="431" t="s">
        <v>523</v>
      </c>
      <c r="C255" s="430"/>
      <c r="D255" s="437"/>
      <c r="E255" s="433">
        <v>0</v>
      </c>
      <c r="F255" s="438"/>
      <c r="G255" s="438"/>
      <c r="H255" s="240"/>
    </row>
    <row r="256" spans="1:8" s="210" customFormat="1" ht="15.6" x14ac:dyDescent="0.3">
      <c r="A256" s="430">
        <f>A254+1</f>
        <v>146</v>
      </c>
      <c r="B256" s="446" t="s">
        <v>670</v>
      </c>
      <c r="C256" s="430" t="s">
        <v>194</v>
      </c>
      <c r="D256" s="432">
        <f>'исключение-свод'!B1*31</f>
        <v>31</v>
      </c>
      <c r="E256" s="433">
        <v>3991.8110039999997</v>
      </c>
      <c r="F256" s="438">
        <f>ROUND(E256*D256,2)</f>
        <v>123746.14</v>
      </c>
      <c r="G256" s="438">
        <f t="shared" ref="G256" si="79">ROUND(F256*1.2,2)</f>
        <v>148495.37</v>
      </c>
      <c r="H256" s="240"/>
    </row>
    <row r="257" spans="1:8" s="210" customFormat="1" ht="27.6" x14ac:dyDescent="0.3">
      <c r="A257" s="430"/>
      <c r="B257" s="431" t="s">
        <v>1116</v>
      </c>
      <c r="C257" s="430"/>
      <c r="D257" s="437"/>
      <c r="E257" s="433">
        <v>0</v>
      </c>
      <c r="F257" s="438"/>
      <c r="G257" s="438"/>
      <c r="H257" s="240"/>
    </row>
    <row r="258" spans="1:8" s="210" customFormat="1" ht="27.6" x14ac:dyDescent="0.3">
      <c r="A258" s="430">
        <f>A256+1</f>
        <v>147</v>
      </c>
      <c r="B258" s="436" t="s">
        <v>526</v>
      </c>
      <c r="C258" s="430" t="s">
        <v>193</v>
      </c>
      <c r="D258" s="439">
        <f>'исключение-свод'!B1*(2*0.59+0.03*2)</f>
        <v>1.24</v>
      </c>
      <c r="E258" s="433">
        <v>25993.823904999994</v>
      </c>
      <c r="F258" s="438">
        <f>ROUND(E258*D258,2)</f>
        <v>32232.34</v>
      </c>
      <c r="G258" s="438">
        <f t="shared" ref="G258:G259" si="80">ROUND(F258*1.2,2)</f>
        <v>38678.81</v>
      </c>
      <c r="H258" s="240"/>
    </row>
    <row r="259" spans="1:8" s="210" customFormat="1" ht="41.4" x14ac:dyDescent="0.3">
      <c r="A259" s="440">
        <f>A258+1</f>
        <v>148</v>
      </c>
      <c r="B259" s="441" t="s">
        <v>1117</v>
      </c>
      <c r="C259" s="440" t="s">
        <v>220</v>
      </c>
      <c r="D259" s="442">
        <f>'исключение-свод'!B1*2</f>
        <v>2</v>
      </c>
      <c r="E259" s="433">
        <v>17893.782683999998</v>
      </c>
      <c r="F259" s="443">
        <f>ROUND(E259*D259,2)</f>
        <v>35787.57</v>
      </c>
      <c r="G259" s="443">
        <f t="shared" si="80"/>
        <v>42945.08</v>
      </c>
      <c r="H259" s="240"/>
    </row>
    <row r="260" spans="1:8" ht="22.5" customHeight="1" x14ac:dyDescent="0.3">
      <c r="A260" s="154"/>
      <c r="B260" s="173" t="s">
        <v>602</v>
      </c>
      <c r="C260" s="162"/>
      <c r="D260" s="162"/>
      <c r="E260" s="162"/>
      <c r="F260" s="162"/>
      <c r="G260" s="162"/>
      <c r="H260" s="240"/>
    </row>
    <row r="261" spans="1:8" s="210" customFormat="1" ht="15.6" x14ac:dyDescent="0.3">
      <c r="A261" s="447"/>
      <c r="B261" s="448" t="s">
        <v>513</v>
      </c>
      <c r="C261" s="447"/>
      <c r="D261" s="249"/>
      <c r="E261" s="433">
        <v>0</v>
      </c>
      <c r="F261" s="434"/>
      <c r="G261" s="449"/>
      <c r="H261" s="240"/>
    </row>
    <row r="262" spans="1:8" s="210" customFormat="1" ht="15.6" x14ac:dyDescent="0.3">
      <c r="A262" s="447">
        <f>A259+1</f>
        <v>149</v>
      </c>
      <c r="B262" s="209" t="s">
        <v>664</v>
      </c>
      <c r="C262" s="447" t="s">
        <v>193</v>
      </c>
      <c r="D262" s="450">
        <f>H262+1584.21</f>
        <v>1584.21</v>
      </c>
      <c r="E262" s="433">
        <v>534.91125600000009</v>
      </c>
      <c r="F262" s="451">
        <f t="shared" ref="F262:F271" si="81">ROUND(E262*D262,2)</f>
        <v>847411.76</v>
      </c>
      <c r="G262" s="451">
        <f t="shared" ref="G262:G289" si="82">ROUND(F262*1.2,2)</f>
        <v>1016894.11</v>
      </c>
      <c r="H262" s="453">
        <f>'исключение-свод'!B2*384.54</f>
        <v>0</v>
      </c>
    </row>
    <row r="263" spans="1:8" s="210" customFormat="1" ht="15.6" x14ac:dyDescent="0.3">
      <c r="A263" s="447">
        <f>A262+1</f>
        <v>150</v>
      </c>
      <c r="B263" s="209" t="s">
        <v>515</v>
      </c>
      <c r="C263" s="447" t="s">
        <v>193</v>
      </c>
      <c r="D263" s="450">
        <f>H263+47.53</f>
        <v>47.53</v>
      </c>
      <c r="E263" s="433">
        <v>2541.5435879999995</v>
      </c>
      <c r="F263" s="451">
        <f t="shared" si="81"/>
        <v>120799.57</v>
      </c>
      <c r="G263" s="451">
        <f t="shared" si="82"/>
        <v>144959.48000000001</v>
      </c>
      <c r="H263" s="453">
        <f>'исключение-свод'!B2*8.74</f>
        <v>0</v>
      </c>
    </row>
    <row r="264" spans="1:8" s="210" customFormat="1" ht="15.6" x14ac:dyDescent="0.3">
      <c r="A264" s="447">
        <f>A263+1</f>
        <v>151</v>
      </c>
      <c r="B264" s="209" t="s">
        <v>521</v>
      </c>
      <c r="C264" s="447" t="s">
        <v>193</v>
      </c>
      <c r="D264" s="452">
        <f>H264+27.43</f>
        <v>27.43</v>
      </c>
      <c r="E264" s="433">
        <v>1972.306476</v>
      </c>
      <c r="F264" s="451">
        <f t="shared" si="81"/>
        <v>54100.37</v>
      </c>
      <c r="G264" s="451">
        <f t="shared" si="82"/>
        <v>64920.44</v>
      </c>
      <c r="H264" s="453">
        <f>'исключение-свод'!B2*4.16</f>
        <v>0</v>
      </c>
    </row>
    <row r="265" spans="1:8" s="210" customFormat="1" ht="15.6" x14ac:dyDescent="0.3">
      <c r="A265" s="447">
        <f t="shared" ref="A265:A271" si="83">A264+1</f>
        <v>152</v>
      </c>
      <c r="B265" s="209" t="s">
        <v>522</v>
      </c>
      <c r="C265" s="447" t="s">
        <v>193</v>
      </c>
      <c r="D265" s="450">
        <f>H265+220.77</f>
        <v>220.77</v>
      </c>
      <c r="E265" s="433">
        <v>1972.306476</v>
      </c>
      <c r="F265" s="451">
        <f t="shared" si="81"/>
        <v>435426.1</v>
      </c>
      <c r="G265" s="451">
        <f t="shared" si="82"/>
        <v>522511.32</v>
      </c>
      <c r="H265" s="453">
        <f>'исключение-свод'!B2*125.66</f>
        <v>0</v>
      </c>
    </row>
    <row r="266" spans="1:8" s="210" customFormat="1" ht="27.6" x14ac:dyDescent="0.3">
      <c r="A266" s="447">
        <f t="shared" si="83"/>
        <v>153</v>
      </c>
      <c r="B266" s="209" t="s">
        <v>665</v>
      </c>
      <c r="C266" s="447" t="s">
        <v>193</v>
      </c>
      <c r="D266" s="450">
        <f>H266+1396.26</f>
        <v>1396.26</v>
      </c>
      <c r="E266" s="433">
        <v>534.91125600000009</v>
      </c>
      <c r="F266" s="451">
        <f t="shared" si="81"/>
        <v>746875.19</v>
      </c>
      <c r="G266" s="451">
        <f t="shared" si="82"/>
        <v>896250.23</v>
      </c>
      <c r="H266" s="453">
        <f>'исключение-свод'!B2*69.84</f>
        <v>0</v>
      </c>
    </row>
    <row r="267" spans="1:8" s="210" customFormat="1" ht="15.6" x14ac:dyDescent="0.3">
      <c r="A267" s="447">
        <f t="shared" si="83"/>
        <v>154</v>
      </c>
      <c r="B267" s="209" t="s">
        <v>666</v>
      </c>
      <c r="C267" s="447" t="s">
        <v>193</v>
      </c>
      <c r="D267" s="450">
        <f>H267+30.73</f>
        <v>30.73</v>
      </c>
      <c r="E267" s="433">
        <v>2033.8069679999999</v>
      </c>
      <c r="F267" s="451">
        <f t="shared" si="81"/>
        <v>62498.89</v>
      </c>
      <c r="G267" s="451">
        <f t="shared" si="82"/>
        <v>74998.67</v>
      </c>
      <c r="H267" s="453">
        <f>'исключение-свод'!B2*0.8</f>
        <v>0</v>
      </c>
    </row>
    <row r="268" spans="1:8" s="210" customFormat="1" ht="15.6" x14ac:dyDescent="0.3">
      <c r="A268" s="447">
        <f t="shared" si="83"/>
        <v>155</v>
      </c>
      <c r="B268" s="209" t="s">
        <v>667</v>
      </c>
      <c r="C268" s="447" t="s">
        <v>193</v>
      </c>
      <c r="D268" s="450">
        <f>H268+1002.5</f>
        <v>1002.5</v>
      </c>
      <c r="E268" s="433">
        <v>178.78050000000002</v>
      </c>
      <c r="F268" s="451">
        <f t="shared" si="81"/>
        <v>179227.45</v>
      </c>
      <c r="G268" s="451">
        <f t="shared" si="82"/>
        <v>215072.94</v>
      </c>
      <c r="H268" s="453">
        <f>'исключение-свод'!B2*322.59</f>
        <v>0</v>
      </c>
    </row>
    <row r="269" spans="1:8" s="210" customFormat="1" ht="15.6" x14ac:dyDescent="0.3">
      <c r="A269" s="447">
        <f t="shared" si="83"/>
        <v>156</v>
      </c>
      <c r="B269" s="209" t="s">
        <v>451</v>
      </c>
      <c r="C269" s="447" t="s">
        <v>193</v>
      </c>
      <c r="D269" s="450">
        <f>H269+1002.5</f>
        <v>1002.5</v>
      </c>
      <c r="E269" s="433">
        <v>283.188312</v>
      </c>
      <c r="F269" s="451">
        <f t="shared" si="81"/>
        <v>283896.28000000003</v>
      </c>
      <c r="G269" s="451">
        <f t="shared" si="82"/>
        <v>340675.54</v>
      </c>
      <c r="H269" s="453">
        <f>'исключение-свод'!B2*322.59</f>
        <v>0</v>
      </c>
    </row>
    <row r="270" spans="1:8" s="210" customFormat="1" ht="15.6" x14ac:dyDescent="0.3">
      <c r="A270" s="447">
        <f t="shared" si="83"/>
        <v>157</v>
      </c>
      <c r="B270" s="209" t="s">
        <v>518</v>
      </c>
      <c r="C270" s="447" t="s">
        <v>239</v>
      </c>
      <c r="D270" s="450">
        <f>H270+1251.1</f>
        <v>1251.0999999999999</v>
      </c>
      <c r="E270" s="433">
        <v>464.82929999999999</v>
      </c>
      <c r="F270" s="451">
        <f t="shared" si="81"/>
        <v>581547.93999999994</v>
      </c>
      <c r="G270" s="451">
        <f t="shared" si="82"/>
        <v>697857.53</v>
      </c>
      <c r="H270" s="453">
        <f>'исключение-свод'!B2*136.36</f>
        <v>0</v>
      </c>
    </row>
    <row r="271" spans="1:8" s="210" customFormat="1" ht="15.6" x14ac:dyDescent="0.3">
      <c r="A271" s="582">
        <f t="shared" si="83"/>
        <v>158</v>
      </c>
      <c r="B271" s="209" t="s">
        <v>503</v>
      </c>
      <c r="C271" s="447" t="s">
        <v>239</v>
      </c>
      <c r="D271" s="450">
        <f>H271+1251.1</f>
        <v>1251.0999999999999</v>
      </c>
      <c r="E271" s="433">
        <f>'исключение-свод'!D1</f>
        <v>4948.6400000000003</v>
      </c>
      <c r="F271" s="451">
        <f t="shared" si="81"/>
        <v>6191243.5</v>
      </c>
      <c r="G271" s="451">
        <f t="shared" si="82"/>
        <v>7429492.2000000002</v>
      </c>
      <c r="H271" s="453">
        <f>'исключение-свод'!B2*136.36</f>
        <v>0</v>
      </c>
    </row>
    <row r="272" spans="1:8" s="210" customFormat="1" ht="15.6" x14ac:dyDescent="0.3">
      <c r="A272" s="447"/>
      <c r="B272" s="448" t="s">
        <v>523</v>
      </c>
      <c r="C272" s="447"/>
      <c r="D272" s="249"/>
      <c r="E272" s="433">
        <v>0</v>
      </c>
      <c r="F272" s="451"/>
      <c r="G272" s="451"/>
      <c r="H272" s="453"/>
    </row>
    <row r="273" spans="1:8" s="210" customFormat="1" ht="15.6" x14ac:dyDescent="0.3">
      <c r="A273" s="447">
        <f>A271+1</f>
        <v>159</v>
      </c>
      <c r="B273" s="209" t="s">
        <v>672</v>
      </c>
      <c r="C273" s="447" t="s">
        <v>194</v>
      </c>
      <c r="D273" s="452">
        <f>H273+29.8</f>
        <v>29.8</v>
      </c>
      <c r="E273" s="433">
        <v>6930.9624239999994</v>
      </c>
      <c r="F273" s="451">
        <f t="shared" ref="F273:F285" si="84">ROUND(E273*D273,2)</f>
        <v>206542.68</v>
      </c>
      <c r="G273" s="451">
        <f t="shared" si="82"/>
        <v>247851.22</v>
      </c>
      <c r="H273" s="453">
        <f>'исключение-свод'!B2*28</f>
        <v>0</v>
      </c>
    </row>
    <row r="274" spans="1:8" s="210" customFormat="1" ht="27.6" x14ac:dyDescent="0.3">
      <c r="A274" s="447">
        <f t="shared" ref="A274:A285" si="85">A273+1</f>
        <v>160</v>
      </c>
      <c r="B274" s="209" t="s">
        <v>673</v>
      </c>
      <c r="C274" s="447" t="s">
        <v>194</v>
      </c>
      <c r="D274" s="452">
        <f>H274+29.8</f>
        <v>29.8</v>
      </c>
      <c r="E274" s="433">
        <v>592.12101599999994</v>
      </c>
      <c r="F274" s="451">
        <f t="shared" si="84"/>
        <v>17645.21</v>
      </c>
      <c r="G274" s="451">
        <f t="shared" si="82"/>
        <v>21174.25</v>
      </c>
      <c r="H274" s="453">
        <f>'исключение-свод'!B2*28</f>
        <v>0</v>
      </c>
    </row>
    <row r="275" spans="1:8" s="210" customFormat="1" ht="15.6" x14ac:dyDescent="0.3">
      <c r="A275" s="447">
        <f t="shared" si="85"/>
        <v>161</v>
      </c>
      <c r="B275" s="209" t="s">
        <v>680</v>
      </c>
      <c r="C275" s="447" t="s">
        <v>194</v>
      </c>
      <c r="D275" s="452">
        <f>H275+29.8</f>
        <v>29.8</v>
      </c>
      <c r="E275" s="433">
        <v>5296.1935320000002</v>
      </c>
      <c r="F275" s="451">
        <f t="shared" si="84"/>
        <v>157826.57</v>
      </c>
      <c r="G275" s="451">
        <f t="shared" si="82"/>
        <v>189391.88</v>
      </c>
      <c r="H275" s="453">
        <f>'исключение-свод'!B2*28</f>
        <v>0</v>
      </c>
    </row>
    <row r="276" spans="1:8" s="210" customFormat="1" ht="15.6" x14ac:dyDescent="0.3">
      <c r="A276" s="447">
        <f t="shared" si="85"/>
        <v>162</v>
      </c>
      <c r="B276" s="209" t="s">
        <v>674</v>
      </c>
      <c r="C276" s="447" t="s">
        <v>645</v>
      </c>
      <c r="D276" s="249">
        <f>H276+1</f>
        <v>1</v>
      </c>
      <c r="E276" s="433">
        <v>6441.8189760000005</v>
      </c>
      <c r="F276" s="451">
        <f t="shared" si="84"/>
        <v>6441.82</v>
      </c>
      <c r="G276" s="451">
        <f t="shared" si="82"/>
        <v>7730.18</v>
      </c>
      <c r="H276" s="453">
        <f>'исключение-свод'!B2*1</f>
        <v>0</v>
      </c>
    </row>
    <row r="277" spans="1:8" ht="15.6" x14ac:dyDescent="0.3">
      <c r="A277" s="66">
        <f t="shared" si="85"/>
        <v>163</v>
      </c>
      <c r="B277" s="67" t="s">
        <v>675</v>
      </c>
      <c r="C277" s="66" t="s">
        <v>194</v>
      </c>
      <c r="D277" s="71">
        <v>29</v>
      </c>
      <c r="E277" s="171">
        <v>6930.9624239999994</v>
      </c>
      <c r="F277" s="102">
        <f t="shared" si="84"/>
        <v>200997.91</v>
      </c>
      <c r="G277" s="102">
        <f t="shared" si="82"/>
        <v>241197.49</v>
      </c>
      <c r="H277" s="453"/>
    </row>
    <row r="278" spans="1:8" ht="27.6" x14ac:dyDescent="0.3">
      <c r="A278" s="66">
        <f t="shared" si="85"/>
        <v>164</v>
      </c>
      <c r="B278" s="67" t="s">
        <v>676</v>
      </c>
      <c r="C278" s="66" t="s">
        <v>194</v>
      </c>
      <c r="D278" s="71">
        <v>29</v>
      </c>
      <c r="E278" s="171">
        <v>592.12101599999994</v>
      </c>
      <c r="F278" s="102">
        <f t="shared" si="84"/>
        <v>17171.509999999998</v>
      </c>
      <c r="G278" s="102">
        <f t="shared" si="82"/>
        <v>20605.810000000001</v>
      </c>
    </row>
    <row r="279" spans="1:8" ht="27.6" x14ac:dyDescent="0.3">
      <c r="A279" s="66">
        <f t="shared" si="85"/>
        <v>165</v>
      </c>
      <c r="B279" s="67" t="s">
        <v>677</v>
      </c>
      <c r="C279" s="66" t="s">
        <v>194</v>
      </c>
      <c r="D279" s="71">
        <v>29</v>
      </c>
      <c r="E279" s="171">
        <v>5296.1935320000002</v>
      </c>
      <c r="F279" s="102">
        <f t="shared" si="84"/>
        <v>153589.60999999999</v>
      </c>
      <c r="G279" s="102">
        <f t="shared" si="82"/>
        <v>184307.53</v>
      </c>
    </row>
    <row r="280" spans="1:8" ht="15.6" x14ac:dyDescent="0.3">
      <c r="A280" s="66">
        <f t="shared" si="85"/>
        <v>166</v>
      </c>
      <c r="B280" s="67" t="s">
        <v>678</v>
      </c>
      <c r="C280" s="66" t="s">
        <v>645</v>
      </c>
      <c r="D280" s="71">
        <v>1</v>
      </c>
      <c r="E280" s="171">
        <v>9604.088459999999</v>
      </c>
      <c r="F280" s="102">
        <f t="shared" si="84"/>
        <v>9604.09</v>
      </c>
      <c r="G280" s="102">
        <f t="shared" si="82"/>
        <v>11524.91</v>
      </c>
    </row>
    <row r="281" spans="1:8" s="210" customFormat="1" ht="15.6" x14ac:dyDescent="0.3">
      <c r="A281" s="447">
        <f t="shared" si="85"/>
        <v>167</v>
      </c>
      <c r="B281" s="209" t="s">
        <v>681</v>
      </c>
      <c r="C281" s="447" t="s">
        <v>194</v>
      </c>
      <c r="D281" s="249">
        <f>H281+108</f>
        <v>108</v>
      </c>
      <c r="E281" s="433">
        <v>1454.5581479999998</v>
      </c>
      <c r="F281" s="451">
        <f t="shared" si="84"/>
        <v>157092.28</v>
      </c>
      <c r="G281" s="451">
        <f t="shared" si="82"/>
        <v>188510.74</v>
      </c>
      <c r="H281" s="453">
        <f>'исключение-свод'!B2*52</f>
        <v>0</v>
      </c>
    </row>
    <row r="282" spans="1:8" ht="15.6" x14ac:dyDescent="0.3">
      <c r="A282" s="66">
        <f t="shared" si="85"/>
        <v>168</v>
      </c>
      <c r="B282" s="80" t="s">
        <v>682</v>
      </c>
      <c r="C282" s="66" t="s">
        <v>194</v>
      </c>
      <c r="D282" s="72">
        <v>223.3</v>
      </c>
      <c r="E282" s="171">
        <v>2081.0050200000001</v>
      </c>
      <c r="F282" s="102">
        <f t="shared" si="84"/>
        <v>464688.42</v>
      </c>
      <c r="G282" s="102">
        <f t="shared" si="82"/>
        <v>557626.1</v>
      </c>
      <c r="H282" s="453"/>
    </row>
    <row r="283" spans="1:8" ht="15.6" x14ac:dyDescent="0.3">
      <c r="A283" s="286">
        <f t="shared" si="85"/>
        <v>169</v>
      </c>
      <c r="B283" s="291" t="s">
        <v>1247</v>
      </c>
      <c r="C283" s="286" t="s">
        <v>220</v>
      </c>
      <c r="D283" s="299">
        <v>1</v>
      </c>
      <c r="E283" s="171">
        <v>2182.5523440000002</v>
      </c>
      <c r="F283" s="289">
        <f t="shared" si="84"/>
        <v>2182.5500000000002</v>
      </c>
      <c r="G283" s="289">
        <f t="shared" si="82"/>
        <v>2619.06</v>
      </c>
      <c r="H283" s="453"/>
    </row>
    <row r="284" spans="1:8" ht="15.6" x14ac:dyDescent="0.3">
      <c r="A284" s="286">
        <f t="shared" si="85"/>
        <v>170</v>
      </c>
      <c r="B284" s="291" t="s">
        <v>1248</v>
      </c>
      <c r="C284" s="286" t="s">
        <v>220</v>
      </c>
      <c r="D284" s="299">
        <v>1</v>
      </c>
      <c r="E284" s="171">
        <v>3218.049</v>
      </c>
      <c r="F284" s="289">
        <f t="shared" si="84"/>
        <v>3218.05</v>
      </c>
      <c r="G284" s="289">
        <f t="shared" si="82"/>
        <v>3861.66</v>
      </c>
      <c r="H284" s="453"/>
    </row>
    <row r="285" spans="1:8" ht="15.6" x14ac:dyDescent="0.3">
      <c r="A285" s="286">
        <f t="shared" si="85"/>
        <v>171</v>
      </c>
      <c r="B285" s="291" t="s">
        <v>1249</v>
      </c>
      <c r="C285" s="286" t="s">
        <v>220</v>
      </c>
      <c r="D285" s="299">
        <v>1</v>
      </c>
      <c r="E285" s="171">
        <v>2182.5523440000002</v>
      </c>
      <c r="F285" s="289">
        <f t="shared" si="84"/>
        <v>2182.5500000000002</v>
      </c>
      <c r="G285" s="289">
        <f t="shared" si="82"/>
        <v>2619.06</v>
      </c>
      <c r="H285" s="453"/>
    </row>
    <row r="286" spans="1:8" ht="15.6" x14ac:dyDescent="0.3">
      <c r="A286" s="66"/>
      <c r="B286" s="62" t="s">
        <v>525</v>
      </c>
      <c r="C286" s="66"/>
      <c r="D286" s="71"/>
      <c r="E286" s="171">
        <v>0</v>
      </c>
      <c r="F286" s="102"/>
      <c r="G286" s="102"/>
    </row>
    <row r="287" spans="1:8" s="210" customFormat="1" ht="27.6" x14ac:dyDescent="0.3">
      <c r="A287" s="447">
        <f>A285+1</f>
        <v>172</v>
      </c>
      <c r="B287" s="209" t="s">
        <v>526</v>
      </c>
      <c r="C287" s="447" t="s">
        <v>193</v>
      </c>
      <c r="D287" s="450">
        <f>H287+5.88</f>
        <v>5.88</v>
      </c>
      <c r="E287" s="433">
        <v>25993.823904999994</v>
      </c>
      <c r="F287" s="451">
        <f>ROUND(E287*D287,2)</f>
        <v>152843.68</v>
      </c>
      <c r="G287" s="451">
        <f t="shared" si="82"/>
        <v>183412.42</v>
      </c>
      <c r="H287" s="240">
        <f>'исключение-свод'!B2*1.96</f>
        <v>0</v>
      </c>
    </row>
    <row r="288" spans="1:8" ht="41.4" x14ac:dyDescent="0.3">
      <c r="A288" s="66">
        <f>A287+1</f>
        <v>173</v>
      </c>
      <c r="B288" s="67" t="s">
        <v>679</v>
      </c>
      <c r="C288" s="66" t="s">
        <v>220</v>
      </c>
      <c r="D288" s="71">
        <v>9</v>
      </c>
      <c r="E288" s="171">
        <v>4884.2832600000002</v>
      </c>
      <c r="F288" s="102">
        <f>ROUND(E288*D288,2)</f>
        <v>43958.55</v>
      </c>
      <c r="G288" s="102">
        <f t="shared" si="82"/>
        <v>52750.26</v>
      </c>
      <c r="H288" s="453"/>
    </row>
    <row r="289" spans="1:8" ht="41.4" x14ac:dyDescent="0.3">
      <c r="A289" s="66">
        <f>A288+1</f>
        <v>174</v>
      </c>
      <c r="B289" s="67" t="s">
        <v>671</v>
      </c>
      <c r="C289" s="66" t="s">
        <v>220</v>
      </c>
      <c r="D289" s="71">
        <v>16</v>
      </c>
      <c r="E289" s="171">
        <v>7401.5127000000002</v>
      </c>
      <c r="F289" s="102">
        <f>ROUND(E289*D289,2)</f>
        <v>118424.2</v>
      </c>
      <c r="G289" s="102">
        <f t="shared" si="82"/>
        <v>142109.04</v>
      </c>
      <c r="H289" s="453"/>
    </row>
    <row r="290" spans="1:8" ht="24.75" customHeight="1" x14ac:dyDescent="0.3">
      <c r="A290" s="154"/>
      <c r="B290" s="173" t="s">
        <v>610</v>
      </c>
      <c r="C290" s="162"/>
      <c r="D290" s="162"/>
      <c r="E290" s="162"/>
      <c r="F290" s="162"/>
      <c r="G290" s="162"/>
    </row>
    <row r="291" spans="1:8" ht="15.6" x14ac:dyDescent="0.3">
      <c r="A291" s="66"/>
      <c r="B291" s="62" t="s">
        <v>683</v>
      </c>
      <c r="C291" s="66"/>
      <c r="D291" s="71"/>
      <c r="E291" s="171">
        <v>0</v>
      </c>
      <c r="F291" s="161"/>
      <c r="G291" s="169"/>
    </row>
    <row r="292" spans="1:8" ht="15.6" x14ac:dyDescent="0.3">
      <c r="A292" s="66">
        <f>A289+1</f>
        <v>175</v>
      </c>
      <c r="B292" s="67" t="s">
        <v>684</v>
      </c>
      <c r="C292" s="66" t="s">
        <v>193</v>
      </c>
      <c r="D292" s="68">
        <v>2488.65</v>
      </c>
      <c r="E292" s="171">
        <v>464.82929999999999</v>
      </c>
      <c r="F292" s="102">
        <f t="shared" ref="F292:F298" si="86">ROUND(E292*D292,2)</f>
        <v>1156797.4399999999</v>
      </c>
      <c r="G292" s="102">
        <f t="shared" ref="G292" si="87">ROUND(F292*1.2,2)</f>
        <v>1388156.93</v>
      </c>
    </row>
    <row r="293" spans="1:8" ht="27.6" x14ac:dyDescent="0.3">
      <c r="A293" s="66">
        <f>A292+1</f>
        <v>176</v>
      </c>
      <c r="B293" s="67" t="s">
        <v>685</v>
      </c>
      <c r="C293" s="66" t="s">
        <v>193</v>
      </c>
      <c r="D293" s="68">
        <v>2488.65</v>
      </c>
      <c r="E293" s="171">
        <v>464.82929999999999</v>
      </c>
      <c r="F293" s="102">
        <f t="shared" si="86"/>
        <v>1156797.4399999999</v>
      </c>
      <c r="G293" s="102">
        <f t="shared" ref="G293:G295" si="88">ROUND(F293*1.2,2)</f>
        <v>1388156.93</v>
      </c>
    </row>
    <row r="294" spans="1:8" ht="15.6" x14ac:dyDescent="0.3">
      <c r="A294" s="66">
        <f t="shared" ref="A294:A298" si="89">A293+1</f>
        <v>177</v>
      </c>
      <c r="B294" s="67" t="s">
        <v>518</v>
      </c>
      <c r="C294" s="66" t="s">
        <v>239</v>
      </c>
      <c r="D294" s="68">
        <f>2488.65*1.75</f>
        <v>4355.1374999999998</v>
      </c>
      <c r="E294" s="171">
        <v>464.82929999999999</v>
      </c>
      <c r="F294" s="102">
        <f t="shared" si="86"/>
        <v>2024395.52</v>
      </c>
      <c r="G294" s="102">
        <f t="shared" si="88"/>
        <v>2429274.62</v>
      </c>
    </row>
    <row r="295" spans="1:8" ht="15.6" x14ac:dyDescent="0.3">
      <c r="A295" s="467">
        <f t="shared" si="89"/>
        <v>178</v>
      </c>
      <c r="B295" s="325" t="s">
        <v>503</v>
      </c>
      <c r="C295" s="324" t="s">
        <v>239</v>
      </c>
      <c r="D295" s="326">
        <f>2488.65*1.75</f>
        <v>4355.1374999999998</v>
      </c>
      <c r="E295" s="296">
        <f>'исключение-свод'!D1</f>
        <v>4948.6400000000003</v>
      </c>
      <c r="F295" s="289">
        <f t="shared" si="86"/>
        <v>21552007.640000001</v>
      </c>
      <c r="G295" s="289">
        <f t="shared" si="88"/>
        <v>25862409.170000002</v>
      </c>
    </row>
    <row r="296" spans="1:8" ht="15.6" x14ac:dyDescent="0.3">
      <c r="A296" s="324">
        <f t="shared" si="89"/>
        <v>179</v>
      </c>
      <c r="B296" s="325" t="s">
        <v>1206</v>
      </c>
      <c r="C296" s="324" t="s">
        <v>193</v>
      </c>
      <c r="D296" s="326">
        <v>56</v>
      </c>
      <c r="E296" s="296">
        <v>464.82929999999999</v>
      </c>
      <c r="F296" s="289">
        <f t="shared" si="86"/>
        <v>26030.44</v>
      </c>
      <c r="G296" s="289">
        <f t="shared" ref="G296" si="90">ROUND(F296*1.2,2)</f>
        <v>31236.53</v>
      </c>
    </row>
    <row r="297" spans="1:8" ht="15.6" x14ac:dyDescent="0.3">
      <c r="A297" s="324">
        <f t="shared" si="89"/>
        <v>180</v>
      </c>
      <c r="B297" s="325" t="s">
        <v>1207</v>
      </c>
      <c r="C297" s="324" t="s">
        <v>193</v>
      </c>
      <c r="D297" s="328">
        <v>104</v>
      </c>
      <c r="E297" s="296">
        <v>0</v>
      </c>
      <c r="F297" s="289">
        <f t="shared" si="86"/>
        <v>0</v>
      </c>
      <c r="G297" s="289">
        <f t="shared" ref="G297" si="91">ROUND(F297*1.2,2)</f>
        <v>0</v>
      </c>
      <c r="H297" s="453" t="s">
        <v>1260</v>
      </c>
    </row>
    <row r="298" spans="1:8" ht="15.6" x14ac:dyDescent="0.3">
      <c r="A298" s="324">
        <f t="shared" si="89"/>
        <v>181</v>
      </c>
      <c r="B298" s="325" t="s">
        <v>1208</v>
      </c>
      <c r="C298" s="324" t="s">
        <v>193</v>
      </c>
      <c r="D298" s="328">
        <v>104</v>
      </c>
      <c r="E298" s="296">
        <v>632.16784799999994</v>
      </c>
      <c r="F298" s="289">
        <f t="shared" si="86"/>
        <v>65745.460000000006</v>
      </c>
      <c r="G298" s="289">
        <f t="shared" ref="G298" si="92">ROUND(F298*1.2,2)</f>
        <v>78894.55</v>
      </c>
    </row>
    <row r="299" spans="1:8" ht="20.25" customHeight="1" x14ac:dyDescent="0.3">
      <c r="A299" s="324"/>
      <c r="B299" s="384" t="s">
        <v>611</v>
      </c>
      <c r="C299" s="324"/>
      <c r="D299" s="326"/>
      <c r="E299" s="296">
        <v>0</v>
      </c>
      <c r="F299" s="289"/>
      <c r="G299" s="289"/>
    </row>
    <row r="300" spans="1:8" ht="27.6" x14ac:dyDescent="0.3">
      <c r="A300" s="324">
        <f>A298+1</f>
        <v>182</v>
      </c>
      <c r="B300" s="325" t="s">
        <v>612</v>
      </c>
      <c r="C300" s="324" t="s">
        <v>194</v>
      </c>
      <c r="D300" s="328">
        <v>163</v>
      </c>
      <c r="E300" s="296">
        <v>6713.5653360000006</v>
      </c>
      <c r="F300" s="289">
        <f>ROUND(E300*D300,2)</f>
        <v>1094311.1499999999</v>
      </c>
      <c r="G300" s="289">
        <f t="shared" ref="G300:G301" si="93">ROUND(F300*1.2,2)</f>
        <v>1313173.3799999999</v>
      </c>
    </row>
    <row r="301" spans="1:8" ht="34.5" customHeight="1" x14ac:dyDescent="0.3">
      <c r="A301" s="324">
        <f>A300+1</f>
        <v>183</v>
      </c>
      <c r="B301" s="325" t="s">
        <v>613</v>
      </c>
      <c r="C301" s="324" t="s">
        <v>194</v>
      </c>
      <c r="D301" s="328">
        <v>163</v>
      </c>
      <c r="E301" s="296">
        <v>792.35517599999991</v>
      </c>
      <c r="F301" s="289">
        <f>ROUND(E301*D301,2)</f>
        <v>129153.89</v>
      </c>
      <c r="G301" s="289">
        <f t="shared" si="93"/>
        <v>154984.67000000001</v>
      </c>
    </row>
    <row r="302" spans="1:8" ht="15.6" x14ac:dyDescent="0.3">
      <c r="A302" s="324"/>
      <c r="B302" s="384" t="s">
        <v>1209</v>
      </c>
      <c r="C302" s="324"/>
      <c r="D302" s="326"/>
      <c r="E302" s="296">
        <v>0</v>
      </c>
      <c r="F302" s="289"/>
      <c r="G302" s="289"/>
    </row>
    <row r="303" spans="1:8" ht="27.6" x14ac:dyDescent="0.3">
      <c r="A303" s="324">
        <f>A301+1</f>
        <v>184</v>
      </c>
      <c r="B303" s="325" t="s">
        <v>615</v>
      </c>
      <c r="C303" s="324" t="s">
        <v>431</v>
      </c>
      <c r="D303" s="326">
        <v>5940.5</v>
      </c>
      <c r="E303" s="296">
        <v>1630.4781600000001</v>
      </c>
      <c r="F303" s="289">
        <f t="shared" ref="F303:F308" si="94">ROUND(E303*D303,2)</f>
        <v>9685855.5099999998</v>
      </c>
      <c r="G303" s="289">
        <f t="shared" ref="G303:G308" si="95">ROUND(F303*1.2,2)</f>
        <v>11623026.609999999</v>
      </c>
    </row>
    <row r="304" spans="1:8" ht="27.6" x14ac:dyDescent="0.3">
      <c r="A304" s="324">
        <f>A303+1</f>
        <v>185</v>
      </c>
      <c r="B304" s="325" t="s">
        <v>686</v>
      </c>
      <c r="C304" s="324" t="s">
        <v>193</v>
      </c>
      <c r="D304" s="326">
        <v>499</v>
      </c>
      <c r="E304" s="296">
        <v>2508.6479759999997</v>
      </c>
      <c r="F304" s="289">
        <f t="shared" si="94"/>
        <v>1251815.3400000001</v>
      </c>
      <c r="G304" s="289">
        <f t="shared" si="95"/>
        <v>1502178.41</v>
      </c>
    </row>
    <row r="305" spans="1:8" ht="27.6" x14ac:dyDescent="0.3">
      <c r="A305" s="66">
        <f t="shared" ref="A305:A308" si="96">A304+1</f>
        <v>186</v>
      </c>
      <c r="B305" s="67" t="s">
        <v>687</v>
      </c>
      <c r="C305" s="66" t="s">
        <v>193</v>
      </c>
      <c r="D305" s="68">
        <v>935.63</v>
      </c>
      <c r="E305" s="171">
        <v>2508.6479759999997</v>
      </c>
      <c r="F305" s="102">
        <f t="shared" si="94"/>
        <v>2347166.31</v>
      </c>
      <c r="G305" s="102">
        <f t="shared" si="95"/>
        <v>2816599.57</v>
      </c>
    </row>
    <row r="306" spans="1:8" ht="15.6" x14ac:dyDescent="0.3">
      <c r="A306" s="66">
        <f t="shared" si="96"/>
        <v>187</v>
      </c>
      <c r="B306" s="67" t="s">
        <v>618</v>
      </c>
      <c r="C306" s="66" t="s">
        <v>193</v>
      </c>
      <c r="D306" s="68">
        <v>1960.36</v>
      </c>
      <c r="E306" s="171">
        <v>1589.001084</v>
      </c>
      <c r="F306" s="102">
        <f t="shared" si="94"/>
        <v>3115014.17</v>
      </c>
      <c r="G306" s="102">
        <f t="shared" si="95"/>
        <v>3738017</v>
      </c>
    </row>
    <row r="307" spans="1:8" ht="27.6" x14ac:dyDescent="0.3">
      <c r="A307" s="66">
        <f t="shared" si="96"/>
        <v>188</v>
      </c>
      <c r="B307" s="67" t="s">
        <v>619</v>
      </c>
      <c r="C307" s="66" t="s">
        <v>193</v>
      </c>
      <c r="D307" s="68">
        <v>1960.36</v>
      </c>
      <c r="E307" s="171">
        <v>1589.001084</v>
      </c>
      <c r="F307" s="102">
        <f t="shared" si="94"/>
        <v>3115014.17</v>
      </c>
      <c r="G307" s="102">
        <f t="shared" si="95"/>
        <v>3738017</v>
      </c>
    </row>
    <row r="308" spans="1:8" s="317" customFormat="1" ht="15.6" x14ac:dyDescent="0.3">
      <c r="A308" s="286">
        <f t="shared" si="96"/>
        <v>189</v>
      </c>
      <c r="B308" s="291" t="s">
        <v>1210</v>
      </c>
      <c r="C308" s="286" t="s">
        <v>220</v>
      </c>
      <c r="D308" s="299">
        <v>144</v>
      </c>
      <c r="E308" s="171">
        <v>2341.3094279999996</v>
      </c>
      <c r="F308" s="289">
        <f t="shared" si="94"/>
        <v>337148.56</v>
      </c>
      <c r="G308" s="289">
        <f t="shared" si="95"/>
        <v>404578.27</v>
      </c>
      <c r="H308" s="456"/>
    </row>
    <row r="309" spans="1:8" s="317" customFormat="1" ht="22.5" customHeight="1" x14ac:dyDescent="0.3">
      <c r="A309" s="286"/>
      <c r="B309" s="303" t="s">
        <v>1211</v>
      </c>
      <c r="C309" s="286"/>
      <c r="D309" s="288"/>
      <c r="E309" s="171">
        <v>0</v>
      </c>
      <c r="F309" s="289"/>
      <c r="G309" s="289"/>
      <c r="H309" s="456"/>
    </row>
    <row r="310" spans="1:8" s="317" customFormat="1" ht="27.6" x14ac:dyDescent="0.3">
      <c r="A310" s="286">
        <f>A308+1</f>
        <v>190</v>
      </c>
      <c r="B310" s="291" t="s">
        <v>1213</v>
      </c>
      <c r="C310" s="286" t="s">
        <v>431</v>
      </c>
      <c r="D310" s="288">
        <v>297.02999999999997</v>
      </c>
      <c r="E310" s="171">
        <v>274.78134903545094</v>
      </c>
      <c r="F310" s="289">
        <f>ROUND(E310*D310,2)</f>
        <v>81618.3</v>
      </c>
      <c r="G310" s="289">
        <f t="shared" ref="G310:G314" si="97">ROUND(F310*1.2,2)</f>
        <v>97941.96</v>
      </c>
      <c r="H310" s="456"/>
    </row>
    <row r="311" spans="1:8" s="317" customFormat="1" ht="27.6" x14ac:dyDescent="0.3">
      <c r="A311" s="286">
        <f>A310+1</f>
        <v>191</v>
      </c>
      <c r="B311" s="291" t="s">
        <v>1214</v>
      </c>
      <c r="C311" s="286" t="s">
        <v>193</v>
      </c>
      <c r="D311" s="288">
        <v>499</v>
      </c>
      <c r="E311" s="171">
        <v>486.99808199999995</v>
      </c>
      <c r="F311" s="289">
        <f>ROUND(E311*D311,2)</f>
        <v>243012.04</v>
      </c>
      <c r="G311" s="289">
        <f t="shared" si="97"/>
        <v>291614.45</v>
      </c>
      <c r="H311" s="456"/>
    </row>
    <row r="312" spans="1:8" s="317" customFormat="1" ht="27.6" x14ac:dyDescent="0.3">
      <c r="A312" s="286">
        <f t="shared" ref="A312:A314" si="98">A311+1</f>
        <v>192</v>
      </c>
      <c r="B312" s="291" t="s">
        <v>1215</v>
      </c>
      <c r="C312" s="286" t="s">
        <v>193</v>
      </c>
      <c r="D312" s="288">
        <v>935.63</v>
      </c>
      <c r="E312" s="171">
        <v>457.67808000000002</v>
      </c>
      <c r="F312" s="289">
        <f>ROUND(E312*D312,2)</f>
        <v>428217.34</v>
      </c>
      <c r="G312" s="289">
        <f t="shared" si="97"/>
        <v>513860.81</v>
      </c>
      <c r="H312" s="456"/>
    </row>
    <row r="313" spans="1:8" s="317" customFormat="1" ht="15.6" x14ac:dyDescent="0.3">
      <c r="A313" s="286">
        <f t="shared" si="98"/>
        <v>193</v>
      </c>
      <c r="B313" s="291" t="s">
        <v>1216</v>
      </c>
      <c r="C313" s="286" t="s">
        <v>193</v>
      </c>
      <c r="D313" s="288">
        <v>1960.36</v>
      </c>
      <c r="E313" s="171">
        <v>118.710252</v>
      </c>
      <c r="F313" s="289">
        <f>ROUND(E313*D313,2)</f>
        <v>232714.83</v>
      </c>
      <c r="G313" s="289">
        <f t="shared" si="97"/>
        <v>279257.8</v>
      </c>
      <c r="H313" s="456"/>
    </row>
    <row r="314" spans="1:8" s="317" customFormat="1" ht="15.6" x14ac:dyDescent="0.3">
      <c r="A314" s="286">
        <f t="shared" si="98"/>
        <v>194</v>
      </c>
      <c r="B314" s="291" t="s">
        <v>1212</v>
      </c>
      <c r="C314" s="286" t="s">
        <v>220</v>
      </c>
      <c r="D314" s="299">
        <v>136</v>
      </c>
      <c r="E314" s="171">
        <v>1671.9552359999998</v>
      </c>
      <c r="F314" s="289">
        <f>ROUND(E314*D314,2)</f>
        <v>227385.91</v>
      </c>
      <c r="G314" s="289">
        <f t="shared" si="97"/>
        <v>272863.09000000003</v>
      </c>
      <c r="H314" s="456"/>
    </row>
    <row r="315" spans="1:8" s="317" customFormat="1" ht="15.6" x14ac:dyDescent="0.3">
      <c r="A315" s="286"/>
      <c r="B315" s="303" t="s">
        <v>1217</v>
      </c>
      <c r="C315" s="286"/>
      <c r="D315" s="288"/>
      <c r="E315" s="171">
        <v>0</v>
      </c>
      <c r="F315" s="289"/>
      <c r="G315" s="289"/>
      <c r="H315" s="456"/>
    </row>
    <row r="316" spans="1:8" s="317" customFormat="1" ht="27.6" x14ac:dyDescent="0.3">
      <c r="A316" s="286">
        <f>A314+1</f>
        <v>195</v>
      </c>
      <c r="B316" s="291" t="s">
        <v>1218</v>
      </c>
      <c r="C316" s="286" t="s">
        <v>193</v>
      </c>
      <c r="D316" s="288">
        <v>565.42999999999995</v>
      </c>
      <c r="E316" s="171">
        <v>2508.6479759999997</v>
      </c>
      <c r="F316" s="289">
        <f>ROUND(E316*D316,2)</f>
        <v>1418464.83</v>
      </c>
      <c r="G316" s="289">
        <f t="shared" ref="G316" si="99">ROUND(F316*1.2,2)</f>
        <v>1702157.8</v>
      </c>
      <c r="H316" s="456"/>
    </row>
    <row r="317" spans="1:8" s="317" customFormat="1" ht="20.25" customHeight="1" x14ac:dyDescent="0.3">
      <c r="A317" s="286"/>
      <c r="B317" s="303" t="s">
        <v>1219</v>
      </c>
      <c r="C317" s="286"/>
      <c r="D317" s="288"/>
      <c r="E317" s="171">
        <v>0</v>
      </c>
      <c r="F317" s="289"/>
      <c r="G317" s="289"/>
      <c r="H317" s="456"/>
    </row>
    <row r="318" spans="1:8" s="317" customFormat="1" ht="15.6" x14ac:dyDescent="0.3">
      <c r="A318" s="286">
        <f>A316+1</f>
        <v>196</v>
      </c>
      <c r="B318" s="291" t="s">
        <v>1220</v>
      </c>
      <c r="C318" s="286" t="s">
        <v>220</v>
      </c>
      <c r="D318" s="299">
        <v>22</v>
      </c>
      <c r="E318" s="171">
        <v>421.92198000000002</v>
      </c>
      <c r="F318" s="289">
        <f>ROUND(E318*D318,2)</f>
        <v>9282.2800000000007</v>
      </c>
      <c r="G318" s="289">
        <f t="shared" ref="G318:G321" si="100">ROUND(F318*1.2,2)</f>
        <v>11138.74</v>
      </c>
      <c r="H318" s="337" t="s">
        <v>1261</v>
      </c>
    </row>
    <row r="319" spans="1:8" s="317" customFormat="1" ht="15.6" x14ac:dyDescent="0.3">
      <c r="A319" s="286">
        <f>A318+1</f>
        <v>197</v>
      </c>
      <c r="B319" s="291" t="s">
        <v>1221</v>
      </c>
      <c r="C319" s="286" t="s">
        <v>220</v>
      </c>
      <c r="D319" s="299">
        <v>44</v>
      </c>
      <c r="E319" s="171">
        <v>153.03610799999998</v>
      </c>
      <c r="F319" s="289">
        <f>ROUND(E319*D319,2)</f>
        <v>6733.59</v>
      </c>
      <c r="G319" s="289">
        <f t="shared" si="100"/>
        <v>8080.31</v>
      </c>
      <c r="H319" s="337" t="s">
        <v>1262</v>
      </c>
    </row>
    <row r="320" spans="1:8" s="317" customFormat="1" ht="15.6" x14ac:dyDescent="0.3">
      <c r="A320" s="286">
        <f>A319+1</f>
        <v>198</v>
      </c>
      <c r="B320" s="291" t="s">
        <v>1222</v>
      </c>
      <c r="C320" s="286" t="s">
        <v>220</v>
      </c>
      <c r="D320" s="299">
        <v>22</v>
      </c>
      <c r="E320" s="171">
        <v>48.628295999999999</v>
      </c>
      <c r="F320" s="289">
        <f>ROUND(E320*D320,2)</f>
        <v>1069.82</v>
      </c>
      <c r="G320" s="289">
        <f t="shared" si="100"/>
        <v>1283.78</v>
      </c>
      <c r="H320" s="337" t="s">
        <v>1263</v>
      </c>
    </row>
    <row r="321" spans="1:8" s="317" customFormat="1" ht="15.6" x14ac:dyDescent="0.3">
      <c r="A321" s="286">
        <f t="shared" ref="A321" si="101">A320+1</f>
        <v>199</v>
      </c>
      <c r="B321" s="291" t="s">
        <v>1223</v>
      </c>
      <c r="C321" s="286" t="s">
        <v>220</v>
      </c>
      <c r="D321" s="299">
        <v>44</v>
      </c>
      <c r="E321" s="171">
        <v>293.20002000000005</v>
      </c>
      <c r="F321" s="289">
        <f>ROUND(E321*D321,2)</f>
        <v>12900.8</v>
      </c>
      <c r="G321" s="289">
        <f t="shared" si="100"/>
        <v>15480.96</v>
      </c>
      <c r="H321" s="337" t="s">
        <v>1264</v>
      </c>
    </row>
    <row r="322" spans="1:8" s="317" customFormat="1" ht="22.5" customHeight="1" x14ac:dyDescent="0.3">
      <c r="A322" s="286"/>
      <c r="B322" s="303" t="s">
        <v>1225</v>
      </c>
      <c r="C322" s="286"/>
      <c r="D322" s="288"/>
      <c r="E322" s="171">
        <v>0</v>
      </c>
      <c r="F322" s="289"/>
      <c r="G322" s="289"/>
      <c r="H322" s="456"/>
    </row>
    <row r="323" spans="1:8" s="317" customFormat="1" ht="15.6" x14ac:dyDescent="0.3">
      <c r="A323" s="286">
        <f>A321+1</f>
        <v>200</v>
      </c>
      <c r="B323" s="291" t="s">
        <v>1226</v>
      </c>
      <c r="C323" s="286" t="s">
        <v>431</v>
      </c>
      <c r="D323" s="299">
        <v>520</v>
      </c>
      <c r="E323" s="171">
        <v>223.11806399999998</v>
      </c>
      <c r="F323" s="289">
        <f>ROUND(E323*D323,2)</f>
        <v>116021.39</v>
      </c>
      <c r="G323" s="289">
        <f t="shared" ref="G323" si="102">ROUND(F323*1.2,2)</f>
        <v>139225.67000000001</v>
      </c>
      <c r="H323" s="456"/>
    </row>
    <row r="324" spans="1:8" ht="22.5" customHeight="1" x14ac:dyDescent="0.3">
      <c r="A324" s="154"/>
      <c r="B324" s="173" t="s">
        <v>1231</v>
      </c>
      <c r="C324" s="162"/>
      <c r="D324" s="162"/>
      <c r="E324" s="162"/>
      <c r="F324" s="156"/>
      <c r="G324" s="156"/>
    </row>
    <row r="325" spans="1:8" ht="15.6" x14ac:dyDescent="0.3">
      <c r="A325" s="66"/>
      <c r="B325" s="62" t="s">
        <v>620</v>
      </c>
      <c r="C325" s="66"/>
      <c r="D325" s="68"/>
      <c r="E325" s="171">
        <v>0</v>
      </c>
      <c r="F325" s="161"/>
      <c r="G325" s="169"/>
    </row>
    <row r="326" spans="1:8" ht="41.4" x14ac:dyDescent="0.3">
      <c r="A326" s="66">
        <f>A323+1</f>
        <v>201</v>
      </c>
      <c r="B326" s="67" t="s">
        <v>1229</v>
      </c>
      <c r="C326" s="66" t="s">
        <v>194</v>
      </c>
      <c r="D326" s="71">
        <f>450+30</f>
        <v>480</v>
      </c>
      <c r="E326" s="171">
        <v>413.34051599999998</v>
      </c>
      <c r="F326" s="102">
        <f>ROUND(E326*D326,2)</f>
        <v>198403.45</v>
      </c>
      <c r="G326" s="102">
        <f t="shared" ref="G326:G328" si="103">ROUND(F326*1.2,2)</f>
        <v>238084.14</v>
      </c>
    </row>
    <row r="327" spans="1:8" ht="15.6" x14ac:dyDescent="0.3">
      <c r="A327" s="66">
        <f>A326+1</f>
        <v>202</v>
      </c>
      <c r="B327" s="67" t="s">
        <v>688</v>
      </c>
      <c r="C327" s="66" t="s">
        <v>194</v>
      </c>
      <c r="D327" s="71">
        <v>80</v>
      </c>
      <c r="E327" s="171">
        <v>540.63223199999993</v>
      </c>
      <c r="F327" s="102">
        <f>ROUND(E327*D327,2)</f>
        <v>43250.58</v>
      </c>
      <c r="G327" s="102">
        <f t="shared" si="103"/>
        <v>51900.7</v>
      </c>
    </row>
    <row r="328" spans="1:8" ht="15.6" x14ac:dyDescent="0.3">
      <c r="A328" s="66">
        <f t="shared" ref="A328:A329" si="104">A327+1</f>
        <v>203</v>
      </c>
      <c r="B328" s="67" t="s">
        <v>1233</v>
      </c>
      <c r="C328" s="66" t="s">
        <v>220</v>
      </c>
      <c r="D328" s="71">
        <v>4</v>
      </c>
      <c r="E328" s="171">
        <v>17938.120247999999</v>
      </c>
      <c r="F328" s="102">
        <f>ROUND(E328*D328,2)</f>
        <v>71752.479999999996</v>
      </c>
      <c r="G328" s="102">
        <f t="shared" si="103"/>
        <v>86102.98</v>
      </c>
    </row>
    <row r="329" spans="1:8" ht="15.6" x14ac:dyDescent="0.3">
      <c r="A329" s="286">
        <f t="shared" si="104"/>
        <v>204</v>
      </c>
      <c r="B329" s="291" t="s">
        <v>1230</v>
      </c>
      <c r="C329" s="286" t="s">
        <v>220</v>
      </c>
      <c r="D329" s="299">
        <v>1</v>
      </c>
      <c r="E329" s="171">
        <v>2826.24795864</v>
      </c>
      <c r="F329" s="289">
        <f>ROUND(E329*D329,2)</f>
        <v>2826.25</v>
      </c>
      <c r="G329" s="289">
        <f t="shared" ref="G329" si="105">ROUND(F329*1.2,2)</f>
        <v>3391.5</v>
      </c>
    </row>
    <row r="330" spans="1:8" ht="23.25" customHeight="1" x14ac:dyDescent="0.3">
      <c r="A330" s="154"/>
      <c r="B330" s="173" t="s">
        <v>1232</v>
      </c>
      <c r="C330" s="162"/>
      <c r="D330" s="162"/>
      <c r="E330" s="162"/>
      <c r="F330" s="156"/>
      <c r="G330" s="156"/>
    </row>
    <row r="331" spans="1:8" ht="15.6" x14ac:dyDescent="0.3">
      <c r="A331" s="66"/>
      <c r="B331" s="62" t="s">
        <v>627</v>
      </c>
      <c r="C331" s="66"/>
      <c r="D331" s="68"/>
      <c r="E331" s="171">
        <v>0</v>
      </c>
      <c r="F331" s="161"/>
      <c r="G331" s="169"/>
    </row>
    <row r="332" spans="1:8" ht="15.6" x14ac:dyDescent="0.3">
      <c r="A332" s="66">
        <f>A329+1</f>
        <v>205</v>
      </c>
      <c r="B332" s="67" t="s">
        <v>692</v>
      </c>
      <c r="C332" s="66" t="s">
        <v>194</v>
      </c>
      <c r="D332" s="71">
        <v>180</v>
      </c>
      <c r="E332" s="171">
        <v>251.72294399999998</v>
      </c>
      <c r="F332" s="102">
        <f t="shared" ref="F332:F337" si="106">ROUND(E332*D332,2)</f>
        <v>45310.13</v>
      </c>
      <c r="G332" s="102">
        <f t="shared" ref="G332:G385" si="107">ROUND(F332*1.2,2)</f>
        <v>54372.160000000003</v>
      </c>
    </row>
    <row r="333" spans="1:8" ht="15.6" x14ac:dyDescent="0.3">
      <c r="A333" s="66">
        <f>A332+1</f>
        <v>206</v>
      </c>
      <c r="B333" s="67" t="s">
        <v>693</v>
      </c>
      <c r="C333" s="66" t="s">
        <v>194</v>
      </c>
      <c r="D333" s="71">
        <v>120</v>
      </c>
      <c r="E333" s="171">
        <v>120.140496</v>
      </c>
      <c r="F333" s="102">
        <f t="shared" si="106"/>
        <v>14416.86</v>
      </c>
      <c r="G333" s="102">
        <f t="shared" si="107"/>
        <v>17300.23</v>
      </c>
    </row>
    <row r="334" spans="1:8" ht="15.6" x14ac:dyDescent="0.3">
      <c r="A334" s="66">
        <f>A333+1</f>
        <v>207</v>
      </c>
      <c r="B334" s="67" t="s">
        <v>625</v>
      </c>
      <c r="C334" s="66" t="s">
        <v>194</v>
      </c>
      <c r="D334" s="71">
        <v>12</v>
      </c>
      <c r="E334" s="171">
        <v>10110.394835999999</v>
      </c>
      <c r="F334" s="102">
        <f t="shared" si="106"/>
        <v>121324.74</v>
      </c>
      <c r="G334" s="102">
        <f t="shared" si="107"/>
        <v>145589.69</v>
      </c>
    </row>
    <row r="335" spans="1:8" ht="15.6" x14ac:dyDescent="0.3">
      <c r="A335" s="66">
        <f t="shared" ref="A335:A337" si="108">A334+1</f>
        <v>208</v>
      </c>
      <c r="B335" s="67" t="s">
        <v>626</v>
      </c>
      <c r="C335" s="66" t="s">
        <v>194</v>
      </c>
      <c r="D335" s="71">
        <v>180</v>
      </c>
      <c r="E335" s="171">
        <v>220.25757599999997</v>
      </c>
      <c r="F335" s="102">
        <f t="shared" si="106"/>
        <v>39646.36</v>
      </c>
      <c r="G335" s="102">
        <f t="shared" si="107"/>
        <v>47575.63</v>
      </c>
    </row>
    <row r="336" spans="1:8" ht="15.6" x14ac:dyDescent="0.3">
      <c r="A336" s="286">
        <f t="shared" si="108"/>
        <v>209</v>
      </c>
      <c r="B336" s="315" t="s">
        <v>1235</v>
      </c>
      <c r="C336" s="286" t="s">
        <v>194</v>
      </c>
      <c r="D336" s="299">
        <v>60</v>
      </c>
      <c r="E336" s="171">
        <v>26.388001800000001</v>
      </c>
      <c r="F336" s="289">
        <f t="shared" si="106"/>
        <v>1583.28</v>
      </c>
      <c r="G336" s="289">
        <f t="shared" si="107"/>
        <v>1899.94</v>
      </c>
    </row>
    <row r="337" spans="1:7" ht="15.6" x14ac:dyDescent="0.3">
      <c r="A337" s="286">
        <f t="shared" si="108"/>
        <v>210</v>
      </c>
      <c r="B337" s="315" t="s">
        <v>1236</v>
      </c>
      <c r="C337" s="286" t="s">
        <v>220</v>
      </c>
      <c r="D337" s="299">
        <v>1</v>
      </c>
      <c r="E337" s="171">
        <v>2826.24795864</v>
      </c>
      <c r="F337" s="289">
        <f t="shared" si="106"/>
        <v>2826.25</v>
      </c>
      <c r="G337" s="289">
        <f t="shared" si="107"/>
        <v>3391.5</v>
      </c>
    </row>
    <row r="338" spans="1:7" ht="15.6" x14ac:dyDescent="0.3">
      <c r="A338" s="286"/>
      <c r="B338" s="303" t="s">
        <v>513</v>
      </c>
      <c r="C338" s="286"/>
      <c r="D338" s="299"/>
      <c r="E338" s="171">
        <v>0</v>
      </c>
      <c r="F338" s="289"/>
      <c r="G338" s="289"/>
    </row>
    <row r="339" spans="1:7" ht="15.6" x14ac:dyDescent="0.3">
      <c r="A339" s="66">
        <f>A337+1</f>
        <v>211</v>
      </c>
      <c r="B339" s="67" t="s">
        <v>690</v>
      </c>
      <c r="C339" s="66" t="s">
        <v>193</v>
      </c>
      <c r="D339" s="68">
        <v>72</v>
      </c>
      <c r="E339" s="171">
        <v>2541.5435879999995</v>
      </c>
      <c r="F339" s="102">
        <f>ROUND(E339*D339,2)</f>
        <v>182991.14</v>
      </c>
      <c r="G339" s="102">
        <f t="shared" si="107"/>
        <v>219589.37</v>
      </c>
    </row>
    <row r="340" spans="1:7" ht="15.6" x14ac:dyDescent="0.3">
      <c r="A340" s="66">
        <f>A339+1</f>
        <v>212</v>
      </c>
      <c r="B340" s="67" t="s">
        <v>691</v>
      </c>
      <c r="C340" s="66" t="s">
        <v>193</v>
      </c>
      <c r="D340" s="68">
        <v>55.4</v>
      </c>
      <c r="E340" s="171">
        <v>1285.789356</v>
      </c>
      <c r="F340" s="102">
        <f>ROUND(E340*D340,2)</f>
        <v>71232.73</v>
      </c>
      <c r="G340" s="102">
        <f t="shared" si="107"/>
        <v>85479.28</v>
      </c>
    </row>
    <row r="341" spans="1:7" ht="15.6" x14ac:dyDescent="0.3">
      <c r="A341" s="66">
        <f>A340+1</f>
        <v>213</v>
      </c>
      <c r="B341" s="67" t="s">
        <v>1111</v>
      </c>
      <c r="C341" s="66" t="s">
        <v>193</v>
      </c>
      <c r="D341" s="68">
        <v>16.7</v>
      </c>
      <c r="E341" s="171">
        <v>1972.306476</v>
      </c>
      <c r="F341" s="102">
        <f>ROUND(E341*D341,2)</f>
        <v>32937.519999999997</v>
      </c>
      <c r="G341" s="102">
        <f t="shared" ref="G341" si="109">ROUND(F341*1.2,2)</f>
        <v>39525.019999999997</v>
      </c>
    </row>
    <row r="342" spans="1:7" ht="15.6" x14ac:dyDescent="0.3">
      <c r="A342" s="66">
        <f>A341+1</f>
        <v>214</v>
      </c>
      <c r="B342" s="67" t="s">
        <v>518</v>
      </c>
      <c r="C342" s="66" t="s">
        <v>239</v>
      </c>
      <c r="D342" s="68">
        <f>16.7*1.75</f>
        <v>29.224999999999998</v>
      </c>
      <c r="E342" s="171">
        <v>464.82929999999999</v>
      </c>
      <c r="F342" s="102">
        <f>ROUND(E342*D342,2)</f>
        <v>13584.64</v>
      </c>
      <c r="G342" s="102">
        <f t="shared" si="107"/>
        <v>16301.57</v>
      </c>
    </row>
    <row r="343" spans="1:7" ht="15.6" x14ac:dyDescent="0.3">
      <c r="A343" s="466">
        <f t="shared" ref="A343" si="110">A342+1</f>
        <v>215</v>
      </c>
      <c r="B343" s="67" t="s">
        <v>503</v>
      </c>
      <c r="C343" s="66" t="s">
        <v>239</v>
      </c>
      <c r="D343" s="68">
        <f>16.7*1.75</f>
        <v>29.224999999999998</v>
      </c>
      <c r="E343" s="171">
        <f>'исключение-свод'!D1</f>
        <v>4948.6400000000003</v>
      </c>
      <c r="F343" s="102">
        <f>ROUND(E343*D343,2)</f>
        <v>144624</v>
      </c>
      <c r="G343" s="102">
        <f t="shared" si="107"/>
        <v>173548.79999999999</v>
      </c>
    </row>
    <row r="344" spans="1:7" ht="15.6" x14ac:dyDescent="0.3">
      <c r="A344" s="66"/>
      <c r="B344" s="62" t="s">
        <v>631</v>
      </c>
      <c r="C344" s="66"/>
      <c r="D344" s="68"/>
      <c r="E344" s="171">
        <v>0</v>
      </c>
      <c r="F344" s="102"/>
      <c r="G344" s="102"/>
    </row>
    <row r="345" spans="1:7" ht="15.6" x14ac:dyDescent="0.3">
      <c r="A345" s="66">
        <f>A340+1</f>
        <v>213</v>
      </c>
      <c r="B345" s="67" t="s">
        <v>694</v>
      </c>
      <c r="C345" s="66" t="s">
        <v>194</v>
      </c>
      <c r="D345" s="71">
        <v>60</v>
      </c>
      <c r="E345" s="171">
        <v>251.72294399999998</v>
      </c>
      <c r="F345" s="102">
        <f t="shared" ref="F345:F350" si="111">ROUND(E345*D345,2)</f>
        <v>15103.38</v>
      </c>
      <c r="G345" s="102">
        <f t="shared" si="107"/>
        <v>18124.060000000001</v>
      </c>
    </row>
    <row r="346" spans="1:7" ht="15.6" x14ac:dyDescent="0.3">
      <c r="A346" s="66">
        <f t="shared" ref="A346:A350" si="112">A345+1</f>
        <v>214</v>
      </c>
      <c r="B346" s="67" t="s">
        <v>695</v>
      </c>
      <c r="C346" s="66" t="s">
        <v>194</v>
      </c>
      <c r="D346" s="71">
        <v>20</v>
      </c>
      <c r="E346" s="171">
        <v>120.140496</v>
      </c>
      <c r="F346" s="102">
        <f t="shared" si="111"/>
        <v>2402.81</v>
      </c>
      <c r="G346" s="102">
        <f t="shared" si="107"/>
        <v>2883.37</v>
      </c>
    </row>
    <row r="347" spans="1:7" ht="15.6" x14ac:dyDescent="0.3">
      <c r="A347" s="66">
        <f t="shared" si="112"/>
        <v>215</v>
      </c>
      <c r="B347" s="67" t="s">
        <v>625</v>
      </c>
      <c r="C347" s="66" t="s">
        <v>194</v>
      </c>
      <c r="D347" s="71">
        <v>4</v>
      </c>
      <c r="E347" s="171">
        <v>10110.394835999999</v>
      </c>
      <c r="F347" s="102">
        <f t="shared" si="111"/>
        <v>40441.58</v>
      </c>
      <c r="G347" s="102">
        <f t="shared" si="107"/>
        <v>48529.9</v>
      </c>
    </row>
    <row r="348" spans="1:7" ht="15.6" x14ac:dyDescent="0.3">
      <c r="A348" s="66">
        <f t="shared" si="112"/>
        <v>216</v>
      </c>
      <c r="B348" s="67" t="s">
        <v>626</v>
      </c>
      <c r="C348" s="66" t="s">
        <v>194</v>
      </c>
      <c r="D348" s="71">
        <v>60</v>
      </c>
      <c r="E348" s="171">
        <v>220.25757599999997</v>
      </c>
      <c r="F348" s="102">
        <f t="shared" si="111"/>
        <v>13215.45</v>
      </c>
      <c r="G348" s="102">
        <f t="shared" si="107"/>
        <v>15858.54</v>
      </c>
    </row>
    <row r="349" spans="1:7" ht="15.6" x14ac:dyDescent="0.3">
      <c r="A349" s="286">
        <f t="shared" si="112"/>
        <v>217</v>
      </c>
      <c r="B349" s="315" t="s">
        <v>1235</v>
      </c>
      <c r="C349" s="286" t="s">
        <v>194</v>
      </c>
      <c r="D349" s="299">
        <v>30</v>
      </c>
      <c r="E349" s="171">
        <v>26.388001800000001</v>
      </c>
      <c r="F349" s="289">
        <f t="shared" si="111"/>
        <v>791.64</v>
      </c>
      <c r="G349" s="289">
        <f t="shared" ref="G349:G350" si="113">ROUND(F349*1.2,2)</f>
        <v>949.97</v>
      </c>
    </row>
    <row r="350" spans="1:7" ht="15.6" x14ac:dyDescent="0.3">
      <c r="A350" s="286">
        <f t="shared" si="112"/>
        <v>218</v>
      </c>
      <c r="B350" s="315" t="s">
        <v>1236</v>
      </c>
      <c r="C350" s="286" t="s">
        <v>220</v>
      </c>
      <c r="D350" s="299">
        <v>1</v>
      </c>
      <c r="E350" s="171">
        <v>2826.24795864</v>
      </c>
      <c r="F350" s="289">
        <f t="shared" si="111"/>
        <v>2826.25</v>
      </c>
      <c r="G350" s="289">
        <f t="shared" si="113"/>
        <v>3391.5</v>
      </c>
    </row>
    <row r="351" spans="1:7" ht="15.6" x14ac:dyDescent="0.3">
      <c r="A351" s="66"/>
      <c r="B351" s="62" t="s">
        <v>513</v>
      </c>
      <c r="C351" s="66"/>
      <c r="D351" s="71"/>
      <c r="E351" s="171">
        <v>0</v>
      </c>
      <c r="F351" s="102"/>
      <c r="G351" s="102"/>
    </row>
    <row r="352" spans="1:7" ht="15.6" x14ac:dyDescent="0.3">
      <c r="A352" s="66">
        <f>A348+1</f>
        <v>217</v>
      </c>
      <c r="B352" s="67" t="s">
        <v>690</v>
      </c>
      <c r="C352" s="66" t="s">
        <v>193</v>
      </c>
      <c r="D352" s="68">
        <v>25.2</v>
      </c>
      <c r="E352" s="171">
        <v>2541.5435879999995</v>
      </c>
      <c r="F352" s="102">
        <f>ROUND(E352*D352,2)</f>
        <v>64046.9</v>
      </c>
      <c r="G352" s="102">
        <f t="shared" si="107"/>
        <v>76856.28</v>
      </c>
    </row>
    <row r="353" spans="1:7" ht="15.6" x14ac:dyDescent="0.3">
      <c r="A353" s="66">
        <f>A352+1</f>
        <v>218</v>
      </c>
      <c r="B353" s="67" t="s">
        <v>691</v>
      </c>
      <c r="C353" s="66" t="s">
        <v>193</v>
      </c>
      <c r="D353" s="68">
        <v>19.600000000000001</v>
      </c>
      <c r="E353" s="171">
        <v>1285.789356</v>
      </c>
      <c r="F353" s="102">
        <f>ROUND(E353*D353,2)</f>
        <v>25201.47</v>
      </c>
      <c r="G353" s="102">
        <f t="shared" si="107"/>
        <v>30241.759999999998</v>
      </c>
    </row>
    <row r="354" spans="1:7" ht="15.6" x14ac:dyDescent="0.3">
      <c r="A354" s="66">
        <f>A353+1</f>
        <v>219</v>
      </c>
      <c r="B354" s="67" t="s">
        <v>1111</v>
      </c>
      <c r="C354" s="66" t="s">
        <v>193</v>
      </c>
      <c r="D354" s="68">
        <v>5.6</v>
      </c>
      <c r="E354" s="171">
        <v>1972.306476</v>
      </c>
      <c r="F354" s="102">
        <f>ROUND(E354*D354,2)</f>
        <v>11044.92</v>
      </c>
      <c r="G354" s="102">
        <f t="shared" si="107"/>
        <v>13253.9</v>
      </c>
    </row>
    <row r="355" spans="1:7" ht="15.6" x14ac:dyDescent="0.3">
      <c r="A355" s="66">
        <f>A353+1</f>
        <v>219</v>
      </c>
      <c r="B355" s="67" t="s">
        <v>518</v>
      </c>
      <c r="C355" s="66" t="s">
        <v>239</v>
      </c>
      <c r="D355" s="68">
        <f>5.6*1.75</f>
        <v>9.7999999999999989</v>
      </c>
      <c r="E355" s="171">
        <v>464.82929999999999</v>
      </c>
      <c r="F355" s="102">
        <f>ROUND(E355*D355,2)</f>
        <v>4555.33</v>
      </c>
      <c r="G355" s="102">
        <f t="shared" ref="G355:G356" si="114">ROUND(F355*1.2,2)</f>
        <v>5466.4</v>
      </c>
    </row>
    <row r="356" spans="1:7" ht="15.6" x14ac:dyDescent="0.3">
      <c r="A356" s="466">
        <f t="shared" ref="A356" si="115">A355+1</f>
        <v>220</v>
      </c>
      <c r="B356" s="67" t="s">
        <v>503</v>
      </c>
      <c r="C356" s="66" t="s">
        <v>239</v>
      </c>
      <c r="D356" s="68">
        <f>5.6*1.75</f>
        <v>9.7999999999999989</v>
      </c>
      <c r="E356" s="171">
        <f>'исключение-свод'!D1</f>
        <v>4948.6400000000003</v>
      </c>
      <c r="F356" s="102">
        <f>ROUND(E356*D356,2)</f>
        <v>48496.67</v>
      </c>
      <c r="G356" s="102">
        <f t="shared" si="114"/>
        <v>58196</v>
      </c>
    </row>
    <row r="357" spans="1:7" ht="15.6" x14ac:dyDescent="0.3">
      <c r="A357" s="66"/>
      <c r="B357" s="62" t="s">
        <v>623</v>
      </c>
      <c r="C357" s="66"/>
      <c r="D357" s="71"/>
      <c r="E357" s="171">
        <v>0</v>
      </c>
      <c r="F357" s="102"/>
      <c r="G357" s="102"/>
    </row>
    <row r="358" spans="1:7" ht="15.6" x14ac:dyDescent="0.3">
      <c r="A358" s="66">
        <f>A356+1</f>
        <v>221</v>
      </c>
      <c r="B358" s="67" t="s">
        <v>689</v>
      </c>
      <c r="C358" s="66" t="s">
        <v>194</v>
      </c>
      <c r="D358" s="71">
        <v>160</v>
      </c>
      <c r="E358" s="171">
        <v>316.08392399999997</v>
      </c>
      <c r="F358" s="102">
        <f>ROUND(E358*D358,2)</f>
        <v>50573.43</v>
      </c>
      <c r="G358" s="102">
        <f t="shared" ref="G358:G362" si="116">ROUND(F358*1.2,2)</f>
        <v>60688.12</v>
      </c>
    </row>
    <row r="359" spans="1:7" ht="15.6" x14ac:dyDescent="0.3">
      <c r="A359" s="66">
        <f t="shared" ref="A359:A365" si="117">A358+1</f>
        <v>222</v>
      </c>
      <c r="B359" s="67" t="s">
        <v>625</v>
      </c>
      <c r="C359" s="66" t="s">
        <v>220</v>
      </c>
      <c r="D359" s="71">
        <v>16</v>
      </c>
      <c r="E359" s="171">
        <v>10110.394835999999</v>
      </c>
      <c r="F359" s="102">
        <f>ROUND(E359*D359,2)</f>
        <v>161766.32</v>
      </c>
      <c r="G359" s="102">
        <f t="shared" si="116"/>
        <v>194119.58</v>
      </c>
    </row>
    <row r="360" spans="1:7" ht="15.6" x14ac:dyDescent="0.3">
      <c r="A360" s="66">
        <f t="shared" si="117"/>
        <v>223</v>
      </c>
      <c r="B360" s="67" t="s">
        <v>626</v>
      </c>
      <c r="C360" s="66" t="s">
        <v>220</v>
      </c>
      <c r="D360" s="71">
        <v>160</v>
      </c>
      <c r="E360" s="171">
        <v>224.54830799999999</v>
      </c>
      <c r="F360" s="102">
        <f>ROUND(E360*D360,2)</f>
        <v>35927.730000000003</v>
      </c>
      <c r="G360" s="102">
        <f t="shared" si="116"/>
        <v>43113.279999999999</v>
      </c>
    </row>
    <row r="361" spans="1:7" ht="15.6" x14ac:dyDescent="0.3">
      <c r="A361" s="286">
        <f t="shared" si="117"/>
        <v>224</v>
      </c>
      <c r="B361" s="315" t="s">
        <v>1235</v>
      </c>
      <c r="C361" s="286" t="s">
        <v>194</v>
      </c>
      <c r="D361" s="299">
        <v>60</v>
      </c>
      <c r="E361" s="171">
        <v>26.388001800000001</v>
      </c>
      <c r="F361" s="289">
        <f>ROUND(E361*D361,2)</f>
        <v>1583.28</v>
      </c>
      <c r="G361" s="289">
        <f t="shared" si="116"/>
        <v>1899.94</v>
      </c>
    </row>
    <row r="362" spans="1:7" ht="15.6" x14ac:dyDescent="0.3">
      <c r="A362" s="286">
        <f t="shared" si="117"/>
        <v>225</v>
      </c>
      <c r="B362" s="315" t="s">
        <v>1236</v>
      </c>
      <c r="C362" s="286" t="s">
        <v>220</v>
      </c>
      <c r="D362" s="299">
        <v>1</v>
      </c>
      <c r="E362" s="171">
        <v>2826.24795864</v>
      </c>
      <c r="F362" s="289">
        <f>ROUND(E362*D362,2)</f>
        <v>2826.25</v>
      </c>
      <c r="G362" s="289">
        <f t="shared" si="116"/>
        <v>3391.5</v>
      </c>
    </row>
    <row r="363" spans="1:7" ht="15.6" x14ac:dyDescent="0.3">
      <c r="A363" s="66"/>
      <c r="B363" s="62" t="s">
        <v>513</v>
      </c>
      <c r="C363" s="66"/>
      <c r="D363" s="71"/>
      <c r="E363" s="171">
        <v>0</v>
      </c>
      <c r="F363" s="102"/>
      <c r="G363" s="102"/>
    </row>
    <row r="364" spans="1:7" ht="15.6" x14ac:dyDescent="0.3">
      <c r="A364" s="66">
        <f>A360+1</f>
        <v>224</v>
      </c>
      <c r="B364" s="67" t="s">
        <v>690</v>
      </c>
      <c r="C364" s="66" t="s">
        <v>193</v>
      </c>
      <c r="D364" s="68">
        <v>66.400000000000006</v>
      </c>
      <c r="E364" s="171">
        <v>2541.5435879999995</v>
      </c>
      <c r="F364" s="102">
        <f>ROUND(E364*D364,2)</f>
        <v>168758.49</v>
      </c>
      <c r="G364" s="102">
        <f t="shared" ref="G364:G368" si="118">ROUND(F364*1.2,2)</f>
        <v>202510.19</v>
      </c>
    </row>
    <row r="365" spans="1:7" ht="15.6" x14ac:dyDescent="0.3">
      <c r="A365" s="66">
        <f t="shared" si="117"/>
        <v>225</v>
      </c>
      <c r="B365" s="67" t="s">
        <v>691</v>
      </c>
      <c r="C365" s="66" t="s">
        <v>193</v>
      </c>
      <c r="D365" s="68">
        <v>51.4</v>
      </c>
      <c r="E365" s="171">
        <v>1285.789356</v>
      </c>
      <c r="F365" s="102">
        <f>ROUND(E365*D365,2)</f>
        <v>66089.570000000007</v>
      </c>
      <c r="G365" s="102">
        <f t="shared" si="118"/>
        <v>79307.48</v>
      </c>
    </row>
    <row r="366" spans="1:7" ht="15.6" x14ac:dyDescent="0.3">
      <c r="A366" s="66">
        <f>A365+1</f>
        <v>226</v>
      </c>
      <c r="B366" s="67" t="s">
        <v>1111</v>
      </c>
      <c r="C366" s="66" t="s">
        <v>193</v>
      </c>
      <c r="D366" s="68">
        <v>15</v>
      </c>
      <c r="E366" s="171">
        <v>1972.306476</v>
      </c>
      <c r="F366" s="102">
        <f>ROUND(E366*D366,2)</f>
        <v>29584.6</v>
      </c>
      <c r="G366" s="102">
        <f t="shared" si="118"/>
        <v>35501.519999999997</v>
      </c>
    </row>
    <row r="367" spans="1:7" ht="15.6" x14ac:dyDescent="0.3">
      <c r="A367" s="66">
        <f>A365+1</f>
        <v>226</v>
      </c>
      <c r="B367" s="67" t="s">
        <v>518</v>
      </c>
      <c r="C367" s="66" t="s">
        <v>239</v>
      </c>
      <c r="D367" s="68">
        <f>15*1.75</f>
        <v>26.25</v>
      </c>
      <c r="E367" s="171">
        <v>464.82929999999999</v>
      </c>
      <c r="F367" s="102">
        <f>ROUND(E367*D367,2)</f>
        <v>12201.77</v>
      </c>
      <c r="G367" s="102">
        <f t="shared" si="118"/>
        <v>14642.12</v>
      </c>
    </row>
    <row r="368" spans="1:7" ht="15.6" x14ac:dyDescent="0.3">
      <c r="A368" s="466">
        <f t="shared" ref="A368" si="119">A367+1</f>
        <v>227</v>
      </c>
      <c r="B368" s="67" t="s">
        <v>503</v>
      </c>
      <c r="C368" s="66" t="s">
        <v>239</v>
      </c>
      <c r="D368" s="68">
        <f>15*1.75</f>
        <v>26.25</v>
      </c>
      <c r="E368" s="171">
        <f>'исключение-свод'!D1</f>
        <v>4948.6400000000003</v>
      </c>
      <c r="F368" s="102">
        <f>ROUND(E368*D368,2)</f>
        <v>129901.8</v>
      </c>
      <c r="G368" s="102">
        <f t="shared" si="118"/>
        <v>155882.16</v>
      </c>
    </row>
    <row r="369" spans="1:7" ht="15.6" x14ac:dyDescent="0.3">
      <c r="A369" s="66"/>
      <c r="B369" s="62" t="s">
        <v>633</v>
      </c>
      <c r="C369" s="66"/>
      <c r="D369" s="68"/>
      <c r="E369" s="171">
        <v>0</v>
      </c>
      <c r="F369" s="102"/>
      <c r="G369" s="102"/>
    </row>
    <row r="370" spans="1:7" ht="15.6" x14ac:dyDescent="0.3">
      <c r="A370" s="66">
        <f>A353+1</f>
        <v>219</v>
      </c>
      <c r="B370" s="67" t="s">
        <v>696</v>
      </c>
      <c r="C370" s="66" t="s">
        <v>194</v>
      </c>
      <c r="D370" s="71">
        <v>50</v>
      </c>
      <c r="E370" s="171">
        <v>174.489768</v>
      </c>
      <c r="F370" s="102">
        <f t="shared" ref="F370:F379" si="120">ROUND(E370*D370,2)</f>
        <v>8724.49</v>
      </c>
      <c r="G370" s="102">
        <f t="shared" si="107"/>
        <v>10469.39</v>
      </c>
    </row>
    <row r="371" spans="1:7" ht="15.6" x14ac:dyDescent="0.3">
      <c r="A371" s="286">
        <f>A370+1</f>
        <v>220</v>
      </c>
      <c r="B371" s="291" t="s">
        <v>1238</v>
      </c>
      <c r="C371" s="286" t="s">
        <v>194</v>
      </c>
      <c r="D371" s="299">
        <v>160</v>
      </c>
      <c r="E371" s="171">
        <v>190.22245199999998</v>
      </c>
      <c r="F371" s="289">
        <f t="shared" si="120"/>
        <v>30435.59</v>
      </c>
      <c r="G371" s="289">
        <f t="shared" si="107"/>
        <v>36522.71</v>
      </c>
    </row>
    <row r="372" spans="1:7" ht="15.6" x14ac:dyDescent="0.3">
      <c r="A372" s="286">
        <f t="shared" ref="A372:A379" si="121">A371+1</f>
        <v>221</v>
      </c>
      <c r="B372" s="291" t="s">
        <v>689</v>
      </c>
      <c r="C372" s="286" t="s">
        <v>194</v>
      </c>
      <c r="D372" s="299">
        <v>210</v>
      </c>
      <c r="E372" s="171">
        <v>316.08392399999997</v>
      </c>
      <c r="F372" s="289">
        <f t="shared" si="120"/>
        <v>66377.62</v>
      </c>
      <c r="G372" s="289">
        <f t="shared" si="107"/>
        <v>79653.14</v>
      </c>
    </row>
    <row r="373" spans="1:7" ht="15.6" x14ac:dyDescent="0.3">
      <c r="A373" s="286">
        <f t="shared" si="121"/>
        <v>222</v>
      </c>
      <c r="B373" s="291" t="s">
        <v>697</v>
      </c>
      <c r="C373" s="286" t="s">
        <v>220</v>
      </c>
      <c r="D373" s="299">
        <v>2</v>
      </c>
      <c r="E373" s="171">
        <v>10110.394835999999</v>
      </c>
      <c r="F373" s="289">
        <f t="shared" si="120"/>
        <v>20220.79</v>
      </c>
      <c r="G373" s="289">
        <f t="shared" si="107"/>
        <v>24264.95</v>
      </c>
    </row>
    <row r="374" spans="1:7" ht="15.6" x14ac:dyDescent="0.3">
      <c r="A374" s="286">
        <f t="shared" si="121"/>
        <v>223</v>
      </c>
      <c r="B374" s="291" t="s">
        <v>1237</v>
      </c>
      <c r="C374" s="286" t="s">
        <v>220</v>
      </c>
      <c r="D374" s="299">
        <v>2</v>
      </c>
      <c r="E374" s="171">
        <v>17938.120247999999</v>
      </c>
      <c r="F374" s="289">
        <f t="shared" si="120"/>
        <v>35876.239999999998</v>
      </c>
      <c r="G374" s="289">
        <f t="shared" ref="G374" si="122">ROUND(F374*1.2,2)</f>
        <v>43051.49</v>
      </c>
    </row>
    <row r="375" spans="1:7" ht="15.6" x14ac:dyDescent="0.3">
      <c r="A375" s="286">
        <f t="shared" si="121"/>
        <v>224</v>
      </c>
      <c r="B375" s="291" t="s">
        <v>626</v>
      </c>
      <c r="C375" s="286" t="s">
        <v>194</v>
      </c>
      <c r="D375" s="299">
        <v>50</v>
      </c>
      <c r="E375" s="171">
        <v>224.54830799999999</v>
      </c>
      <c r="F375" s="289">
        <f t="shared" si="120"/>
        <v>11227.42</v>
      </c>
      <c r="G375" s="289">
        <f t="shared" si="107"/>
        <v>13472.9</v>
      </c>
    </row>
    <row r="376" spans="1:7" ht="15.6" x14ac:dyDescent="0.3">
      <c r="A376" s="286">
        <f t="shared" si="121"/>
        <v>225</v>
      </c>
      <c r="B376" s="315" t="s">
        <v>1239</v>
      </c>
      <c r="C376" s="286" t="s">
        <v>194</v>
      </c>
      <c r="D376" s="299">
        <v>160</v>
      </c>
      <c r="E376" s="171">
        <v>599.27223599999991</v>
      </c>
      <c r="F376" s="289">
        <f t="shared" si="120"/>
        <v>95883.56</v>
      </c>
      <c r="G376" s="289">
        <f t="shared" ref="G376" si="123">ROUND(F376*1.2,2)</f>
        <v>115060.27</v>
      </c>
    </row>
    <row r="377" spans="1:7" ht="15.6" x14ac:dyDescent="0.3">
      <c r="A377" s="286">
        <f t="shared" si="121"/>
        <v>226</v>
      </c>
      <c r="B377" s="315" t="s">
        <v>1235</v>
      </c>
      <c r="C377" s="286" t="s">
        <v>194</v>
      </c>
      <c r="D377" s="299">
        <v>100</v>
      </c>
      <c r="E377" s="171">
        <v>26.388001800000001</v>
      </c>
      <c r="F377" s="289">
        <f t="shared" si="120"/>
        <v>2638.8</v>
      </c>
      <c r="G377" s="289">
        <f t="shared" si="107"/>
        <v>3166.56</v>
      </c>
    </row>
    <row r="378" spans="1:7" ht="15.6" x14ac:dyDescent="0.3">
      <c r="A378" s="286">
        <f t="shared" si="121"/>
        <v>227</v>
      </c>
      <c r="B378" s="315" t="s">
        <v>1236</v>
      </c>
      <c r="C378" s="286" t="s">
        <v>220</v>
      </c>
      <c r="D378" s="299">
        <v>1</v>
      </c>
      <c r="E378" s="171">
        <v>2826.24795864</v>
      </c>
      <c r="F378" s="289">
        <f t="shared" si="120"/>
        <v>2826.25</v>
      </c>
      <c r="G378" s="289">
        <f t="shared" si="107"/>
        <v>3391.5</v>
      </c>
    </row>
    <row r="379" spans="1:7" ht="27.6" x14ac:dyDescent="0.3">
      <c r="A379" s="286">
        <f t="shared" si="121"/>
        <v>228</v>
      </c>
      <c r="B379" s="315" t="s">
        <v>1240</v>
      </c>
      <c r="C379" s="286" t="s">
        <v>220</v>
      </c>
      <c r="D379" s="299">
        <v>320</v>
      </c>
      <c r="E379" s="171">
        <v>258.87416400000001</v>
      </c>
      <c r="F379" s="289">
        <f t="shared" si="120"/>
        <v>82839.73</v>
      </c>
      <c r="G379" s="289">
        <f t="shared" ref="G379" si="124">ROUND(F379*1.2,2)</f>
        <v>99407.679999999993</v>
      </c>
    </row>
    <row r="380" spans="1:7" ht="15.6" x14ac:dyDescent="0.3">
      <c r="A380" s="286"/>
      <c r="B380" s="303" t="s">
        <v>513</v>
      </c>
      <c r="C380" s="286"/>
      <c r="D380" s="299"/>
      <c r="E380" s="171">
        <v>0</v>
      </c>
      <c r="F380" s="289"/>
      <c r="G380" s="289"/>
    </row>
    <row r="381" spans="1:7" ht="15.6" x14ac:dyDescent="0.3">
      <c r="A381" s="66">
        <f>A379+1</f>
        <v>229</v>
      </c>
      <c r="B381" s="67" t="s">
        <v>690</v>
      </c>
      <c r="C381" s="66" t="s">
        <v>193</v>
      </c>
      <c r="D381" s="68">
        <v>71.400000000000006</v>
      </c>
      <c r="E381" s="171">
        <v>2541.5435879999995</v>
      </c>
      <c r="F381" s="102">
        <f>ROUND(E381*D381,2)</f>
        <v>181466.21</v>
      </c>
      <c r="G381" s="102">
        <f t="shared" si="107"/>
        <v>217759.45</v>
      </c>
    </row>
    <row r="382" spans="1:7" ht="15.6" x14ac:dyDescent="0.3">
      <c r="A382" s="66">
        <f>A381+1</f>
        <v>230</v>
      </c>
      <c r="B382" s="67" t="s">
        <v>691</v>
      </c>
      <c r="C382" s="66" t="s">
        <v>193</v>
      </c>
      <c r="D382" s="68">
        <v>56.5</v>
      </c>
      <c r="E382" s="171">
        <v>1285.789356</v>
      </c>
      <c r="F382" s="102">
        <f>ROUND(E382*D382,2)</f>
        <v>72647.100000000006</v>
      </c>
      <c r="G382" s="102">
        <f t="shared" si="107"/>
        <v>87176.52</v>
      </c>
    </row>
    <row r="383" spans="1:7" ht="15.6" x14ac:dyDescent="0.3">
      <c r="A383" s="66">
        <f>A382+1</f>
        <v>231</v>
      </c>
      <c r="B383" s="67" t="s">
        <v>1111</v>
      </c>
      <c r="C383" s="66" t="s">
        <v>193</v>
      </c>
      <c r="D383" s="68">
        <v>14.9</v>
      </c>
      <c r="E383" s="171">
        <v>1972.306476</v>
      </c>
      <c r="F383" s="102">
        <f>ROUND(E383*D383,2)</f>
        <v>29387.37</v>
      </c>
      <c r="G383" s="102">
        <f t="shared" si="107"/>
        <v>35264.839999999997</v>
      </c>
    </row>
    <row r="384" spans="1:7" ht="15.6" x14ac:dyDescent="0.3">
      <c r="A384" s="66">
        <f>A382+1</f>
        <v>231</v>
      </c>
      <c r="B384" s="67" t="s">
        <v>518</v>
      </c>
      <c r="C384" s="66" t="s">
        <v>239</v>
      </c>
      <c r="D384" s="68">
        <f>14.9*1.75</f>
        <v>26.074999999999999</v>
      </c>
      <c r="E384" s="171">
        <v>464.82929999999999</v>
      </c>
      <c r="F384" s="102">
        <f>ROUND(E384*D384,2)</f>
        <v>12120.42</v>
      </c>
      <c r="G384" s="102">
        <f t="shared" si="107"/>
        <v>14544.5</v>
      </c>
    </row>
    <row r="385" spans="1:7" ht="15.6" x14ac:dyDescent="0.3">
      <c r="A385" s="466">
        <f t="shared" ref="A385" si="125">A384+1</f>
        <v>232</v>
      </c>
      <c r="B385" s="67" t="s">
        <v>503</v>
      </c>
      <c r="C385" s="66" t="s">
        <v>239</v>
      </c>
      <c r="D385" s="68">
        <f>14.9*1.75</f>
        <v>26.074999999999999</v>
      </c>
      <c r="E385" s="171">
        <f>'исключение-свод'!D1</f>
        <v>4948.6400000000003</v>
      </c>
      <c r="F385" s="102">
        <f>ROUND(E385*D385,2)</f>
        <v>129035.79</v>
      </c>
      <c r="G385" s="102">
        <f t="shared" si="107"/>
        <v>154842.95000000001</v>
      </c>
    </row>
    <row r="386" spans="1:7" x14ac:dyDescent="0.3">
      <c r="A386" s="167"/>
      <c r="B386" s="520" t="s">
        <v>716</v>
      </c>
      <c r="C386" s="521"/>
      <c r="D386" s="521"/>
      <c r="E386" s="522"/>
      <c r="F386" s="158">
        <f>SUM(F6:F385)</f>
        <v>119559027.98999998</v>
      </c>
      <c r="G386" s="158">
        <f>SUM(G6:G385)</f>
        <v>143470833.65000007</v>
      </c>
    </row>
  </sheetData>
  <autoFilter ref="A1:H386" xr:uid="{00000000-0001-0000-0900-000000000000}"/>
  <mergeCells count="10">
    <mergeCell ref="F238:F240"/>
    <mergeCell ref="G238:G240"/>
    <mergeCell ref="E1:E2"/>
    <mergeCell ref="F1:F2"/>
    <mergeCell ref="G1:G2"/>
    <mergeCell ref="B386:E386"/>
    <mergeCell ref="D1:D2"/>
    <mergeCell ref="C1:C2"/>
    <mergeCell ref="B1:B2"/>
    <mergeCell ref="A1:A2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J280"/>
  <sheetViews>
    <sheetView topLeftCell="A269" zoomScaleNormal="100" zoomScaleSheetLayoutView="70" workbookViewId="0">
      <selection activeCell="D121" sqref="D121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</cols>
  <sheetData>
    <row r="1" spans="1:10" ht="19.5" customHeight="1" x14ac:dyDescent="0.3">
      <c r="A1" s="497" t="s">
        <v>226</v>
      </c>
      <c r="B1" s="519" t="s">
        <v>201</v>
      </c>
      <c r="C1" s="497" t="s">
        <v>700</v>
      </c>
      <c r="D1" s="497" t="s">
        <v>202</v>
      </c>
      <c r="E1" s="513" t="s">
        <v>699</v>
      </c>
      <c r="F1" s="511" t="s">
        <v>197</v>
      </c>
      <c r="G1" s="511" t="s">
        <v>198</v>
      </c>
    </row>
    <row r="2" spans="1:10" s="54" customFormat="1" ht="29.4" customHeight="1" x14ac:dyDescent="0.3">
      <c r="A2" s="497"/>
      <c r="B2" s="519"/>
      <c r="C2" s="497"/>
      <c r="D2" s="497"/>
      <c r="E2" s="514"/>
      <c r="F2" s="512"/>
      <c r="G2" s="512"/>
      <c r="I2"/>
      <c r="J2" s="382"/>
    </row>
    <row r="3" spans="1:10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154"/>
      <c r="B4" s="478" t="s">
        <v>550</v>
      </c>
      <c r="C4" s="479"/>
      <c r="D4" s="505"/>
      <c r="E4" s="156"/>
      <c r="F4" s="157"/>
      <c r="G4" s="126"/>
      <c r="J4" s="382"/>
    </row>
    <row r="5" spans="1:10" x14ac:dyDescent="0.3">
      <c r="A5" s="87">
        <v>1</v>
      </c>
      <c r="B5" s="67" t="s">
        <v>234</v>
      </c>
      <c r="C5" s="66" t="s">
        <v>193</v>
      </c>
      <c r="D5" s="71">
        <v>13</v>
      </c>
      <c r="E5" s="97">
        <v>1701.1764000000003</v>
      </c>
      <c r="F5" s="102">
        <f t="shared" ref="F5:F27" si="0">ROUND(E5*D5,2)</f>
        <v>22115.29</v>
      </c>
      <c r="G5" s="102">
        <f>ROUND(F5*1.2,2)</f>
        <v>26538.35</v>
      </c>
    </row>
    <row r="6" spans="1:10" x14ac:dyDescent="0.3">
      <c r="A6" s="87">
        <f>A5+1</f>
        <v>2</v>
      </c>
      <c r="B6" s="67" t="s">
        <v>551</v>
      </c>
      <c r="C6" s="66" t="s">
        <v>194</v>
      </c>
      <c r="D6" s="71">
        <v>35</v>
      </c>
      <c r="E6" s="97">
        <v>510.3529200000001</v>
      </c>
      <c r="F6" s="102">
        <f t="shared" si="0"/>
        <v>17862.349999999999</v>
      </c>
      <c r="G6" s="102">
        <f t="shared" ref="G6:G27" si="1">ROUND(F6*1.2,2)</f>
        <v>21434.82</v>
      </c>
    </row>
    <row r="7" spans="1:10" ht="27.6" x14ac:dyDescent="0.3">
      <c r="A7" s="87">
        <f>A6+1</f>
        <v>3</v>
      </c>
      <c r="B7" s="67" t="s">
        <v>552</v>
      </c>
      <c r="C7" s="66" t="s">
        <v>194</v>
      </c>
      <c r="D7" s="71">
        <v>3</v>
      </c>
      <c r="E7" s="97">
        <v>609.58821000000012</v>
      </c>
      <c r="F7" s="102">
        <f t="shared" si="0"/>
        <v>1828.76</v>
      </c>
      <c r="G7" s="102">
        <f t="shared" si="1"/>
        <v>2194.5100000000002</v>
      </c>
    </row>
    <row r="8" spans="1:10" x14ac:dyDescent="0.3">
      <c r="A8" s="87">
        <f t="shared" ref="A8:A27" si="2">A7+1</f>
        <v>4</v>
      </c>
      <c r="B8" s="67" t="s">
        <v>553</v>
      </c>
      <c r="C8" s="66" t="s">
        <v>194</v>
      </c>
      <c r="D8" s="71">
        <v>6</v>
      </c>
      <c r="E8" s="97">
        <v>6095.8821000000007</v>
      </c>
      <c r="F8" s="102">
        <f t="shared" si="0"/>
        <v>36575.29</v>
      </c>
      <c r="G8" s="102">
        <f t="shared" si="1"/>
        <v>43890.35</v>
      </c>
    </row>
    <row r="9" spans="1:10" ht="41.4" x14ac:dyDescent="0.3">
      <c r="A9" s="87">
        <f t="shared" si="2"/>
        <v>5</v>
      </c>
      <c r="B9" s="67" t="s">
        <v>554</v>
      </c>
      <c r="C9" s="66" t="s">
        <v>220</v>
      </c>
      <c r="D9" s="71">
        <v>2</v>
      </c>
      <c r="E9" s="97">
        <v>19075.084770000001</v>
      </c>
      <c r="F9" s="102">
        <f t="shared" si="0"/>
        <v>38150.17</v>
      </c>
      <c r="G9" s="102">
        <f t="shared" si="1"/>
        <v>45780.2</v>
      </c>
    </row>
    <row r="10" spans="1:10" x14ac:dyDescent="0.3">
      <c r="A10" s="87">
        <f t="shared" si="2"/>
        <v>6</v>
      </c>
      <c r="B10" s="67" t="s">
        <v>555</v>
      </c>
      <c r="C10" s="66" t="s">
        <v>220</v>
      </c>
      <c r="D10" s="71">
        <v>1</v>
      </c>
      <c r="E10" s="97">
        <v>23674.704900000004</v>
      </c>
      <c r="F10" s="102">
        <f t="shared" si="0"/>
        <v>23674.7</v>
      </c>
      <c r="G10" s="102">
        <f t="shared" si="1"/>
        <v>28409.64</v>
      </c>
    </row>
    <row r="11" spans="1:10" x14ac:dyDescent="0.3">
      <c r="A11" s="87">
        <f t="shared" si="2"/>
        <v>7</v>
      </c>
      <c r="B11" s="67" t="s">
        <v>556</v>
      </c>
      <c r="C11" s="66" t="s">
        <v>220</v>
      </c>
      <c r="D11" s="71">
        <v>2</v>
      </c>
      <c r="E11" s="97">
        <v>9356.4702000000016</v>
      </c>
      <c r="F11" s="102">
        <f t="shared" si="0"/>
        <v>18712.939999999999</v>
      </c>
      <c r="G11" s="102">
        <f t="shared" si="1"/>
        <v>22455.53</v>
      </c>
    </row>
    <row r="12" spans="1:10" x14ac:dyDescent="0.3">
      <c r="A12" s="87">
        <f t="shared" si="2"/>
        <v>8</v>
      </c>
      <c r="B12" s="67" t="s">
        <v>557</v>
      </c>
      <c r="C12" s="66" t="s">
        <v>220</v>
      </c>
      <c r="D12" s="71">
        <v>1</v>
      </c>
      <c r="E12" s="97">
        <v>9356.4702000000016</v>
      </c>
      <c r="F12" s="102">
        <f t="shared" si="0"/>
        <v>9356.4699999999993</v>
      </c>
      <c r="G12" s="102">
        <f t="shared" si="1"/>
        <v>11227.76</v>
      </c>
    </row>
    <row r="13" spans="1:10" x14ac:dyDescent="0.3">
      <c r="A13" s="87">
        <f t="shared" si="2"/>
        <v>9</v>
      </c>
      <c r="B13" s="67" t="s">
        <v>558</v>
      </c>
      <c r="C13" s="66" t="s">
        <v>220</v>
      </c>
      <c r="D13" s="71">
        <v>1</v>
      </c>
      <c r="E13" s="97">
        <v>793.88231999999994</v>
      </c>
      <c r="F13" s="102">
        <f t="shared" si="0"/>
        <v>793.88</v>
      </c>
      <c r="G13" s="102">
        <f t="shared" si="1"/>
        <v>952.66</v>
      </c>
    </row>
    <row r="14" spans="1:10" x14ac:dyDescent="0.3">
      <c r="A14" s="87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7">
        <v>163.67379</v>
      </c>
      <c r="F14" s="102">
        <f t="shared" si="0"/>
        <v>717.55</v>
      </c>
      <c r="G14" s="102">
        <f t="shared" si="1"/>
        <v>861.06</v>
      </c>
    </row>
    <row r="15" spans="1:10" x14ac:dyDescent="0.3">
      <c r="A15" s="87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7">
        <v>163.67379</v>
      </c>
      <c r="F15" s="102">
        <f t="shared" si="0"/>
        <v>636.36</v>
      </c>
      <c r="G15" s="102">
        <f t="shared" si="1"/>
        <v>763.63</v>
      </c>
    </row>
    <row r="16" spans="1:10" x14ac:dyDescent="0.3">
      <c r="A16" s="87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7">
        <v>189.44919000000002</v>
      </c>
      <c r="F16" s="102">
        <f t="shared" si="0"/>
        <v>194</v>
      </c>
      <c r="G16" s="102">
        <f t="shared" si="1"/>
        <v>232.8</v>
      </c>
    </row>
    <row r="17" spans="1:7" x14ac:dyDescent="0.3">
      <c r="A17" s="87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7">
        <v>189.44919000000002</v>
      </c>
      <c r="F17" s="102">
        <f t="shared" si="0"/>
        <v>215.21</v>
      </c>
      <c r="G17" s="102">
        <f t="shared" si="1"/>
        <v>258.25</v>
      </c>
    </row>
    <row r="18" spans="1:7" x14ac:dyDescent="0.3">
      <c r="A18" s="87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7">
        <v>255.17646000000005</v>
      </c>
      <c r="F18" s="102">
        <f t="shared" si="0"/>
        <v>212.31</v>
      </c>
      <c r="G18" s="102">
        <f t="shared" si="1"/>
        <v>254.77</v>
      </c>
    </row>
    <row r="19" spans="1:7" x14ac:dyDescent="0.3">
      <c r="A19" s="87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7">
        <v>255.17646000000005</v>
      </c>
      <c r="F19" s="102">
        <f t="shared" si="0"/>
        <v>140.44999999999999</v>
      </c>
      <c r="G19" s="102">
        <f t="shared" si="1"/>
        <v>168.54</v>
      </c>
    </row>
    <row r="20" spans="1:7" x14ac:dyDescent="0.3">
      <c r="A20" s="87">
        <f t="shared" si="2"/>
        <v>16</v>
      </c>
      <c r="B20" s="67" t="s">
        <v>565</v>
      </c>
      <c r="C20" s="74" t="s">
        <v>220</v>
      </c>
      <c r="D20" s="71">
        <v>4</v>
      </c>
      <c r="E20" s="97">
        <v>36.085560000000001</v>
      </c>
      <c r="F20" s="102">
        <f t="shared" si="0"/>
        <v>144.34</v>
      </c>
      <c r="G20" s="102">
        <f t="shared" si="1"/>
        <v>173.21</v>
      </c>
    </row>
    <row r="21" spans="1:7" x14ac:dyDescent="0.3">
      <c r="A21" s="87">
        <f t="shared" si="2"/>
        <v>17</v>
      </c>
      <c r="B21" s="67" t="s">
        <v>566</v>
      </c>
      <c r="C21" s="74" t="s">
        <v>220</v>
      </c>
      <c r="D21" s="71">
        <v>2</v>
      </c>
      <c r="E21" s="97">
        <v>42.529410000000006</v>
      </c>
      <c r="F21" s="102">
        <f t="shared" si="0"/>
        <v>85.06</v>
      </c>
      <c r="G21" s="102">
        <f t="shared" si="1"/>
        <v>102.07</v>
      </c>
    </row>
    <row r="22" spans="1:7" ht="27.6" x14ac:dyDescent="0.3">
      <c r="A22" s="87">
        <f t="shared" si="2"/>
        <v>18</v>
      </c>
      <c r="B22" s="67" t="s">
        <v>567</v>
      </c>
      <c r="C22" s="66" t="s">
        <v>220</v>
      </c>
      <c r="D22" s="71">
        <v>1</v>
      </c>
      <c r="E22" s="97">
        <v>992.3529000000002</v>
      </c>
      <c r="F22" s="102">
        <f t="shared" si="0"/>
        <v>992.35</v>
      </c>
      <c r="G22" s="102">
        <f t="shared" si="1"/>
        <v>1190.82</v>
      </c>
    </row>
    <row r="23" spans="1:7" x14ac:dyDescent="0.3">
      <c r="A23" s="87">
        <f t="shared" si="2"/>
        <v>19</v>
      </c>
      <c r="B23" s="67" t="s">
        <v>568</v>
      </c>
      <c r="C23" s="66" t="s">
        <v>220</v>
      </c>
      <c r="D23" s="71">
        <v>1</v>
      </c>
      <c r="E23" s="97">
        <v>1701.1764000000003</v>
      </c>
      <c r="F23" s="102">
        <f t="shared" si="0"/>
        <v>1701.18</v>
      </c>
      <c r="G23" s="102">
        <f t="shared" si="1"/>
        <v>2041.42</v>
      </c>
    </row>
    <row r="24" spans="1:7" x14ac:dyDescent="0.3">
      <c r="A24" s="87">
        <f t="shared" si="2"/>
        <v>20</v>
      </c>
      <c r="B24" s="67" t="s">
        <v>569</v>
      </c>
      <c r="C24" s="66" t="s">
        <v>220</v>
      </c>
      <c r="D24" s="71">
        <v>1</v>
      </c>
      <c r="E24" s="97">
        <v>2409.9999000000003</v>
      </c>
      <c r="F24" s="102">
        <f t="shared" si="0"/>
        <v>2410</v>
      </c>
      <c r="G24" s="102">
        <f t="shared" si="1"/>
        <v>2892</v>
      </c>
    </row>
    <row r="25" spans="1:7" x14ac:dyDescent="0.3">
      <c r="A25" s="87">
        <f t="shared" si="2"/>
        <v>21</v>
      </c>
      <c r="B25" s="67" t="s">
        <v>570</v>
      </c>
      <c r="C25" s="66" t="s">
        <v>220</v>
      </c>
      <c r="D25" s="71">
        <v>1</v>
      </c>
      <c r="E25" s="97">
        <v>6804.7056000000011</v>
      </c>
      <c r="F25" s="102">
        <f t="shared" si="0"/>
        <v>6804.71</v>
      </c>
      <c r="G25" s="102">
        <f t="shared" si="1"/>
        <v>8165.65</v>
      </c>
    </row>
    <row r="26" spans="1:7" ht="32.25" customHeight="1" x14ac:dyDescent="0.3">
      <c r="A26" s="87">
        <f t="shared" si="2"/>
        <v>22</v>
      </c>
      <c r="B26" s="67" t="s">
        <v>571</v>
      </c>
      <c r="C26" s="66" t="s">
        <v>193</v>
      </c>
      <c r="D26" s="68">
        <v>7.0000000000000007E-2</v>
      </c>
      <c r="E26" s="97">
        <v>7200.3579900000004</v>
      </c>
      <c r="F26" s="102">
        <f t="shared" si="0"/>
        <v>504.03</v>
      </c>
      <c r="G26" s="102">
        <f t="shared" si="1"/>
        <v>604.84</v>
      </c>
    </row>
    <row r="27" spans="1:7" ht="21.75" customHeight="1" x14ac:dyDescent="0.3">
      <c r="A27" s="87">
        <f t="shared" si="2"/>
        <v>23</v>
      </c>
      <c r="B27" s="67" t="s">
        <v>755</v>
      </c>
      <c r="C27" s="66" t="s">
        <v>193</v>
      </c>
      <c r="D27" s="72">
        <v>0.5</v>
      </c>
      <c r="E27" s="97">
        <v>4961.7645000000002</v>
      </c>
      <c r="F27" s="102">
        <f t="shared" si="0"/>
        <v>2480.88</v>
      </c>
      <c r="G27" s="102">
        <f t="shared" si="1"/>
        <v>2977.06</v>
      </c>
    </row>
    <row r="28" spans="1:7" ht="30.75" customHeight="1" x14ac:dyDescent="0.3">
      <c r="A28" s="154"/>
      <c r="B28" s="530" t="s">
        <v>1160</v>
      </c>
      <c r="C28" s="531"/>
      <c r="D28" s="531"/>
      <c r="E28" s="342"/>
      <c r="F28" s="157"/>
      <c r="G28" s="126"/>
    </row>
    <row r="29" spans="1:7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7">
        <v>1701.1764000000003</v>
      </c>
      <c r="F29" s="102">
        <f t="shared" ref="F29:F40" si="3">ROUND(E29*D29,2)</f>
        <v>193934.11</v>
      </c>
      <c r="G29" s="102">
        <f t="shared" ref="G29" si="4">ROUND(F29*1.2,2)</f>
        <v>232720.93</v>
      </c>
    </row>
    <row r="30" spans="1:7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7">
        <v>510.3529200000001</v>
      </c>
      <c r="F30" s="102">
        <f t="shared" si="3"/>
        <v>51545.64</v>
      </c>
      <c r="G30" s="102">
        <f t="shared" ref="G30:G40" si="5">ROUND(F30*1.2,2)</f>
        <v>61854.77</v>
      </c>
    </row>
    <row r="31" spans="1:7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7">
        <v>6095.8821000000007</v>
      </c>
      <c r="F31" s="102">
        <f t="shared" si="3"/>
        <v>73150.59</v>
      </c>
      <c r="G31" s="102">
        <f t="shared" si="5"/>
        <v>87780.71</v>
      </c>
    </row>
    <row r="32" spans="1:7" s="57" customFormat="1" x14ac:dyDescent="0.3">
      <c r="A32" s="87">
        <f>A31+1</f>
        <v>27</v>
      </c>
      <c r="B32" s="244" t="s">
        <v>1159</v>
      </c>
      <c r="C32" s="87" t="s">
        <v>220</v>
      </c>
      <c r="D32" s="153">
        <v>5</v>
      </c>
      <c r="E32" s="97">
        <v>734.59890000000007</v>
      </c>
      <c r="F32" s="103">
        <f t="shared" si="3"/>
        <v>3672.99</v>
      </c>
      <c r="G32" s="103">
        <f t="shared" si="5"/>
        <v>4407.59</v>
      </c>
    </row>
    <row r="33" spans="1:7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7">
        <v>9356.4702000000016</v>
      </c>
      <c r="F33" s="102">
        <f t="shared" si="3"/>
        <v>18712.939999999999</v>
      </c>
      <c r="G33" s="102">
        <f t="shared" si="5"/>
        <v>22455.53</v>
      </c>
    </row>
    <row r="34" spans="1:7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7">
        <v>793.88231999999994</v>
      </c>
      <c r="F34" s="102">
        <f t="shared" si="3"/>
        <v>1587.76</v>
      </c>
      <c r="G34" s="102">
        <f t="shared" si="5"/>
        <v>1905.31</v>
      </c>
    </row>
    <row r="35" spans="1:7" x14ac:dyDescent="0.3">
      <c r="A35" s="66">
        <f t="shared" ref="A35:A39" si="6">A34+1</f>
        <v>30</v>
      </c>
      <c r="B35" s="67" t="s">
        <v>577</v>
      </c>
      <c r="C35" s="74" t="s">
        <v>254</v>
      </c>
      <c r="D35" s="68">
        <f>16*0.137</f>
        <v>2.1920000000000002</v>
      </c>
      <c r="E35" s="97">
        <v>163.67379</v>
      </c>
      <c r="F35" s="102">
        <f t="shared" si="3"/>
        <v>358.77</v>
      </c>
      <c r="G35" s="102">
        <f t="shared" si="5"/>
        <v>430.52</v>
      </c>
    </row>
    <row r="36" spans="1:7" x14ac:dyDescent="0.3">
      <c r="A36" s="66">
        <f t="shared" si="6"/>
        <v>31</v>
      </c>
      <c r="B36" s="67" t="s">
        <v>405</v>
      </c>
      <c r="C36" s="74" t="s">
        <v>254</v>
      </c>
      <c r="D36" s="68">
        <f>16*0.032</f>
        <v>0.51200000000000001</v>
      </c>
      <c r="E36" s="97">
        <v>189.44919000000002</v>
      </c>
      <c r="F36" s="102">
        <f t="shared" si="3"/>
        <v>97</v>
      </c>
      <c r="G36" s="102">
        <f t="shared" si="5"/>
        <v>116.4</v>
      </c>
    </row>
    <row r="37" spans="1:7" x14ac:dyDescent="0.3">
      <c r="A37" s="66">
        <f t="shared" si="6"/>
        <v>32</v>
      </c>
      <c r="B37" s="67" t="s">
        <v>578</v>
      </c>
      <c r="C37" s="74" t="s">
        <v>254</v>
      </c>
      <c r="D37" s="68">
        <f>32*0.013</f>
        <v>0.41599999999999998</v>
      </c>
      <c r="E37" s="97">
        <v>255.17646000000005</v>
      </c>
      <c r="F37" s="102">
        <f t="shared" si="3"/>
        <v>106.15</v>
      </c>
      <c r="G37" s="102">
        <f t="shared" si="5"/>
        <v>127.38</v>
      </c>
    </row>
    <row r="38" spans="1:7" x14ac:dyDescent="0.3">
      <c r="A38" s="66">
        <f t="shared" si="6"/>
        <v>33</v>
      </c>
      <c r="B38" s="67" t="s">
        <v>406</v>
      </c>
      <c r="C38" s="66" t="s">
        <v>220</v>
      </c>
      <c r="D38" s="71">
        <v>2</v>
      </c>
      <c r="E38" s="97">
        <v>42.529410000000006</v>
      </c>
      <c r="F38" s="102">
        <f t="shared" si="3"/>
        <v>85.06</v>
      </c>
      <c r="G38" s="102">
        <f t="shared" si="5"/>
        <v>102.07</v>
      </c>
    </row>
    <row r="39" spans="1:7" ht="27.6" x14ac:dyDescent="0.3">
      <c r="A39" s="66">
        <f t="shared" si="6"/>
        <v>34</v>
      </c>
      <c r="B39" s="67" t="s">
        <v>576</v>
      </c>
      <c r="C39" s="66" t="s">
        <v>220</v>
      </c>
      <c r="D39" s="71">
        <v>2</v>
      </c>
      <c r="E39" s="97">
        <v>992.3529000000002</v>
      </c>
      <c r="F39" s="102">
        <f t="shared" si="3"/>
        <v>1984.71</v>
      </c>
      <c r="G39" s="102">
        <f t="shared" si="5"/>
        <v>2381.65</v>
      </c>
    </row>
    <row r="40" spans="1:7" ht="21.75" customHeight="1" x14ac:dyDescent="0.3">
      <c r="A40" s="87">
        <f t="shared" ref="A40" si="7">A39+1</f>
        <v>35</v>
      </c>
      <c r="B40" s="244" t="s">
        <v>755</v>
      </c>
      <c r="C40" s="87" t="s">
        <v>193</v>
      </c>
      <c r="D40" s="228">
        <v>0.3</v>
      </c>
      <c r="E40" s="97">
        <v>4961.7645000000002</v>
      </c>
      <c r="F40" s="103">
        <f t="shared" si="3"/>
        <v>1488.53</v>
      </c>
      <c r="G40" s="103">
        <f t="shared" si="5"/>
        <v>1786.24</v>
      </c>
    </row>
    <row r="41" spans="1:7" ht="30" customHeight="1" x14ac:dyDescent="0.3">
      <c r="A41" s="154"/>
      <c r="B41" s="530" t="s">
        <v>1161</v>
      </c>
      <c r="C41" s="531"/>
      <c r="D41" s="531"/>
      <c r="E41" s="342"/>
      <c r="F41" s="157"/>
      <c r="G41" s="126"/>
    </row>
    <row r="42" spans="1:7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7">
        <v>1701.1764000000003</v>
      </c>
      <c r="F42" s="102">
        <f t="shared" ref="F42:F53" si="8">ROUND(E42*D42,2)</f>
        <v>79955.289999999994</v>
      </c>
      <c r="G42" s="102">
        <f t="shared" ref="G42" si="9">ROUND(F42*1.2,2)</f>
        <v>95946.35</v>
      </c>
    </row>
    <row r="43" spans="1:7" s="57" customFormat="1" x14ac:dyDescent="0.3">
      <c r="A43" s="87">
        <f>A42+1</f>
        <v>37</v>
      </c>
      <c r="B43" s="244" t="s">
        <v>1183</v>
      </c>
      <c r="C43" s="87" t="s">
        <v>194</v>
      </c>
      <c r="D43" s="153">
        <v>32</v>
      </c>
      <c r="E43" s="97">
        <v>4720.76451</v>
      </c>
      <c r="F43" s="103">
        <f t="shared" si="8"/>
        <v>151064.46</v>
      </c>
      <c r="G43" s="103">
        <f t="shared" ref="G43" si="10">ROUND(F43*1.2,2)</f>
        <v>181277.35</v>
      </c>
    </row>
    <row r="44" spans="1:7" s="57" customFormat="1" x14ac:dyDescent="0.3">
      <c r="A44" s="87">
        <f>A43+1</f>
        <v>38</v>
      </c>
      <c r="B44" s="244" t="s">
        <v>1184</v>
      </c>
      <c r="C44" s="87" t="s">
        <v>194</v>
      </c>
      <c r="D44" s="153">
        <v>6</v>
      </c>
      <c r="E44" s="97">
        <v>17776.00461</v>
      </c>
      <c r="F44" s="103">
        <f t="shared" si="8"/>
        <v>106656.03</v>
      </c>
      <c r="G44" s="103">
        <f t="shared" ref="G44" si="11">ROUND(F44*1.2,2)</f>
        <v>127987.24</v>
      </c>
    </row>
    <row r="45" spans="1:7" s="57" customFormat="1" x14ac:dyDescent="0.3">
      <c r="A45" s="87">
        <f t="shared" ref="A45:A46" si="12">A44+1</f>
        <v>39</v>
      </c>
      <c r="B45" s="244" t="s">
        <v>1186</v>
      </c>
      <c r="C45" s="87" t="s">
        <v>220</v>
      </c>
      <c r="D45" s="153">
        <v>3</v>
      </c>
      <c r="E45" s="97">
        <v>1244.95182</v>
      </c>
      <c r="F45" s="103">
        <f t="shared" si="8"/>
        <v>3734.86</v>
      </c>
      <c r="G45" s="103">
        <f t="shared" ref="G45" si="13">ROUND(F45*1.2,2)</f>
        <v>4481.83</v>
      </c>
    </row>
    <row r="46" spans="1:7" s="57" customFormat="1" x14ac:dyDescent="0.3">
      <c r="A46" s="87">
        <f t="shared" si="12"/>
        <v>40</v>
      </c>
      <c r="B46" s="244" t="s">
        <v>778</v>
      </c>
      <c r="C46" s="87" t="s">
        <v>220</v>
      </c>
      <c r="D46" s="153">
        <v>2</v>
      </c>
      <c r="E46" s="97">
        <v>6907.8072000000011</v>
      </c>
      <c r="F46" s="103">
        <f t="shared" si="8"/>
        <v>13815.61</v>
      </c>
      <c r="G46" s="103">
        <f t="shared" ref="G46:G47" si="14">ROUND(F46*1.2,2)</f>
        <v>16578.73</v>
      </c>
    </row>
    <row r="47" spans="1:7" s="57" customFormat="1" x14ac:dyDescent="0.3">
      <c r="A47" s="87">
        <f t="shared" ref="A47:A53" si="15">A46+1</f>
        <v>41</v>
      </c>
      <c r="B47" s="244" t="s">
        <v>780</v>
      </c>
      <c r="C47" s="87" t="s">
        <v>220</v>
      </c>
      <c r="D47" s="153">
        <v>2</v>
      </c>
      <c r="E47" s="97">
        <v>3915.2832600000002</v>
      </c>
      <c r="F47" s="103">
        <f t="shared" si="8"/>
        <v>7830.57</v>
      </c>
      <c r="G47" s="103">
        <f t="shared" si="14"/>
        <v>9396.68</v>
      </c>
    </row>
    <row r="48" spans="1:7" x14ac:dyDescent="0.3">
      <c r="A48" s="66">
        <f t="shared" si="15"/>
        <v>42</v>
      </c>
      <c r="B48" s="67" t="s">
        <v>794</v>
      </c>
      <c r="C48" s="66" t="s">
        <v>254</v>
      </c>
      <c r="D48" s="68">
        <f>24*0.243</f>
        <v>5.8319999999999999</v>
      </c>
      <c r="E48" s="97">
        <v>163.67379</v>
      </c>
      <c r="F48" s="102">
        <f t="shared" si="8"/>
        <v>954.55</v>
      </c>
      <c r="G48" s="102">
        <f t="shared" ref="G48:G53" si="16">ROUND(F48*1.2,2)</f>
        <v>1145.46</v>
      </c>
    </row>
    <row r="49" spans="1:7" x14ac:dyDescent="0.3">
      <c r="A49" s="66">
        <f t="shared" si="15"/>
        <v>43</v>
      </c>
      <c r="B49" s="67" t="s">
        <v>1185</v>
      </c>
      <c r="C49" s="66" t="s">
        <v>254</v>
      </c>
      <c r="D49" s="68">
        <f>24*0.071</f>
        <v>1.7039999999999997</v>
      </c>
      <c r="E49" s="97">
        <v>189.44919000000002</v>
      </c>
      <c r="F49" s="102">
        <f t="shared" si="8"/>
        <v>322.82</v>
      </c>
      <c r="G49" s="102">
        <f t="shared" si="16"/>
        <v>387.38</v>
      </c>
    </row>
    <row r="50" spans="1:7" x14ac:dyDescent="0.3">
      <c r="A50" s="66">
        <f t="shared" si="15"/>
        <v>44</v>
      </c>
      <c r="B50" s="67" t="s">
        <v>796</v>
      </c>
      <c r="C50" s="66" t="s">
        <v>254</v>
      </c>
      <c r="D50" s="68">
        <f>48*0.0172</f>
        <v>0.8256</v>
      </c>
      <c r="E50" s="97">
        <v>255.17646000000005</v>
      </c>
      <c r="F50" s="102">
        <f t="shared" si="8"/>
        <v>210.67</v>
      </c>
      <c r="G50" s="102">
        <f t="shared" si="16"/>
        <v>252.8</v>
      </c>
    </row>
    <row r="51" spans="1:7" s="57" customFormat="1" ht="27.6" x14ac:dyDescent="0.3">
      <c r="A51" s="87">
        <f t="shared" si="15"/>
        <v>45</v>
      </c>
      <c r="B51" s="244" t="s">
        <v>793</v>
      </c>
      <c r="C51" s="87" t="s">
        <v>220</v>
      </c>
      <c r="D51" s="153">
        <v>2</v>
      </c>
      <c r="E51" s="97">
        <v>184.50031319999999</v>
      </c>
      <c r="F51" s="103">
        <f t="shared" si="8"/>
        <v>369</v>
      </c>
      <c r="G51" s="103">
        <f t="shared" si="16"/>
        <v>442.8</v>
      </c>
    </row>
    <row r="52" spans="1:7" ht="27.6" x14ac:dyDescent="0.3">
      <c r="A52" s="66">
        <f t="shared" si="15"/>
        <v>46</v>
      </c>
      <c r="B52" s="67" t="s">
        <v>596</v>
      </c>
      <c r="C52" s="66" t="s">
        <v>220</v>
      </c>
      <c r="D52" s="71">
        <v>2</v>
      </c>
      <c r="E52" s="97">
        <v>4394.7057000000004</v>
      </c>
      <c r="F52" s="102">
        <f t="shared" si="8"/>
        <v>8789.41</v>
      </c>
      <c r="G52" s="102">
        <f t="shared" si="16"/>
        <v>10547.29</v>
      </c>
    </row>
    <row r="53" spans="1:7" x14ac:dyDescent="0.3">
      <c r="A53" s="87">
        <f t="shared" si="15"/>
        <v>47</v>
      </c>
      <c r="B53" s="244" t="s">
        <v>755</v>
      </c>
      <c r="C53" s="87" t="s">
        <v>193</v>
      </c>
      <c r="D53" s="228">
        <v>1</v>
      </c>
      <c r="E53" s="97">
        <v>4961.7645000000002</v>
      </c>
      <c r="F53" s="103">
        <f t="shared" si="8"/>
        <v>4961.76</v>
      </c>
      <c r="G53" s="103">
        <f t="shared" si="16"/>
        <v>5954.11</v>
      </c>
    </row>
    <row r="54" spans="1:7" ht="27.6" x14ac:dyDescent="0.3">
      <c r="A54" s="154"/>
      <c r="B54" s="243" t="s">
        <v>1166</v>
      </c>
      <c r="C54" s="162"/>
      <c r="D54" s="162"/>
      <c r="E54" s="162"/>
      <c r="F54" s="156"/>
      <c r="G54" s="168"/>
    </row>
    <row r="55" spans="1:7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7">
        <v>1701.1764000000003</v>
      </c>
      <c r="F55" s="102">
        <f t="shared" ref="F55:F91" si="17">ROUND(E55*D55,2)</f>
        <v>1082798.78</v>
      </c>
      <c r="G55" s="102">
        <f t="shared" ref="G55:G56" si="18">ROUND(F55*1.2,2)</f>
        <v>1299358.54</v>
      </c>
    </row>
    <row r="56" spans="1:7" s="57" customFormat="1" x14ac:dyDescent="0.3">
      <c r="A56" s="87">
        <f>A55+1</f>
        <v>49</v>
      </c>
      <c r="B56" s="244" t="s">
        <v>1183</v>
      </c>
      <c r="C56" s="87" t="s">
        <v>194</v>
      </c>
      <c r="D56" s="153">
        <v>238</v>
      </c>
      <c r="E56" s="97">
        <v>4238.249022</v>
      </c>
      <c r="F56" s="103">
        <f t="shared" si="17"/>
        <v>1008703.27</v>
      </c>
      <c r="G56" s="103">
        <f t="shared" si="18"/>
        <v>1210443.92</v>
      </c>
    </row>
    <row r="57" spans="1:7" s="57" customFormat="1" x14ac:dyDescent="0.3">
      <c r="A57" s="87">
        <f t="shared" ref="A57:A91" si="19">A56+1</f>
        <v>50</v>
      </c>
      <c r="B57" s="244" t="s">
        <v>1187</v>
      </c>
      <c r="C57" s="87" t="s">
        <v>194</v>
      </c>
      <c r="D57" s="153">
        <v>23</v>
      </c>
      <c r="E57" s="97">
        <v>1217.8876500000001</v>
      </c>
      <c r="F57" s="103">
        <f t="shared" si="17"/>
        <v>28011.42</v>
      </c>
      <c r="G57" s="103">
        <f t="shared" ref="G57:G63" si="20">ROUND(F57*1.2,2)</f>
        <v>33613.699999999997</v>
      </c>
    </row>
    <row r="58" spans="1:7" s="57" customFormat="1" x14ac:dyDescent="0.3">
      <c r="A58" s="87">
        <f t="shared" si="19"/>
        <v>51</v>
      </c>
      <c r="B58" s="244" t="s">
        <v>1184</v>
      </c>
      <c r="C58" s="87" t="s">
        <v>194</v>
      </c>
      <c r="D58" s="153">
        <v>99</v>
      </c>
      <c r="E58" s="97">
        <v>16281.031409999998</v>
      </c>
      <c r="F58" s="103">
        <f t="shared" si="17"/>
        <v>1611822.11</v>
      </c>
      <c r="G58" s="103">
        <f t="shared" si="20"/>
        <v>1934186.53</v>
      </c>
    </row>
    <row r="59" spans="1:7" s="57" customFormat="1" x14ac:dyDescent="0.3">
      <c r="A59" s="87">
        <f t="shared" si="19"/>
        <v>52</v>
      </c>
      <c r="B59" s="244" t="s">
        <v>1188</v>
      </c>
      <c r="C59" s="251" t="s">
        <v>194</v>
      </c>
      <c r="D59" s="228">
        <v>10.5</v>
      </c>
      <c r="E59" s="97">
        <v>6505.7109599999994</v>
      </c>
      <c r="F59" s="103">
        <f t="shared" si="17"/>
        <v>68309.97</v>
      </c>
      <c r="G59" s="103">
        <f t="shared" si="20"/>
        <v>81971.960000000006</v>
      </c>
    </row>
    <row r="60" spans="1:7" s="57" customFormat="1" x14ac:dyDescent="0.3">
      <c r="A60" s="87">
        <f t="shared" si="19"/>
        <v>53</v>
      </c>
      <c r="B60" s="244" t="s">
        <v>1186</v>
      </c>
      <c r="C60" s="87" t="s">
        <v>220</v>
      </c>
      <c r="D60" s="153">
        <v>2</v>
      </c>
      <c r="E60" s="97">
        <v>2226.9945600000001</v>
      </c>
      <c r="F60" s="103">
        <f t="shared" si="17"/>
        <v>4453.99</v>
      </c>
      <c r="G60" s="103">
        <f t="shared" ref="G60:G61" si="21">ROUND(F60*1.2,2)</f>
        <v>5344.79</v>
      </c>
    </row>
    <row r="61" spans="1:7" s="57" customFormat="1" x14ac:dyDescent="0.3">
      <c r="A61" s="87">
        <f t="shared" si="19"/>
        <v>54</v>
      </c>
      <c r="B61" s="244" t="s">
        <v>1200</v>
      </c>
      <c r="C61" s="87" t="s">
        <v>220</v>
      </c>
      <c r="D61" s="153">
        <v>3</v>
      </c>
      <c r="E61" s="97">
        <v>1247.52936</v>
      </c>
      <c r="F61" s="103">
        <f t="shared" si="17"/>
        <v>3742.59</v>
      </c>
      <c r="G61" s="103">
        <f t="shared" si="21"/>
        <v>4491.1099999999997</v>
      </c>
    </row>
    <row r="62" spans="1:7" x14ac:dyDescent="0.3">
      <c r="A62" s="66">
        <f t="shared" si="19"/>
        <v>55</v>
      </c>
      <c r="B62" s="67" t="s">
        <v>601</v>
      </c>
      <c r="C62" s="66" t="s">
        <v>220</v>
      </c>
      <c r="D62" s="71">
        <v>1</v>
      </c>
      <c r="E62" s="97">
        <v>155941.17000000004</v>
      </c>
      <c r="F62" s="102">
        <f t="shared" si="17"/>
        <v>155941.17000000001</v>
      </c>
      <c r="G62" s="102">
        <f t="shared" si="20"/>
        <v>187129.4</v>
      </c>
    </row>
    <row r="63" spans="1:7" x14ac:dyDescent="0.3">
      <c r="A63" s="66">
        <f t="shared" si="19"/>
        <v>56</v>
      </c>
      <c r="B63" s="67" t="s">
        <v>600</v>
      </c>
      <c r="C63" s="66" t="s">
        <v>220</v>
      </c>
      <c r="D63" s="71">
        <v>2</v>
      </c>
      <c r="E63" s="97">
        <v>42038.388630000001</v>
      </c>
      <c r="F63" s="102">
        <f t="shared" si="17"/>
        <v>84076.78</v>
      </c>
      <c r="G63" s="102">
        <f t="shared" si="20"/>
        <v>100892.14</v>
      </c>
    </row>
    <row r="64" spans="1:7" s="57" customFormat="1" x14ac:dyDescent="0.3">
      <c r="A64" s="87">
        <f t="shared" si="19"/>
        <v>57</v>
      </c>
      <c r="B64" s="244" t="s">
        <v>1189</v>
      </c>
      <c r="C64" s="87" t="s">
        <v>220</v>
      </c>
      <c r="D64" s="153">
        <v>2</v>
      </c>
      <c r="E64" s="97">
        <v>22257.0579</v>
      </c>
      <c r="F64" s="103">
        <f t="shared" si="17"/>
        <v>44514.12</v>
      </c>
      <c r="G64" s="103">
        <f t="shared" ref="G64:G66" si="22">ROUND(F64*1.2,2)</f>
        <v>53416.94</v>
      </c>
    </row>
    <row r="65" spans="1:7" s="57" customFormat="1" x14ac:dyDescent="0.3">
      <c r="A65" s="87">
        <f t="shared" si="19"/>
        <v>58</v>
      </c>
      <c r="B65" s="244" t="s">
        <v>778</v>
      </c>
      <c r="C65" s="87" t="s">
        <v>220</v>
      </c>
      <c r="D65" s="153">
        <v>14</v>
      </c>
      <c r="E65" s="97">
        <v>3788.9838</v>
      </c>
      <c r="F65" s="103">
        <f t="shared" si="17"/>
        <v>53045.77</v>
      </c>
      <c r="G65" s="103">
        <f t="shared" si="22"/>
        <v>63654.92</v>
      </c>
    </row>
    <row r="66" spans="1:7" s="57" customFormat="1" x14ac:dyDescent="0.3">
      <c r="A66" s="87">
        <f t="shared" si="19"/>
        <v>59</v>
      </c>
      <c r="B66" s="244" t="s">
        <v>780</v>
      </c>
      <c r="C66" s="87" t="s">
        <v>220</v>
      </c>
      <c r="D66" s="153">
        <v>14</v>
      </c>
      <c r="E66" s="97">
        <v>3578.9142900000002</v>
      </c>
      <c r="F66" s="103">
        <f t="shared" si="17"/>
        <v>50104.800000000003</v>
      </c>
      <c r="G66" s="103">
        <f t="shared" si="22"/>
        <v>60125.760000000002</v>
      </c>
    </row>
    <row r="67" spans="1:7" s="57" customFormat="1" x14ac:dyDescent="0.3">
      <c r="A67" s="87">
        <f t="shared" si="19"/>
        <v>60</v>
      </c>
      <c r="B67" s="244" t="s">
        <v>1190</v>
      </c>
      <c r="C67" s="87" t="s">
        <v>220</v>
      </c>
      <c r="D67" s="153">
        <v>2</v>
      </c>
      <c r="E67" s="97">
        <v>1971.8181000000002</v>
      </c>
      <c r="F67" s="103">
        <f t="shared" si="17"/>
        <v>3943.64</v>
      </c>
      <c r="G67" s="103">
        <f t="shared" ref="G67:G68" si="23">ROUND(F67*1.2,2)</f>
        <v>4732.37</v>
      </c>
    </row>
    <row r="68" spans="1:7" s="57" customFormat="1" x14ac:dyDescent="0.3">
      <c r="A68" s="87">
        <f t="shared" si="19"/>
        <v>61</v>
      </c>
      <c r="B68" s="244" t="s">
        <v>1191</v>
      </c>
      <c r="C68" s="87" t="s">
        <v>220</v>
      </c>
      <c r="D68" s="153">
        <v>2</v>
      </c>
      <c r="E68" s="97">
        <v>639.22991999999999</v>
      </c>
      <c r="F68" s="103">
        <f t="shared" si="17"/>
        <v>1278.46</v>
      </c>
      <c r="G68" s="103">
        <f t="shared" si="23"/>
        <v>1534.15</v>
      </c>
    </row>
    <row r="69" spans="1:7" s="57" customFormat="1" x14ac:dyDescent="0.3">
      <c r="A69" s="87">
        <f t="shared" si="19"/>
        <v>62</v>
      </c>
      <c r="B69" s="244" t="s">
        <v>1192</v>
      </c>
      <c r="C69" s="87" t="s">
        <v>220</v>
      </c>
      <c r="D69" s="153">
        <v>1</v>
      </c>
      <c r="E69" s="97">
        <v>451.06950000000001</v>
      </c>
      <c r="F69" s="103">
        <f t="shared" si="17"/>
        <v>451.07</v>
      </c>
      <c r="G69" s="103">
        <f t="shared" ref="G69:G72" si="24">ROUND(F69*1.2,2)</f>
        <v>541.28</v>
      </c>
    </row>
    <row r="70" spans="1:7" x14ac:dyDescent="0.3">
      <c r="A70" s="66">
        <f t="shared" si="19"/>
        <v>63</v>
      </c>
      <c r="B70" s="67" t="s">
        <v>1193</v>
      </c>
      <c r="C70" s="66" t="s">
        <v>254</v>
      </c>
      <c r="D70" s="68">
        <f>196*0.243</f>
        <v>47.628</v>
      </c>
      <c r="E70" s="97">
        <v>163.67379</v>
      </c>
      <c r="F70" s="102">
        <f t="shared" si="17"/>
        <v>7795.46</v>
      </c>
      <c r="G70" s="102">
        <f t="shared" si="24"/>
        <v>9354.5499999999993</v>
      </c>
    </row>
    <row r="71" spans="1:7" x14ac:dyDescent="0.3">
      <c r="A71" s="66">
        <f t="shared" si="19"/>
        <v>64</v>
      </c>
      <c r="B71" s="67" t="s">
        <v>1194</v>
      </c>
      <c r="C71" s="66" t="s">
        <v>254</v>
      </c>
      <c r="D71" s="68">
        <f>196*0.071</f>
        <v>13.915999999999999</v>
      </c>
      <c r="E71" s="97">
        <v>189.44919000000002</v>
      </c>
      <c r="F71" s="102">
        <f t="shared" si="17"/>
        <v>2636.37</v>
      </c>
      <c r="G71" s="102">
        <f t="shared" si="24"/>
        <v>3163.64</v>
      </c>
    </row>
    <row r="72" spans="1:7" ht="15.75" customHeight="1" x14ac:dyDescent="0.3">
      <c r="A72" s="66">
        <f t="shared" si="19"/>
        <v>65</v>
      </c>
      <c r="B72" s="67" t="s">
        <v>1195</v>
      </c>
      <c r="C72" s="66" t="s">
        <v>254</v>
      </c>
      <c r="D72" s="68">
        <f>392*0.0172</f>
        <v>6.7423999999999999</v>
      </c>
      <c r="E72" s="97">
        <v>255.17646000000005</v>
      </c>
      <c r="F72" s="102">
        <f t="shared" si="17"/>
        <v>1720.5</v>
      </c>
      <c r="G72" s="102">
        <f t="shared" si="24"/>
        <v>2064.6</v>
      </c>
    </row>
    <row r="73" spans="1:7" s="57" customFormat="1" ht="27.6" x14ac:dyDescent="0.3">
      <c r="A73" s="87">
        <f t="shared" si="19"/>
        <v>66</v>
      </c>
      <c r="B73" s="244" t="s">
        <v>793</v>
      </c>
      <c r="C73" s="87" t="s">
        <v>220</v>
      </c>
      <c r="D73" s="153">
        <v>2</v>
      </c>
      <c r="E73" s="97">
        <v>115.9893</v>
      </c>
      <c r="F73" s="103">
        <f t="shared" si="17"/>
        <v>231.98</v>
      </c>
      <c r="G73" s="103">
        <f t="shared" ref="G73" si="25">ROUND(F73*1.2,2)</f>
        <v>278.38</v>
      </c>
    </row>
    <row r="74" spans="1:7" ht="27.6" x14ac:dyDescent="0.3">
      <c r="A74" s="66">
        <f t="shared" si="19"/>
        <v>67</v>
      </c>
      <c r="B74" s="67" t="s">
        <v>1196</v>
      </c>
      <c r="C74" s="66" t="s">
        <v>220</v>
      </c>
      <c r="D74" s="71">
        <v>2</v>
      </c>
      <c r="E74" s="97">
        <v>42.529410000000006</v>
      </c>
      <c r="F74" s="102">
        <f t="shared" si="17"/>
        <v>85.06</v>
      </c>
      <c r="G74" s="102">
        <f t="shared" ref="G74:G86" si="26">ROUND(F74*1.2,2)</f>
        <v>102.07</v>
      </c>
    </row>
    <row r="75" spans="1:7" ht="27.6" x14ac:dyDescent="0.3">
      <c r="A75" s="66">
        <f t="shared" si="19"/>
        <v>68</v>
      </c>
      <c r="B75" s="67" t="s">
        <v>596</v>
      </c>
      <c r="C75" s="66" t="s">
        <v>220</v>
      </c>
      <c r="D75" s="71">
        <v>14</v>
      </c>
      <c r="E75" s="97">
        <v>4394.7057000000004</v>
      </c>
      <c r="F75" s="102">
        <f t="shared" si="17"/>
        <v>61525.88</v>
      </c>
      <c r="G75" s="102">
        <f t="shared" si="26"/>
        <v>73831.06</v>
      </c>
    </row>
    <row r="76" spans="1:7" ht="27.6" x14ac:dyDescent="0.3">
      <c r="A76" s="66">
        <f t="shared" si="19"/>
        <v>69</v>
      </c>
      <c r="B76" s="67" t="s">
        <v>599</v>
      </c>
      <c r="C76" s="66" t="s">
        <v>220</v>
      </c>
      <c r="D76" s="71">
        <v>2</v>
      </c>
      <c r="E76" s="97">
        <v>1927.9999200000002</v>
      </c>
      <c r="F76" s="102">
        <f t="shared" si="17"/>
        <v>3856</v>
      </c>
      <c r="G76" s="102">
        <f t="shared" si="26"/>
        <v>4627.2</v>
      </c>
    </row>
    <row r="77" spans="1:7" s="57" customFormat="1" x14ac:dyDescent="0.3">
      <c r="A77" s="87">
        <f t="shared" si="19"/>
        <v>70</v>
      </c>
      <c r="B77" s="244" t="s">
        <v>1197</v>
      </c>
      <c r="C77" s="87" t="s">
        <v>220</v>
      </c>
      <c r="D77" s="153">
        <v>2</v>
      </c>
      <c r="E77" s="97">
        <v>32623.923780000001</v>
      </c>
      <c r="F77" s="103">
        <f t="shared" si="17"/>
        <v>65247.85</v>
      </c>
      <c r="G77" s="103">
        <f t="shared" si="26"/>
        <v>78297.42</v>
      </c>
    </row>
    <row r="78" spans="1:7" s="57" customFormat="1" x14ac:dyDescent="0.3">
      <c r="A78" s="87">
        <f t="shared" si="19"/>
        <v>71</v>
      </c>
      <c r="B78" s="244" t="s">
        <v>1198</v>
      </c>
      <c r="C78" s="87" t="s">
        <v>220</v>
      </c>
      <c r="D78" s="153">
        <v>2</v>
      </c>
      <c r="E78" s="97">
        <v>29796.362400000002</v>
      </c>
      <c r="F78" s="103">
        <f t="shared" si="17"/>
        <v>59592.72</v>
      </c>
      <c r="G78" s="103">
        <f t="shared" si="26"/>
        <v>71511.259999999995</v>
      </c>
    </row>
    <row r="79" spans="1:7" x14ac:dyDescent="0.3">
      <c r="A79" s="66">
        <f t="shared" si="19"/>
        <v>72</v>
      </c>
      <c r="B79" s="244" t="s">
        <v>755</v>
      </c>
      <c r="C79" s="87" t="s">
        <v>193</v>
      </c>
      <c r="D79" s="153">
        <v>14</v>
      </c>
      <c r="E79" s="97">
        <v>4961.7645000000002</v>
      </c>
      <c r="F79" s="103">
        <f t="shared" si="17"/>
        <v>69464.7</v>
      </c>
      <c r="G79" s="103">
        <f t="shared" si="26"/>
        <v>83357.64</v>
      </c>
    </row>
    <row r="80" spans="1:7" x14ac:dyDescent="0.3">
      <c r="A80" s="66">
        <f t="shared" si="19"/>
        <v>73</v>
      </c>
      <c r="B80" s="244" t="s">
        <v>756</v>
      </c>
      <c r="C80" s="87" t="s">
        <v>220</v>
      </c>
      <c r="D80" s="153">
        <v>3</v>
      </c>
      <c r="E80" s="97">
        <v>5883.2350500000002</v>
      </c>
      <c r="F80" s="103">
        <f t="shared" si="17"/>
        <v>17649.71</v>
      </c>
      <c r="G80" s="103">
        <f t="shared" si="26"/>
        <v>21179.65</v>
      </c>
    </row>
    <row r="81" spans="1:8" x14ac:dyDescent="0.3">
      <c r="A81" s="66">
        <f t="shared" si="19"/>
        <v>74</v>
      </c>
      <c r="B81" s="244" t="s">
        <v>1128</v>
      </c>
      <c r="C81" s="87" t="s">
        <v>220</v>
      </c>
      <c r="D81" s="153">
        <v>3</v>
      </c>
      <c r="E81" s="97">
        <v>5528.8233</v>
      </c>
      <c r="F81" s="103">
        <f t="shared" si="17"/>
        <v>16586.47</v>
      </c>
      <c r="G81" s="103">
        <f t="shared" si="26"/>
        <v>19903.759999999998</v>
      </c>
    </row>
    <row r="82" spans="1:8" x14ac:dyDescent="0.3">
      <c r="A82" s="66">
        <f t="shared" si="19"/>
        <v>75</v>
      </c>
      <c r="B82" s="244" t="s">
        <v>1129</v>
      </c>
      <c r="C82" s="87" t="s">
        <v>220</v>
      </c>
      <c r="D82" s="153">
        <v>4</v>
      </c>
      <c r="E82" s="97">
        <v>6521.1762000000008</v>
      </c>
      <c r="F82" s="103">
        <f t="shared" si="17"/>
        <v>26084.7</v>
      </c>
      <c r="G82" s="103">
        <f t="shared" si="26"/>
        <v>31301.64</v>
      </c>
    </row>
    <row r="83" spans="1:8" x14ac:dyDescent="0.3">
      <c r="A83" s="66">
        <f t="shared" si="19"/>
        <v>76</v>
      </c>
      <c r="B83" s="244" t="s">
        <v>1130</v>
      </c>
      <c r="C83" s="87" t="s">
        <v>220</v>
      </c>
      <c r="D83" s="153">
        <v>4</v>
      </c>
      <c r="E83" s="97">
        <v>5245.2939000000006</v>
      </c>
      <c r="F83" s="103">
        <f t="shared" si="17"/>
        <v>20981.18</v>
      </c>
      <c r="G83" s="103">
        <f t="shared" si="26"/>
        <v>25177.42</v>
      </c>
    </row>
    <row r="84" spans="1:8" x14ac:dyDescent="0.3">
      <c r="A84" s="66">
        <f t="shared" si="19"/>
        <v>77</v>
      </c>
      <c r="B84" s="244" t="s">
        <v>590</v>
      </c>
      <c r="C84" s="87" t="s">
        <v>220</v>
      </c>
      <c r="D84" s="247" t="s">
        <v>586</v>
      </c>
      <c r="E84" s="97">
        <v>1019.41707</v>
      </c>
      <c r="F84" s="103">
        <f t="shared" si="17"/>
        <v>4077.67</v>
      </c>
      <c r="G84" s="103">
        <f t="shared" si="26"/>
        <v>4893.2</v>
      </c>
    </row>
    <row r="85" spans="1:8" x14ac:dyDescent="0.3">
      <c r="A85" s="66">
        <f t="shared" si="19"/>
        <v>78</v>
      </c>
      <c r="B85" s="244" t="s">
        <v>1123</v>
      </c>
      <c r="C85" s="87" t="s">
        <v>220</v>
      </c>
      <c r="D85" s="247" t="s">
        <v>1143</v>
      </c>
      <c r="E85" s="97">
        <v>19563.528600000005</v>
      </c>
      <c r="F85" s="103">
        <f t="shared" si="17"/>
        <v>58690.59</v>
      </c>
      <c r="G85" s="103">
        <f t="shared" si="26"/>
        <v>70428.710000000006</v>
      </c>
    </row>
    <row r="86" spans="1:8" ht="17.25" customHeight="1" x14ac:dyDescent="0.3">
      <c r="A86" s="66">
        <f t="shared" si="19"/>
        <v>79</v>
      </c>
      <c r="B86" s="244" t="s">
        <v>1201</v>
      </c>
      <c r="C86" s="87" t="s">
        <v>254</v>
      </c>
      <c r="D86" s="247" t="s">
        <v>765</v>
      </c>
      <c r="E86" s="97">
        <v>904.71654000000001</v>
      </c>
      <c r="F86" s="103">
        <f t="shared" si="17"/>
        <v>20808.48</v>
      </c>
      <c r="G86" s="103">
        <f t="shared" si="26"/>
        <v>24970.18</v>
      </c>
    </row>
    <row r="87" spans="1:8" s="57" customFormat="1" x14ac:dyDescent="0.3">
      <c r="A87" s="87">
        <f t="shared" si="19"/>
        <v>80</v>
      </c>
      <c r="B87" s="244" t="s">
        <v>1202</v>
      </c>
      <c r="C87" s="87" t="s">
        <v>254</v>
      </c>
      <c r="D87" s="227">
        <f>18*0.92</f>
        <v>16.560000000000002</v>
      </c>
      <c r="E87" s="97">
        <v>552.88232999999991</v>
      </c>
      <c r="F87" s="103">
        <f t="shared" si="17"/>
        <v>9155.73</v>
      </c>
      <c r="G87" s="103">
        <f t="shared" ref="G87:G88" si="27">ROUND(F87*1.2,2)</f>
        <v>10986.88</v>
      </c>
    </row>
    <row r="88" spans="1:8" s="57" customFormat="1" x14ac:dyDescent="0.3">
      <c r="A88" s="87">
        <f t="shared" si="19"/>
        <v>81</v>
      </c>
      <c r="B88" s="244" t="s">
        <v>1203</v>
      </c>
      <c r="C88" s="87" t="s">
        <v>254</v>
      </c>
      <c r="D88" s="227">
        <f>18*0.94</f>
        <v>16.919999999999998</v>
      </c>
      <c r="E88" s="97">
        <v>371.16575999999998</v>
      </c>
      <c r="F88" s="103">
        <f t="shared" si="17"/>
        <v>6280.12</v>
      </c>
      <c r="G88" s="103">
        <f t="shared" si="27"/>
        <v>7536.14</v>
      </c>
    </row>
    <row r="89" spans="1:8" x14ac:dyDescent="0.3">
      <c r="A89" s="66">
        <f t="shared" si="19"/>
        <v>82</v>
      </c>
      <c r="B89" s="67" t="s">
        <v>768</v>
      </c>
      <c r="C89" s="87" t="s">
        <v>387</v>
      </c>
      <c r="D89" s="72">
        <f>15.5*20/16</f>
        <v>19.375</v>
      </c>
      <c r="E89" s="97">
        <v>322.1925</v>
      </c>
      <c r="F89" s="103">
        <f t="shared" si="17"/>
        <v>6242.48</v>
      </c>
      <c r="G89" s="103">
        <f t="shared" ref="G89:G90" si="28">ROUND(F89*1.2,2)</f>
        <v>7490.98</v>
      </c>
    </row>
    <row r="90" spans="1:8" x14ac:dyDescent="0.3">
      <c r="A90" s="66">
        <f t="shared" si="19"/>
        <v>83</v>
      </c>
      <c r="B90" s="67" t="s">
        <v>388</v>
      </c>
      <c r="C90" s="87" t="s">
        <v>254</v>
      </c>
      <c r="D90" s="71">
        <f>102</f>
        <v>102</v>
      </c>
      <c r="E90" s="97">
        <v>402.09624000000002</v>
      </c>
      <c r="F90" s="103">
        <f t="shared" si="17"/>
        <v>41013.82</v>
      </c>
      <c r="G90" s="103">
        <f t="shared" si="28"/>
        <v>49216.58</v>
      </c>
    </row>
    <row r="91" spans="1:8" x14ac:dyDescent="0.3">
      <c r="A91" s="66">
        <f t="shared" si="19"/>
        <v>84</v>
      </c>
      <c r="B91" s="67" t="s">
        <v>771</v>
      </c>
      <c r="C91" s="74" t="s">
        <v>193</v>
      </c>
      <c r="D91" s="71">
        <v>2</v>
      </c>
      <c r="E91" s="97">
        <v>1763.03736</v>
      </c>
      <c r="F91" s="102">
        <f t="shared" si="17"/>
        <v>3526.07</v>
      </c>
      <c r="G91" s="102">
        <f t="shared" ref="G91" si="29">ROUND(F91*1.2,2)</f>
        <v>4231.28</v>
      </c>
    </row>
    <row r="92" spans="1:8" ht="36" customHeight="1" x14ac:dyDescent="0.3">
      <c r="A92" s="154"/>
      <c r="B92" s="530" t="s">
        <v>1153</v>
      </c>
      <c r="C92" s="531"/>
      <c r="D92" s="531"/>
      <c r="E92" s="342"/>
      <c r="F92" s="157"/>
      <c r="G92" s="126"/>
      <c r="H92" s="211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7">
        <v>1701.1764000000003</v>
      </c>
      <c r="F93" s="102">
        <f t="shared" ref="F93:F104" si="30">ROUND(E93*D93,2)</f>
        <v>19563.53</v>
      </c>
      <c r="G93" s="102">
        <f t="shared" ref="G93:G104" si="31">ROUND(F93*1.2,2)</f>
        <v>23476.240000000002</v>
      </c>
    </row>
    <row r="94" spans="1:8" x14ac:dyDescent="0.3">
      <c r="A94" s="66">
        <f t="shared" ref="A94:A104" si="32">A93+1</f>
        <v>25</v>
      </c>
      <c r="B94" s="67" t="s">
        <v>572</v>
      </c>
      <c r="C94" s="74" t="s">
        <v>194</v>
      </c>
      <c r="D94" s="71">
        <v>32</v>
      </c>
      <c r="E94" s="97">
        <v>1063.2352500000004</v>
      </c>
      <c r="F94" s="102">
        <f t="shared" si="30"/>
        <v>34023.53</v>
      </c>
      <c r="G94" s="102">
        <f t="shared" si="31"/>
        <v>40828.239999999998</v>
      </c>
    </row>
    <row r="95" spans="1:8" x14ac:dyDescent="0.3">
      <c r="A95" s="66">
        <f t="shared" si="32"/>
        <v>26</v>
      </c>
      <c r="B95" s="67" t="s">
        <v>573</v>
      </c>
      <c r="C95" s="74" t="s">
        <v>194</v>
      </c>
      <c r="D95" s="72">
        <v>7.5</v>
      </c>
      <c r="E95" s="97">
        <v>7797.0585000000019</v>
      </c>
      <c r="F95" s="102">
        <f t="shared" si="30"/>
        <v>58477.94</v>
      </c>
      <c r="G95" s="102">
        <f t="shared" si="31"/>
        <v>70173.53</v>
      </c>
    </row>
    <row r="96" spans="1:8" s="57" customFormat="1" x14ac:dyDescent="0.3">
      <c r="A96" s="87">
        <f>A95+1</f>
        <v>27</v>
      </c>
      <c r="B96" s="244" t="s">
        <v>1157</v>
      </c>
      <c r="C96" s="87" t="s">
        <v>220</v>
      </c>
      <c r="D96" s="228">
        <v>3</v>
      </c>
      <c r="E96" s="97">
        <v>1247.52936</v>
      </c>
      <c r="F96" s="103">
        <f t="shared" si="30"/>
        <v>3742.59</v>
      </c>
      <c r="G96" s="103">
        <f t="shared" ref="G96" si="33">ROUND(F96*1.2,2)</f>
        <v>4491.1099999999997</v>
      </c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7">
        <v>13099.058279999999</v>
      </c>
      <c r="F97" s="102">
        <f t="shared" si="30"/>
        <v>26198.12</v>
      </c>
      <c r="G97" s="102">
        <f t="shared" si="31"/>
        <v>31437.74</v>
      </c>
    </row>
    <row r="98" spans="1:8" ht="27.6" x14ac:dyDescent="0.3">
      <c r="A98" s="66">
        <f t="shared" si="32"/>
        <v>29</v>
      </c>
      <c r="B98" s="67" t="s">
        <v>575</v>
      </c>
      <c r="C98" s="66" t="s">
        <v>220</v>
      </c>
      <c r="D98" s="71">
        <v>2</v>
      </c>
      <c r="E98" s="97">
        <v>992.3529000000002</v>
      </c>
      <c r="F98" s="102">
        <f t="shared" si="30"/>
        <v>1984.71</v>
      </c>
      <c r="G98" s="102">
        <f t="shared" si="31"/>
        <v>2381.65</v>
      </c>
    </row>
    <row r="99" spans="1:8" x14ac:dyDescent="0.3">
      <c r="A99" s="66">
        <f t="shared" si="32"/>
        <v>30</v>
      </c>
      <c r="B99" s="67" t="s">
        <v>560</v>
      </c>
      <c r="C99" s="74" t="s">
        <v>254</v>
      </c>
      <c r="D99" s="68">
        <f>16*0.243</f>
        <v>3.8879999999999999</v>
      </c>
      <c r="E99" s="97">
        <v>163.67379</v>
      </c>
      <c r="F99" s="102">
        <f t="shared" si="30"/>
        <v>636.36</v>
      </c>
      <c r="G99" s="102">
        <f t="shared" si="31"/>
        <v>763.63</v>
      </c>
    </row>
    <row r="100" spans="1:8" x14ac:dyDescent="0.3">
      <c r="A100" s="66">
        <f t="shared" si="32"/>
        <v>31</v>
      </c>
      <c r="B100" s="67" t="s">
        <v>562</v>
      </c>
      <c r="C100" s="74" t="s">
        <v>254</v>
      </c>
      <c r="D100" s="68">
        <f>16*0.071</f>
        <v>1.1359999999999999</v>
      </c>
      <c r="E100" s="97">
        <v>189.44919000000002</v>
      </c>
      <c r="F100" s="102">
        <f t="shared" si="30"/>
        <v>215.21</v>
      </c>
      <c r="G100" s="102">
        <f t="shared" si="31"/>
        <v>258.25</v>
      </c>
    </row>
    <row r="101" spans="1:8" x14ac:dyDescent="0.3">
      <c r="A101" s="66">
        <f t="shared" si="32"/>
        <v>32</v>
      </c>
      <c r="B101" s="67" t="s">
        <v>564</v>
      </c>
      <c r="C101" s="74" t="s">
        <v>254</v>
      </c>
      <c r="D101" s="68">
        <f>32*0.0172</f>
        <v>0.5504</v>
      </c>
      <c r="E101" s="97">
        <v>255.17646000000005</v>
      </c>
      <c r="F101" s="102">
        <f t="shared" si="30"/>
        <v>140.44999999999999</v>
      </c>
      <c r="G101" s="102">
        <f t="shared" si="31"/>
        <v>168.54</v>
      </c>
    </row>
    <row r="102" spans="1:8" x14ac:dyDescent="0.3">
      <c r="A102" s="66">
        <f t="shared" si="32"/>
        <v>33</v>
      </c>
      <c r="B102" s="67" t="s">
        <v>406</v>
      </c>
      <c r="C102" s="66" t="s">
        <v>220</v>
      </c>
      <c r="D102" s="71">
        <v>2</v>
      </c>
      <c r="E102" s="97">
        <v>42.529410000000006</v>
      </c>
      <c r="F102" s="102">
        <f t="shared" si="30"/>
        <v>85.06</v>
      </c>
      <c r="G102" s="102">
        <f t="shared" si="31"/>
        <v>102.07</v>
      </c>
    </row>
    <row r="103" spans="1:8" ht="30.75" customHeight="1" x14ac:dyDescent="0.3">
      <c r="A103" s="66">
        <f t="shared" si="32"/>
        <v>34</v>
      </c>
      <c r="B103" s="67" t="s">
        <v>576</v>
      </c>
      <c r="C103" s="66" t="s">
        <v>220</v>
      </c>
      <c r="D103" s="71">
        <v>2</v>
      </c>
      <c r="E103" s="97">
        <v>992.3529000000002</v>
      </c>
      <c r="F103" s="102">
        <f t="shared" si="30"/>
        <v>1984.71</v>
      </c>
      <c r="G103" s="102">
        <f t="shared" si="31"/>
        <v>2381.65</v>
      </c>
    </row>
    <row r="104" spans="1:8" ht="21.75" customHeight="1" x14ac:dyDescent="0.3">
      <c r="A104" s="87">
        <f t="shared" si="32"/>
        <v>35</v>
      </c>
      <c r="B104" s="244" t="s">
        <v>755</v>
      </c>
      <c r="C104" s="87" t="s">
        <v>193</v>
      </c>
      <c r="D104" s="228">
        <v>0.7</v>
      </c>
      <c r="E104" s="97">
        <v>4961.7645000000002</v>
      </c>
      <c r="F104" s="103">
        <f t="shared" si="30"/>
        <v>3473.24</v>
      </c>
      <c r="G104" s="103">
        <f t="shared" si="31"/>
        <v>4167.8900000000003</v>
      </c>
    </row>
    <row r="105" spans="1:8" ht="29.25" customHeight="1" x14ac:dyDescent="0.3">
      <c r="A105" s="154"/>
      <c r="B105" s="530" t="s">
        <v>1156</v>
      </c>
      <c r="C105" s="531"/>
      <c r="D105" s="531"/>
      <c r="E105" s="342"/>
      <c r="F105" s="157"/>
      <c r="G105" s="126"/>
      <c r="H105" s="211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7">
        <v>1701.1764000000003</v>
      </c>
      <c r="F106" s="102">
        <f t="shared" ref="F106:F117" si="34">ROUND(E106*D106,2)</f>
        <v>25517.65</v>
      </c>
      <c r="G106" s="102">
        <f t="shared" ref="G106:G117" si="35">ROUND(F106*1.2,2)</f>
        <v>30621.18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7">
        <v>510.3529200000001</v>
      </c>
      <c r="F107" s="102">
        <f t="shared" si="34"/>
        <v>25517.65</v>
      </c>
      <c r="G107" s="102">
        <f t="shared" si="35"/>
        <v>30621.18</v>
      </c>
    </row>
    <row r="108" spans="1:8" x14ac:dyDescent="0.3">
      <c r="A108" s="66">
        <f t="shared" ref="A108:A117" si="36">A107+1</f>
        <v>38</v>
      </c>
      <c r="B108" s="67" t="s">
        <v>553</v>
      </c>
      <c r="C108" s="66" t="s">
        <v>194</v>
      </c>
      <c r="D108" s="71">
        <v>17</v>
      </c>
      <c r="E108" s="97">
        <v>6095.8821000000007</v>
      </c>
      <c r="F108" s="102">
        <f t="shared" si="34"/>
        <v>103630</v>
      </c>
      <c r="G108" s="102">
        <f t="shared" si="35"/>
        <v>124356</v>
      </c>
    </row>
    <row r="109" spans="1:8" s="57" customFormat="1" x14ac:dyDescent="0.3">
      <c r="A109" s="87">
        <f>A108+1</f>
        <v>39</v>
      </c>
      <c r="B109" s="244" t="s">
        <v>1159</v>
      </c>
      <c r="C109" s="87" t="s">
        <v>220</v>
      </c>
      <c r="D109" s="228">
        <v>5</v>
      </c>
      <c r="E109" s="97">
        <v>1069.6791000000003</v>
      </c>
      <c r="F109" s="103">
        <f t="shared" si="34"/>
        <v>5348.4</v>
      </c>
      <c r="G109" s="103">
        <f t="shared" si="35"/>
        <v>6418.08</v>
      </c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7">
        <v>9356.4702000000016</v>
      </c>
      <c r="F110" s="102">
        <f t="shared" si="34"/>
        <v>18712.939999999999</v>
      </c>
      <c r="G110" s="102">
        <f t="shared" si="35"/>
        <v>22455.53</v>
      </c>
    </row>
    <row r="111" spans="1:8" x14ac:dyDescent="0.3">
      <c r="A111" s="66">
        <f t="shared" si="36"/>
        <v>40</v>
      </c>
      <c r="B111" s="67" t="s">
        <v>558</v>
      </c>
      <c r="C111" s="66" t="s">
        <v>220</v>
      </c>
      <c r="D111" s="71">
        <v>2</v>
      </c>
      <c r="E111" s="97">
        <v>793.88231999999994</v>
      </c>
      <c r="F111" s="102">
        <f t="shared" si="34"/>
        <v>1587.76</v>
      </c>
      <c r="G111" s="102">
        <f t="shared" si="35"/>
        <v>1905.31</v>
      </c>
    </row>
    <row r="112" spans="1:8" x14ac:dyDescent="0.3">
      <c r="A112" s="66">
        <f t="shared" si="36"/>
        <v>41</v>
      </c>
      <c r="B112" s="67" t="s">
        <v>577</v>
      </c>
      <c r="C112" s="74" t="s">
        <v>254</v>
      </c>
      <c r="D112" s="68">
        <f>16*0.137</f>
        <v>2.1920000000000002</v>
      </c>
      <c r="E112" s="97">
        <v>163.67379</v>
      </c>
      <c r="F112" s="102">
        <f t="shared" si="34"/>
        <v>358.77</v>
      </c>
      <c r="G112" s="102">
        <f t="shared" si="35"/>
        <v>430.52</v>
      </c>
    </row>
    <row r="113" spans="1:8" x14ac:dyDescent="0.3">
      <c r="A113" s="66">
        <f t="shared" si="36"/>
        <v>42</v>
      </c>
      <c r="B113" s="67" t="s">
        <v>405</v>
      </c>
      <c r="C113" s="74" t="s">
        <v>254</v>
      </c>
      <c r="D113" s="68">
        <f>16*0.032</f>
        <v>0.51200000000000001</v>
      </c>
      <c r="E113" s="97">
        <v>189.44919000000002</v>
      </c>
      <c r="F113" s="102">
        <f t="shared" si="34"/>
        <v>97</v>
      </c>
      <c r="G113" s="102">
        <f t="shared" si="35"/>
        <v>116.4</v>
      </c>
    </row>
    <row r="114" spans="1:8" x14ac:dyDescent="0.3">
      <c r="A114" s="66">
        <f t="shared" si="36"/>
        <v>43</v>
      </c>
      <c r="B114" s="67" t="s">
        <v>578</v>
      </c>
      <c r="C114" s="74" t="s">
        <v>254</v>
      </c>
      <c r="D114" s="68">
        <f>32*0.013</f>
        <v>0.41599999999999998</v>
      </c>
      <c r="E114" s="97">
        <v>255.17646000000005</v>
      </c>
      <c r="F114" s="102">
        <f t="shared" si="34"/>
        <v>106.15</v>
      </c>
      <c r="G114" s="102">
        <f t="shared" si="35"/>
        <v>127.38</v>
      </c>
    </row>
    <row r="115" spans="1:8" x14ac:dyDescent="0.3">
      <c r="A115" s="66">
        <f t="shared" si="36"/>
        <v>44</v>
      </c>
      <c r="B115" s="67" t="s">
        <v>565</v>
      </c>
      <c r="C115" s="74" t="s">
        <v>220</v>
      </c>
      <c r="D115" s="71">
        <v>2</v>
      </c>
      <c r="E115" s="97">
        <v>36.085560000000001</v>
      </c>
      <c r="F115" s="102">
        <f t="shared" si="34"/>
        <v>72.17</v>
      </c>
      <c r="G115" s="102">
        <f t="shared" si="35"/>
        <v>86.6</v>
      </c>
    </row>
    <row r="116" spans="1:8" ht="27.6" x14ac:dyDescent="0.3">
      <c r="A116" s="66">
        <f t="shared" si="36"/>
        <v>45</v>
      </c>
      <c r="B116" s="67" t="s">
        <v>579</v>
      </c>
      <c r="C116" s="66" t="s">
        <v>220</v>
      </c>
      <c r="D116" s="71">
        <v>2</v>
      </c>
      <c r="E116" s="97">
        <v>992.3529000000002</v>
      </c>
      <c r="F116" s="102">
        <f t="shared" si="34"/>
        <v>1984.71</v>
      </c>
      <c r="G116" s="102">
        <f t="shared" si="35"/>
        <v>2381.65</v>
      </c>
    </row>
    <row r="117" spans="1:8" ht="21.75" customHeight="1" x14ac:dyDescent="0.3">
      <c r="A117" s="87">
        <f t="shared" si="36"/>
        <v>46</v>
      </c>
      <c r="B117" s="244" t="s">
        <v>755</v>
      </c>
      <c r="C117" s="87" t="s">
        <v>193</v>
      </c>
      <c r="D117" s="228">
        <v>1.3</v>
      </c>
      <c r="E117" s="97">
        <v>4961.7645000000002</v>
      </c>
      <c r="F117" s="103">
        <f t="shared" si="34"/>
        <v>6450.29</v>
      </c>
      <c r="G117" s="103">
        <f t="shared" si="35"/>
        <v>7740.35</v>
      </c>
    </row>
    <row r="118" spans="1:8" x14ac:dyDescent="0.3">
      <c r="A118" s="154"/>
      <c r="B118" s="478" t="s">
        <v>580</v>
      </c>
      <c r="C118" s="479"/>
      <c r="D118" s="479"/>
      <c r="E118" s="341"/>
      <c r="F118" s="157"/>
      <c r="G118" s="126"/>
    </row>
    <row r="119" spans="1:8" s="210" customFormat="1" x14ac:dyDescent="0.3">
      <c r="A119" s="430">
        <f>A117+1</f>
        <v>47</v>
      </c>
      <c r="B119" s="436" t="s">
        <v>234</v>
      </c>
      <c r="C119" s="430" t="s">
        <v>193</v>
      </c>
      <c r="D119" s="439">
        <f>H119+(107+1964)</f>
        <v>2071</v>
      </c>
      <c r="E119" s="458">
        <v>1701.1764000000003</v>
      </c>
      <c r="F119" s="438">
        <f t="shared" ref="F119:F133" si="37">ROUND(E119*D119,2)</f>
        <v>3523136.32</v>
      </c>
      <c r="G119" s="438">
        <f t="shared" ref="G119:G120" si="38">ROUND(F119*1.2,2)</f>
        <v>4227763.58</v>
      </c>
      <c r="H119" s="210">
        <f>'исключение-свод'!B2*(1048.56+61.32)</f>
        <v>0</v>
      </c>
    </row>
    <row r="120" spans="1:8" s="210" customFormat="1" x14ac:dyDescent="0.3">
      <c r="A120" s="430">
        <f>A119+1</f>
        <v>48</v>
      </c>
      <c r="B120" s="436" t="s">
        <v>160</v>
      </c>
      <c r="C120" s="464" t="s">
        <v>193</v>
      </c>
      <c r="D120" s="437">
        <f>H120+7.73</f>
        <v>7.73</v>
      </c>
      <c r="E120" s="458">
        <v>1763.03736</v>
      </c>
      <c r="F120" s="438">
        <f t="shared" si="37"/>
        <v>13628.28</v>
      </c>
      <c r="G120" s="438">
        <f t="shared" si="38"/>
        <v>16353.94</v>
      </c>
      <c r="H120" s="210">
        <f>'исключение-свод'!B2*1.8</f>
        <v>0</v>
      </c>
    </row>
    <row r="121" spans="1:8" x14ac:dyDescent="0.3">
      <c r="A121" s="87">
        <f t="shared" ref="A121:A122" si="39">A120+1</f>
        <v>49</v>
      </c>
      <c r="B121" s="244" t="s">
        <v>713</v>
      </c>
      <c r="C121" s="252" t="s">
        <v>193</v>
      </c>
      <c r="D121" s="253">
        <v>50</v>
      </c>
      <c r="E121" s="97">
        <v>1772.0587499999999</v>
      </c>
      <c r="F121" s="103">
        <f t="shared" si="37"/>
        <v>88602.94</v>
      </c>
      <c r="G121" s="103">
        <f>ROUND(F121*1.2,2)</f>
        <v>106323.53</v>
      </c>
    </row>
    <row r="122" spans="1:8" x14ac:dyDescent="0.3">
      <c r="A122" s="87">
        <f t="shared" si="39"/>
        <v>50</v>
      </c>
      <c r="B122" s="244" t="s">
        <v>584</v>
      </c>
      <c r="C122" s="251" t="s">
        <v>194</v>
      </c>
      <c r="D122" s="227">
        <f>242+0.9+0.86+0.96+1+0.9+1.4</f>
        <v>248.02000000000004</v>
      </c>
      <c r="E122" s="97">
        <v>5245.2939000000006</v>
      </c>
      <c r="F122" s="103">
        <f t="shared" si="37"/>
        <v>1300937.79</v>
      </c>
      <c r="G122" s="103">
        <f t="shared" ref="G122:G131" si="40">ROUND(F122*1.2,2)</f>
        <v>1561125.35</v>
      </c>
    </row>
    <row r="123" spans="1:8" s="210" customFormat="1" x14ac:dyDescent="0.3">
      <c r="A123" s="430">
        <f t="shared" ref="A123:A133" si="41">A122+1</f>
        <v>51</v>
      </c>
      <c r="B123" s="436" t="s">
        <v>582</v>
      </c>
      <c r="C123" s="464" t="s">
        <v>194</v>
      </c>
      <c r="D123" s="432">
        <f>H123+132</f>
        <v>132</v>
      </c>
      <c r="E123" s="458">
        <v>58052.644650000009</v>
      </c>
      <c r="F123" s="438">
        <f t="shared" si="37"/>
        <v>7662949.0899999999</v>
      </c>
      <c r="G123" s="438">
        <f t="shared" si="40"/>
        <v>9195538.9100000001</v>
      </c>
      <c r="H123" s="210">
        <f>'исключение-свод'!B2*132</f>
        <v>0</v>
      </c>
    </row>
    <row r="124" spans="1:8" x14ac:dyDescent="0.3">
      <c r="A124" s="87">
        <f t="shared" si="41"/>
        <v>52</v>
      </c>
      <c r="B124" s="244" t="s">
        <v>583</v>
      </c>
      <c r="C124" s="251" t="s">
        <v>194</v>
      </c>
      <c r="D124" s="153">
        <v>31</v>
      </c>
      <c r="E124" s="97">
        <v>17153.528700000006</v>
      </c>
      <c r="F124" s="103">
        <f t="shared" si="37"/>
        <v>531759.39</v>
      </c>
      <c r="G124" s="103">
        <f t="shared" si="40"/>
        <v>638111.27</v>
      </c>
    </row>
    <row r="125" spans="1:8" s="57" customFormat="1" ht="17.25" customHeight="1" x14ac:dyDescent="0.3">
      <c r="A125" s="87">
        <f t="shared" si="41"/>
        <v>53</v>
      </c>
      <c r="B125" s="244" t="s">
        <v>1148</v>
      </c>
      <c r="C125" s="87" t="s">
        <v>220</v>
      </c>
      <c r="D125" s="153">
        <v>6</v>
      </c>
      <c r="E125" s="97">
        <v>3737.433</v>
      </c>
      <c r="F125" s="103">
        <f t="shared" si="37"/>
        <v>22424.6</v>
      </c>
      <c r="G125" s="103">
        <f t="shared" ref="G125:G128" si="42">ROUND(F125*1.2,2)</f>
        <v>26909.52</v>
      </c>
    </row>
    <row r="126" spans="1:8" s="57" customFormat="1" x14ac:dyDescent="0.3">
      <c r="A126" s="87">
        <f t="shared" si="41"/>
        <v>54</v>
      </c>
      <c r="B126" s="244" t="s">
        <v>1149</v>
      </c>
      <c r="C126" s="87" t="s">
        <v>220</v>
      </c>
      <c r="D126" s="153">
        <v>6</v>
      </c>
      <c r="E126" s="97">
        <v>28352.94</v>
      </c>
      <c r="F126" s="103">
        <f t="shared" si="37"/>
        <v>170117.64</v>
      </c>
      <c r="G126" s="103">
        <f t="shared" si="42"/>
        <v>204141.17</v>
      </c>
    </row>
    <row r="127" spans="1:8" s="57" customFormat="1" x14ac:dyDescent="0.3">
      <c r="A127" s="87">
        <f t="shared" si="41"/>
        <v>55</v>
      </c>
      <c r="B127" s="244" t="s">
        <v>1150</v>
      </c>
      <c r="C127" s="87" t="s">
        <v>220</v>
      </c>
      <c r="D127" s="153">
        <v>6</v>
      </c>
      <c r="E127" s="97">
        <v>6495.4008000000003</v>
      </c>
      <c r="F127" s="103">
        <f t="shared" si="37"/>
        <v>38972.400000000001</v>
      </c>
      <c r="G127" s="103">
        <f t="shared" si="42"/>
        <v>46766.879999999997</v>
      </c>
    </row>
    <row r="128" spans="1:8" s="57" customFormat="1" x14ac:dyDescent="0.3">
      <c r="A128" s="87">
        <f t="shared" si="41"/>
        <v>56</v>
      </c>
      <c r="B128" s="244" t="s">
        <v>1151</v>
      </c>
      <c r="C128" s="87" t="s">
        <v>220</v>
      </c>
      <c r="D128" s="153">
        <v>4</v>
      </c>
      <c r="E128" s="97">
        <v>1675.4010000000003</v>
      </c>
      <c r="F128" s="103">
        <f t="shared" si="37"/>
        <v>6701.6</v>
      </c>
      <c r="G128" s="103">
        <f t="shared" si="42"/>
        <v>8041.92</v>
      </c>
    </row>
    <row r="129" spans="1:8" s="57" customFormat="1" x14ac:dyDescent="0.3">
      <c r="A129" s="87">
        <f t="shared" ref="A129" si="43">A128+1</f>
        <v>57</v>
      </c>
      <c r="B129" s="244" t="s">
        <v>1152</v>
      </c>
      <c r="C129" s="87" t="s">
        <v>220</v>
      </c>
      <c r="D129" s="153">
        <v>2</v>
      </c>
      <c r="E129" s="97">
        <v>1417.6470000000002</v>
      </c>
      <c r="F129" s="103">
        <f t="shared" si="37"/>
        <v>2835.29</v>
      </c>
      <c r="G129" s="103">
        <f t="shared" ref="G129" si="44">ROUND(F129*1.2,2)</f>
        <v>3402.35</v>
      </c>
    </row>
    <row r="130" spans="1:8" s="210" customFormat="1" x14ac:dyDescent="0.3">
      <c r="A130" s="430">
        <f>A124+1</f>
        <v>53</v>
      </c>
      <c r="B130" s="436" t="s">
        <v>581</v>
      </c>
      <c r="C130" s="464" t="s">
        <v>194</v>
      </c>
      <c r="D130" s="432">
        <f>H130+14</f>
        <v>14</v>
      </c>
      <c r="E130" s="458">
        <v>109158.81900000002</v>
      </c>
      <c r="F130" s="438">
        <f t="shared" si="37"/>
        <v>1528223.47</v>
      </c>
      <c r="G130" s="438">
        <f t="shared" si="40"/>
        <v>1833868.16</v>
      </c>
      <c r="H130" s="210">
        <f>'исключение-свод'!B2*14</f>
        <v>0</v>
      </c>
    </row>
    <row r="131" spans="1:8" x14ac:dyDescent="0.3">
      <c r="A131" s="87">
        <f t="shared" si="41"/>
        <v>54</v>
      </c>
      <c r="B131" s="244" t="s">
        <v>597</v>
      </c>
      <c r="C131" s="251" t="s">
        <v>194</v>
      </c>
      <c r="D131" s="153">
        <v>39</v>
      </c>
      <c r="E131" s="97">
        <v>14459.999400000001</v>
      </c>
      <c r="F131" s="103">
        <f t="shared" si="37"/>
        <v>563939.98</v>
      </c>
      <c r="G131" s="103">
        <f t="shared" si="40"/>
        <v>676727.98</v>
      </c>
    </row>
    <row r="132" spans="1:8" x14ac:dyDescent="0.3">
      <c r="A132" s="87">
        <f t="shared" si="41"/>
        <v>55</v>
      </c>
      <c r="B132" s="244" t="s">
        <v>1147</v>
      </c>
      <c r="C132" s="251" t="s">
        <v>194</v>
      </c>
      <c r="D132" s="153">
        <v>6</v>
      </c>
      <c r="E132" s="97">
        <v>14318.234700000001</v>
      </c>
      <c r="F132" s="103">
        <f t="shared" si="37"/>
        <v>85909.41</v>
      </c>
      <c r="G132" s="103">
        <f t="shared" ref="G132" si="45">ROUND(F132*1.2,2)</f>
        <v>103091.29</v>
      </c>
    </row>
    <row r="133" spans="1:8" s="210" customFormat="1" ht="18.75" customHeight="1" x14ac:dyDescent="0.3">
      <c r="A133" s="430">
        <f t="shared" si="41"/>
        <v>56</v>
      </c>
      <c r="B133" s="436" t="s">
        <v>755</v>
      </c>
      <c r="C133" s="430" t="s">
        <v>193</v>
      </c>
      <c r="D133" s="465">
        <f>H133+(1.88+6.33)</f>
        <v>8.2100000000000009</v>
      </c>
      <c r="E133" s="458">
        <v>4961.7645000000002</v>
      </c>
      <c r="F133" s="438">
        <f t="shared" si="37"/>
        <v>40736.089999999997</v>
      </c>
      <c r="G133" s="438">
        <f t="shared" ref="G133" si="46">ROUND(F133*1.2,2)</f>
        <v>48883.31</v>
      </c>
      <c r="H133" s="210">
        <f>'исключение-свод'!B2*6.33</f>
        <v>0</v>
      </c>
    </row>
    <row r="134" spans="1:8" ht="21.75" customHeight="1" x14ac:dyDescent="0.3">
      <c r="A134" s="87"/>
      <c r="B134" s="226" t="s">
        <v>1118</v>
      </c>
      <c r="C134" s="254"/>
      <c r="D134" s="255"/>
      <c r="E134" s="97">
        <v>0</v>
      </c>
      <c r="F134" s="103"/>
      <c r="G134" s="103"/>
    </row>
    <row r="135" spans="1:8" x14ac:dyDescent="0.3">
      <c r="A135" s="87">
        <f>A133+1</f>
        <v>57</v>
      </c>
      <c r="B135" s="244" t="s">
        <v>1119</v>
      </c>
      <c r="C135" s="87" t="s">
        <v>220</v>
      </c>
      <c r="D135" s="153">
        <v>1</v>
      </c>
      <c r="E135" s="97">
        <v>2248.9036499999997</v>
      </c>
      <c r="F135" s="103">
        <f t="shared" ref="F135:F145" si="47">ROUND(E135*D135,2)</f>
        <v>2248.9</v>
      </c>
      <c r="G135" s="103">
        <f t="shared" ref="G135:G138" si="48">ROUND(F135*1.2,2)</f>
        <v>2698.68</v>
      </c>
    </row>
    <row r="136" spans="1:8" x14ac:dyDescent="0.3">
      <c r="A136" s="87">
        <f>A135+1</f>
        <v>58</v>
      </c>
      <c r="B136" s="244" t="s">
        <v>1120</v>
      </c>
      <c r="C136" s="87" t="s">
        <v>220</v>
      </c>
      <c r="D136" s="153">
        <v>1</v>
      </c>
      <c r="E136" s="97">
        <v>1937.0213100000001</v>
      </c>
      <c r="F136" s="103">
        <f t="shared" si="47"/>
        <v>1937.02</v>
      </c>
      <c r="G136" s="103">
        <f t="shared" si="48"/>
        <v>2324.42</v>
      </c>
    </row>
    <row r="137" spans="1:8" x14ac:dyDescent="0.3">
      <c r="A137" s="87">
        <f>A136+1</f>
        <v>59</v>
      </c>
      <c r="B137" s="244" t="s">
        <v>1121</v>
      </c>
      <c r="C137" s="87" t="s">
        <v>220</v>
      </c>
      <c r="D137" s="153">
        <v>1</v>
      </c>
      <c r="E137" s="97">
        <v>3392.0426400000001</v>
      </c>
      <c r="F137" s="103">
        <f t="shared" si="47"/>
        <v>3392.04</v>
      </c>
      <c r="G137" s="103">
        <f t="shared" si="48"/>
        <v>4070.45</v>
      </c>
    </row>
    <row r="138" spans="1:8" x14ac:dyDescent="0.3">
      <c r="A138" s="87">
        <f t="shared" ref="A138:A145" si="49">A137+1</f>
        <v>60</v>
      </c>
      <c r="B138" s="244" t="s">
        <v>1122</v>
      </c>
      <c r="C138" s="87" t="s">
        <v>220</v>
      </c>
      <c r="D138" s="153">
        <v>2</v>
      </c>
      <c r="E138" s="97">
        <v>0</v>
      </c>
      <c r="F138" s="103">
        <f t="shared" si="47"/>
        <v>0</v>
      </c>
      <c r="G138" s="103">
        <f t="shared" si="48"/>
        <v>0</v>
      </c>
    </row>
    <row r="139" spans="1:8" x14ac:dyDescent="0.3">
      <c r="A139" s="87">
        <f t="shared" si="49"/>
        <v>61</v>
      </c>
      <c r="B139" s="244" t="s">
        <v>590</v>
      </c>
      <c r="C139" s="87" t="s">
        <v>220</v>
      </c>
      <c r="D139" s="247" t="s">
        <v>757</v>
      </c>
      <c r="E139" s="97">
        <v>1019.41707</v>
      </c>
      <c r="F139" s="103">
        <f t="shared" si="47"/>
        <v>1019.42</v>
      </c>
      <c r="G139" s="103">
        <f t="shared" ref="G139:G141" si="50">ROUND(F139*1.2,2)</f>
        <v>1223.3</v>
      </c>
    </row>
    <row r="140" spans="1:8" x14ac:dyDescent="0.3">
      <c r="A140" s="87">
        <f t="shared" si="49"/>
        <v>62</v>
      </c>
      <c r="B140" s="244" t="s">
        <v>591</v>
      </c>
      <c r="C140" s="87" t="s">
        <v>220</v>
      </c>
      <c r="D140" s="247" t="s">
        <v>757</v>
      </c>
      <c r="E140" s="97">
        <v>1871.2940400000005</v>
      </c>
      <c r="F140" s="103">
        <f t="shared" si="47"/>
        <v>1871.29</v>
      </c>
      <c r="G140" s="103">
        <f t="shared" si="50"/>
        <v>2245.5500000000002</v>
      </c>
    </row>
    <row r="141" spans="1:8" x14ac:dyDescent="0.3">
      <c r="A141" s="87">
        <f t="shared" si="49"/>
        <v>63</v>
      </c>
      <c r="B141" s="244" t="s">
        <v>1123</v>
      </c>
      <c r="C141" s="87" t="s">
        <v>220</v>
      </c>
      <c r="D141" s="247" t="s">
        <v>757</v>
      </c>
      <c r="E141" s="97">
        <v>19563.528600000005</v>
      </c>
      <c r="F141" s="103">
        <f t="shared" si="47"/>
        <v>19563.53</v>
      </c>
      <c r="G141" s="103">
        <f t="shared" si="50"/>
        <v>23476.240000000002</v>
      </c>
    </row>
    <row r="142" spans="1:8" s="57" customFormat="1" ht="27.6" x14ac:dyDescent="0.3">
      <c r="A142" s="87">
        <f t="shared" si="49"/>
        <v>64</v>
      </c>
      <c r="B142" s="244" t="s">
        <v>1127</v>
      </c>
      <c r="C142" s="87" t="s">
        <v>220</v>
      </c>
      <c r="D142" s="247" t="s">
        <v>757</v>
      </c>
      <c r="E142" s="97">
        <v>18446.165010000001</v>
      </c>
      <c r="F142" s="103">
        <f t="shared" si="47"/>
        <v>18446.169999999998</v>
      </c>
      <c r="G142" s="103">
        <f t="shared" ref="G142" si="51">ROUND(F142*1.2,2)</f>
        <v>22135.4</v>
      </c>
    </row>
    <row r="143" spans="1:8" ht="18" customHeight="1" x14ac:dyDescent="0.3">
      <c r="A143" s="87">
        <f t="shared" si="49"/>
        <v>65</v>
      </c>
      <c r="B143" s="244" t="s">
        <v>1124</v>
      </c>
      <c r="C143" s="87" t="s">
        <v>254</v>
      </c>
      <c r="D143" s="247" t="s">
        <v>1125</v>
      </c>
      <c r="E143" s="97">
        <v>904.71654000000001</v>
      </c>
      <c r="F143" s="103">
        <f t="shared" si="47"/>
        <v>14656.41</v>
      </c>
      <c r="G143" s="103">
        <f t="shared" ref="G143:G145" si="52">ROUND(F143*1.2,2)</f>
        <v>17587.689999999999</v>
      </c>
    </row>
    <row r="144" spans="1:8" x14ac:dyDescent="0.3">
      <c r="A144" s="87">
        <f t="shared" si="49"/>
        <v>66</v>
      </c>
      <c r="B144" s="244" t="s">
        <v>594</v>
      </c>
      <c r="C144" s="87" t="s">
        <v>387</v>
      </c>
      <c r="D144" s="256">
        <f>6.38*20/16</f>
        <v>7.9749999999999996</v>
      </c>
      <c r="E144" s="97">
        <v>322.1925</v>
      </c>
      <c r="F144" s="103">
        <f t="shared" si="47"/>
        <v>2569.4899999999998</v>
      </c>
      <c r="G144" s="103">
        <f t="shared" si="52"/>
        <v>3083.39</v>
      </c>
    </row>
    <row r="145" spans="1:7" x14ac:dyDescent="0.3">
      <c r="A145" s="87">
        <f t="shared" si="49"/>
        <v>67</v>
      </c>
      <c r="B145" s="244" t="s">
        <v>388</v>
      </c>
      <c r="C145" s="87" t="s">
        <v>254</v>
      </c>
      <c r="D145" s="247" t="s">
        <v>1126</v>
      </c>
      <c r="E145" s="97">
        <v>402.09624000000002</v>
      </c>
      <c r="F145" s="103">
        <f t="shared" si="47"/>
        <v>14648.37</v>
      </c>
      <c r="G145" s="103">
        <f t="shared" si="52"/>
        <v>17578.04</v>
      </c>
    </row>
    <row r="146" spans="1:7" ht="27.6" x14ac:dyDescent="0.3">
      <c r="A146" s="87"/>
      <c r="B146" s="85" t="s">
        <v>1082</v>
      </c>
      <c r="C146" s="87"/>
      <c r="D146" s="247"/>
      <c r="E146" s="97">
        <v>0</v>
      </c>
      <c r="F146" s="103"/>
      <c r="G146" s="103"/>
    </row>
    <row r="147" spans="1:7" x14ac:dyDescent="0.3">
      <c r="A147" s="87">
        <f>A145+1</f>
        <v>68</v>
      </c>
      <c r="B147" s="244" t="s">
        <v>1119</v>
      </c>
      <c r="C147" s="87" t="s">
        <v>220</v>
      </c>
      <c r="D147" s="153">
        <v>4</v>
      </c>
      <c r="E147" s="97">
        <v>2248.9036499999997</v>
      </c>
      <c r="F147" s="103">
        <f t="shared" ref="F147:F164" si="53">ROUND(E147*D147,2)</f>
        <v>8995.61</v>
      </c>
      <c r="G147" s="103">
        <f t="shared" ref="G147:G164" si="54">ROUND(F147*1.2,2)</f>
        <v>10794.73</v>
      </c>
    </row>
    <row r="148" spans="1:7" x14ac:dyDescent="0.3">
      <c r="A148" s="87">
        <f>A147+1</f>
        <v>69</v>
      </c>
      <c r="B148" s="244" t="s">
        <v>1120</v>
      </c>
      <c r="C148" s="87" t="s">
        <v>220</v>
      </c>
      <c r="D148" s="153">
        <v>5</v>
      </c>
      <c r="E148" s="97">
        <v>1937.0213100000001</v>
      </c>
      <c r="F148" s="103">
        <f t="shared" si="53"/>
        <v>9685.11</v>
      </c>
      <c r="G148" s="103">
        <f t="shared" si="54"/>
        <v>11622.13</v>
      </c>
    </row>
    <row r="149" spans="1:7" x14ac:dyDescent="0.3">
      <c r="A149" s="87">
        <f t="shared" ref="A149:A164" si="55">A148+1</f>
        <v>70</v>
      </c>
      <c r="B149" s="244" t="s">
        <v>1121</v>
      </c>
      <c r="C149" s="87" t="s">
        <v>220</v>
      </c>
      <c r="D149" s="153">
        <v>7</v>
      </c>
      <c r="E149" s="97">
        <v>3392.0426400000001</v>
      </c>
      <c r="F149" s="103">
        <f t="shared" si="53"/>
        <v>23744.3</v>
      </c>
      <c r="G149" s="103">
        <f t="shared" si="54"/>
        <v>28493.16</v>
      </c>
    </row>
    <row r="150" spans="1:7" s="57" customFormat="1" x14ac:dyDescent="0.3">
      <c r="A150" s="87">
        <f t="shared" si="55"/>
        <v>71</v>
      </c>
      <c r="B150" s="244" t="s">
        <v>1122</v>
      </c>
      <c r="C150" s="87" t="s">
        <v>220</v>
      </c>
      <c r="D150" s="153">
        <v>2</v>
      </c>
      <c r="E150" s="97">
        <v>1933.155</v>
      </c>
      <c r="F150" s="103">
        <f t="shared" si="53"/>
        <v>3866.31</v>
      </c>
      <c r="G150" s="103">
        <f t="shared" si="54"/>
        <v>4639.57</v>
      </c>
    </row>
    <row r="151" spans="1:7" x14ac:dyDescent="0.3">
      <c r="A151" s="87">
        <f t="shared" si="55"/>
        <v>72</v>
      </c>
      <c r="B151" s="244" t="s">
        <v>756</v>
      </c>
      <c r="C151" s="87" t="s">
        <v>220</v>
      </c>
      <c r="D151" s="153">
        <v>10</v>
      </c>
      <c r="E151" s="97">
        <v>5883.2350500000002</v>
      </c>
      <c r="F151" s="103">
        <f t="shared" si="53"/>
        <v>58832.35</v>
      </c>
      <c r="G151" s="103">
        <f t="shared" ref="G151:G154" si="56">ROUND(F151*1.2,2)</f>
        <v>70598.820000000007</v>
      </c>
    </row>
    <row r="152" spans="1:7" x14ac:dyDescent="0.3">
      <c r="A152" s="87">
        <f t="shared" si="55"/>
        <v>73</v>
      </c>
      <c r="B152" s="244" t="s">
        <v>1128</v>
      </c>
      <c r="C152" s="87" t="s">
        <v>220</v>
      </c>
      <c r="D152" s="153">
        <v>5</v>
      </c>
      <c r="E152" s="97">
        <v>5528.8233</v>
      </c>
      <c r="F152" s="103">
        <f t="shared" si="53"/>
        <v>27644.12</v>
      </c>
      <c r="G152" s="103">
        <f t="shared" si="56"/>
        <v>33172.94</v>
      </c>
    </row>
    <row r="153" spans="1:7" x14ac:dyDescent="0.3">
      <c r="A153" s="87">
        <f t="shared" si="55"/>
        <v>74</v>
      </c>
      <c r="B153" s="244" t="s">
        <v>1129</v>
      </c>
      <c r="C153" s="87" t="s">
        <v>220</v>
      </c>
      <c r="D153" s="153">
        <v>15</v>
      </c>
      <c r="E153" s="97">
        <v>6521.1762000000008</v>
      </c>
      <c r="F153" s="103">
        <f t="shared" si="53"/>
        <v>97817.64</v>
      </c>
      <c r="G153" s="103">
        <f t="shared" si="56"/>
        <v>117381.17</v>
      </c>
    </row>
    <row r="154" spans="1:7" x14ac:dyDescent="0.3">
      <c r="A154" s="87">
        <f t="shared" si="55"/>
        <v>75</v>
      </c>
      <c r="B154" s="244" t="s">
        <v>1130</v>
      </c>
      <c r="C154" s="87" t="s">
        <v>220</v>
      </c>
      <c r="D154" s="153">
        <v>2</v>
      </c>
      <c r="E154" s="97">
        <v>5245.2939000000006</v>
      </c>
      <c r="F154" s="103">
        <f t="shared" si="53"/>
        <v>10490.59</v>
      </c>
      <c r="G154" s="103">
        <f t="shared" si="56"/>
        <v>12588.71</v>
      </c>
    </row>
    <row r="155" spans="1:7" x14ac:dyDescent="0.3">
      <c r="A155" s="87">
        <f t="shared" si="55"/>
        <v>76</v>
      </c>
      <c r="B155" s="244" t="s">
        <v>590</v>
      </c>
      <c r="C155" s="87" t="s">
        <v>220</v>
      </c>
      <c r="D155" s="247" t="s">
        <v>1131</v>
      </c>
      <c r="E155" s="97">
        <v>1019.41707</v>
      </c>
      <c r="F155" s="103">
        <f t="shared" si="53"/>
        <v>19368.919999999998</v>
      </c>
      <c r="G155" s="103">
        <f t="shared" si="54"/>
        <v>23242.7</v>
      </c>
    </row>
    <row r="156" spans="1:7" x14ac:dyDescent="0.3">
      <c r="A156" s="87">
        <f t="shared" si="55"/>
        <v>77</v>
      </c>
      <c r="B156" s="244" t="s">
        <v>591</v>
      </c>
      <c r="C156" s="87" t="s">
        <v>220</v>
      </c>
      <c r="D156" s="247" t="s">
        <v>757</v>
      </c>
      <c r="E156" s="97">
        <v>1871.2940400000005</v>
      </c>
      <c r="F156" s="103">
        <f t="shared" si="53"/>
        <v>1871.29</v>
      </c>
      <c r="G156" s="103">
        <f t="shared" si="54"/>
        <v>2245.5500000000002</v>
      </c>
    </row>
    <row r="157" spans="1:7" x14ac:dyDescent="0.3">
      <c r="A157" s="87">
        <f t="shared" si="55"/>
        <v>78</v>
      </c>
      <c r="B157" s="244" t="s">
        <v>1123</v>
      </c>
      <c r="C157" s="87" t="s">
        <v>220</v>
      </c>
      <c r="D157" s="247" t="s">
        <v>598</v>
      </c>
      <c r="E157" s="97">
        <v>19563.528600000005</v>
      </c>
      <c r="F157" s="103">
        <f t="shared" si="53"/>
        <v>195635.29</v>
      </c>
      <c r="G157" s="103">
        <f t="shared" si="54"/>
        <v>234762.35</v>
      </c>
    </row>
    <row r="158" spans="1:7" s="57" customFormat="1" ht="27.6" x14ac:dyDescent="0.3">
      <c r="A158" s="87">
        <f t="shared" si="55"/>
        <v>79</v>
      </c>
      <c r="B158" s="244" t="s">
        <v>1132</v>
      </c>
      <c r="C158" s="87" t="s">
        <v>220</v>
      </c>
      <c r="D158" s="247" t="s">
        <v>833</v>
      </c>
      <c r="E158" s="97">
        <v>3609.8447699999997</v>
      </c>
      <c r="F158" s="103">
        <f t="shared" si="53"/>
        <v>54147.67</v>
      </c>
      <c r="G158" s="103">
        <f t="shared" si="54"/>
        <v>64977.2</v>
      </c>
    </row>
    <row r="159" spans="1:7" ht="21.75" customHeight="1" x14ac:dyDescent="0.3">
      <c r="A159" s="87">
        <f t="shared" si="55"/>
        <v>80</v>
      </c>
      <c r="B159" s="244" t="s">
        <v>1124</v>
      </c>
      <c r="C159" s="87" t="s">
        <v>254</v>
      </c>
      <c r="D159" s="247" t="s">
        <v>1136</v>
      </c>
      <c r="E159" s="97">
        <v>904.71654000000001</v>
      </c>
      <c r="F159" s="103">
        <f t="shared" si="53"/>
        <v>29312.82</v>
      </c>
      <c r="G159" s="103">
        <f t="shared" si="54"/>
        <v>35175.379999999997</v>
      </c>
    </row>
    <row r="160" spans="1:7" ht="21.75" customHeight="1" x14ac:dyDescent="0.3">
      <c r="A160" s="87">
        <f t="shared" si="55"/>
        <v>81</v>
      </c>
      <c r="B160" s="244" t="s">
        <v>1133</v>
      </c>
      <c r="C160" s="87" t="s">
        <v>254</v>
      </c>
      <c r="D160" s="247" t="s">
        <v>1137</v>
      </c>
      <c r="E160" s="97">
        <v>904.71654000000001</v>
      </c>
      <c r="F160" s="103">
        <f t="shared" si="53"/>
        <v>35283.949999999997</v>
      </c>
      <c r="G160" s="103">
        <f t="shared" si="54"/>
        <v>42340.74</v>
      </c>
    </row>
    <row r="161" spans="1:7" ht="21.75" customHeight="1" x14ac:dyDescent="0.3">
      <c r="A161" s="87">
        <f t="shared" si="55"/>
        <v>82</v>
      </c>
      <c r="B161" s="244" t="s">
        <v>1134</v>
      </c>
      <c r="C161" s="87" t="s">
        <v>254</v>
      </c>
      <c r="D161" s="247" t="s">
        <v>1138</v>
      </c>
      <c r="E161" s="97">
        <v>904.71654000000001</v>
      </c>
      <c r="F161" s="103">
        <f t="shared" si="53"/>
        <v>7056.79</v>
      </c>
      <c r="G161" s="103">
        <f t="shared" si="54"/>
        <v>8468.15</v>
      </c>
    </row>
    <row r="162" spans="1:7" ht="21.75" customHeight="1" x14ac:dyDescent="0.3">
      <c r="A162" s="87">
        <f t="shared" si="55"/>
        <v>83</v>
      </c>
      <c r="B162" s="244" t="s">
        <v>1135</v>
      </c>
      <c r="C162" s="87" t="s">
        <v>254</v>
      </c>
      <c r="D162" s="247" t="s">
        <v>1139</v>
      </c>
      <c r="E162" s="97">
        <v>904.71654000000001</v>
      </c>
      <c r="F162" s="103">
        <f t="shared" si="53"/>
        <v>105851.84</v>
      </c>
      <c r="G162" s="103">
        <f t="shared" si="54"/>
        <v>127022.21</v>
      </c>
    </row>
    <row r="163" spans="1:7" x14ac:dyDescent="0.3">
      <c r="A163" s="87">
        <f t="shared" si="55"/>
        <v>84</v>
      </c>
      <c r="B163" s="244" t="s">
        <v>594</v>
      </c>
      <c r="C163" s="87" t="s">
        <v>387</v>
      </c>
      <c r="D163" s="256">
        <f>51*20/16</f>
        <v>63.75</v>
      </c>
      <c r="E163" s="97">
        <v>322.1925</v>
      </c>
      <c r="F163" s="103">
        <f t="shared" si="53"/>
        <v>20539.77</v>
      </c>
      <c r="G163" s="103">
        <f t="shared" si="54"/>
        <v>24647.72</v>
      </c>
    </row>
    <row r="164" spans="1:7" x14ac:dyDescent="0.3">
      <c r="A164" s="87">
        <f t="shared" si="55"/>
        <v>85</v>
      </c>
      <c r="B164" s="244" t="s">
        <v>388</v>
      </c>
      <c r="C164" s="87" t="s">
        <v>254</v>
      </c>
      <c r="D164" s="247" t="s">
        <v>1140</v>
      </c>
      <c r="E164" s="97">
        <v>402.09624000000002</v>
      </c>
      <c r="F164" s="103">
        <f t="shared" si="53"/>
        <v>116607.91</v>
      </c>
      <c r="G164" s="103">
        <f t="shared" si="54"/>
        <v>139929.49</v>
      </c>
    </row>
    <row r="165" spans="1:7" ht="30" customHeight="1" x14ac:dyDescent="0.3">
      <c r="A165" s="87"/>
      <c r="B165" s="85" t="s">
        <v>1098</v>
      </c>
      <c r="C165" s="87"/>
      <c r="D165" s="247"/>
      <c r="E165" s="97">
        <v>0</v>
      </c>
      <c r="F165" s="103"/>
      <c r="G165" s="103"/>
    </row>
    <row r="166" spans="1:7" x14ac:dyDescent="0.3">
      <c r="A166" s="87">
        <f>A164+1</f>
        <v>86</v>
      </c>
      <c r="B166" s="244" t="s">
        <v>1119</v>
      </c>
      <c r="C166" s="87" t="s">
        <v>220</v>
      </c>
      <c r="D166" s="153">
        <v>2</v>
      </c>
      <c r="E166" s="97">
        <v>2248.9036499999997</v>
      </c>
      <c r="F166" s="103">
        <f t="shared" ref="F166:F171" si="57">ROUND(E166*D166,2)</f>
        <v>4497.8100000000004</v>
      </c>
      <c r="G166" s="103">
        <f t="shared" ref="G166:G168" si="58">ROUND(F166*1.2,2)</f>
        <v>5397.37</v>
      </c>
    </row>
    <row r="167" spans="1:7" ht="18.75" customHeight="1" x14ac:dyDescent="0.3">
      <c r="A167" s="87">
        <f>A166+1</f>
        <v>87</v>
      </c>
      <c r="B167" s="244" t="s">
        <v>1120</v>
      </c>
      <c r="C167" s="87" t="s">
        <v>220</v>
      </c>
      <c r="D167" s="153">
        <v>2</v>
      </c>
      <c r="E167" s="97">
        <v>1937.0213100000001</v>
      </c>
      <c r="F167" s="103">
        <f t="shared" si="57"/>
        <v>3874.04</v>
      </c>
      <c r="G167" s="103">
        <f t="shared" si="58"/>
        <v>4648.8500000000004</v>
      </c>
    </row>
    <row r="168" spans="1:7" ht="15.75" customHeight="1" x14ac:dyDescent="0.3">
      <c r="A168" s="87">
        <f>A167+1</f>
        <v>88</v>
      </c>
      <c r="B168" s="244" t="s">
        <v>1121</v>
      </c>
      <c r="C168" s="87" t="s">
        <v>220</v>
      </c>
      <c r="D168" s="153">
        <v>2</v>
      </c>
      <c r="E168" s="97">
        <v>3392.0426400000001</v>
      </c>
      <c r="F168" s="103">
        <f t="shared" si="57"/>
        <v>6784.09</v>
      </c>
      <c r="G168" s="103">
        <f t="shared" si="58"/>
        <v>8140.91</v>
      </c>
    </row>
    <row r="169" spans="1:7" s="57" customFormat="1" ht="20.25" customHeight="1" x14ac:dyDescent="0.3">
      <c r="A169" s="87">
        <f>A168+1</f>
        <v>89</v>
      </c>
      <c r="B169" s="244" t="s">
        <v>1141</v>
      </c>
      <c r="C169" s="87" t="s">
        <v>220</v>
      </c>
      <c r="D169" s="247" t="s">
        <v>760</v>
      </c>
      <c r="E169" s="97">
        <v>8041.9248000000007</v>
      </c>
      <c r="F169" s="103">
        <f t="shared" si="57"/>
        <v>16083.85</v>
      </c>
      <c r="G169" s="103">
        <f t="shared" ref="G169:G171" si="59">ROUND(F169*1.2,2)</f>
        <v>19300.62</v>
      </c>
    </row>
    <row r="170" spans="1:7" ht="15.75" customHeight="1" x14ac:dyDescent="0.3">
      <c r="A170" s="87">
        <f t="shared" ref="A170:A171" si="60">A169+1</f>
        <v>90</v>
      </c>
      <c r="B170" s="244" t="s">
        <v>594</v>
      </c>
      <c r="C170" s="87" t="s">
        <v>387</v>
      </c>
      <c r="D170" s="257">
        <f>5.49*20/16</f>
        <v>6.8625000000000007</v>
      </c>
      <c r="E170" s="97">
        <v>322.1925</v>
      </c>
      <c r="F170" s="103">
        <f t="shared" si="57"/>
        <v>2211.0500000000002</v>
      </c>
      <c r="G170" s="103">
        <f t="shared" si="59"/>
        <v>2653.26</v>
      </c>
    </row>
    <row r="171" spans="1:7" ht="18" customHeight="1" x14ac:dyDescent="0.3">
      <c r="A171" s="87">
        <f t="shared" si="60"/>
        <v>91</v>
      </c>
      <c r="B171" s="244" t="s">
        <v>388</v>
      </c>
      <c r="C171" s="87" t="s">
        <v>254</v>
      </c>
      <c r="D171" s="247" t="s">
        <v>1142</v>
      </c>
      <c r="E171" s="97">
        <v>402.09624000000002</v>
      </c>
      <c r="F171" s="103">
        <f t="shared" si="57"/>
        <v>12625.82</v>
      </c>
      <c r="G171" s="103">
        <f t="shared" si="59"/>
        <v>15150.98</v>
      </c>
    </row>
    <row r="172" spans="1:7" s="210" customFormat="1" ht="23.25" customHeight="1" x14ac:dyDescent="0.3">
      <c r="A172" s="430"/>
      <c r="B172" s="431" t="s">
        <v>1100</v>
      </c>
      <c r="C172" s="430"/>
      <c r="D172" s="457"/>
      <c r="E172" s="458">
        <v>0</v>
      </c>
      <c r="F172" s="438"/>
      <c r="G172" s="438"/>
    </row>
    <row r="173" spans="1:7" s="210" customFormat="1" ht="15.75" customHeight="1" x14ac:dyDescent="0.3">
      <c r="A173" s="430">
        <f>A171+1</f>
        <v>92</v>
      </c>
      <c r="B173" s="436" t="s">
        <v>585</v>
      </c>
      <c r="C173" s="430" t="s">
        <v>220</v>
      </c>
      <c r="D173" s="460">
        <f>'исключение-свод'!B1*2</f>
        <v>2</v>
      </c>
      <c r="E173" s="458">
        <v>13858.143810000001</v>
      </c>
      <c r="F173" s="438">
        <f t="shared" ref="F173:F184" si="61">ROUND(E173*D173,2)</f>
        <v>27716.29</v>
      </c>
      <c r="G173" s="438">
        <f t="shared" ref="G173:G184" si="62">ROUND(F173*1.2,2)</f>
        <v>33259.550000000003</v>
      </c>
    </row>
    <row r="174" spans="1:7" s="210" customFormat="1" ht="15.75" customHeight="1" x14ac:dyDescent="0.3">
      <c r="A174" s="430">
        <f>A173+1</f>
        <v>93</v>
      </c>
      <c r="B174" s="436" t="s">
        <v>587</v>
      </c>
      <c r="C174" s="430" t="s">
        <v>220</v>
      </c>
      <c r="D174" s="460">
        <f>'исключение-свод'!B1*4</f>
        <v>4</v>
      </c>
      <c r="E174" s="458">
        <v>14672.646450000004</v>
      </c>
      <c r="F174" s="438">
        <f t="shared" si="61"/>
        <v>58690.59</v>
      </c>
      <c r="G174" s="438">
        <f t="shared" si="62"/>
        <v>70428.710000000006</v>
      </c>
    </row>
    <row r="175" spans="1:7" s="210" customFormat="1" ht="15.75" customHeight="1" x14ac:dyDescent="0.3">
      <c r="A175" s="430">
        <f t="shared" ref="A175:A184" si="63">A174+1</f>
        <v>94</v>
      </c>
      <c r="B175" s="436" t="s">
        <v>588</v>
      </c>
      <c r="C175" s="430" t="s">
        <v>220</v>
      </c>
      <c r="D175" s="460">
        <f>'исключение-свод'!B1*3</f>
        <v>3</v>
      </c>
      <c r="E175" s="458">
        <v>14184.20262</v>
      </c>
      <c r="F175" s="438">
        <f t="shared" si="61"/>
        <v>42552.61</v>
      </c>
      <c r="G175" s="438">
        <f t="shared" si="62"/>
        <v>51063.13</v>
      </c>
    </row>
    <row r="176" spans="1:7" s="210" customFormat="1" ht="15.75" customHeight="1" x14ac:dyDescent="0.3">
      <c r="A176" s="430">
        <f t="shared" si="63"/>
        <v>95</v>
      </c>
      <c r="B176" s="436" t="s">
        <v>589</v>
      </c>
      <c r="C176" s="430" t="s">
        <v>220</v>
      </c>
      <c r="D176" s="460">
        <f>'исключение-свод'!B1*1</f>
        <v>1</v>
      </c>
      <c r="E176" s="458">
        <v>13206.02619</v>
      </c>
      <c r="F176" s="438">
        <f t="shared" si="61"/>
        <v>13206.03</v>
      </c>
      <c r="G176" s="438">
        <f t="shared" si="62"/>
        <v>15847.24</v>
      </c>
    </row>
    <row r="177" spans="1:7" s="210" customFormat="1" ht="15.75" customHeight="1" x14ac:dyDescent="0.3">
      <c r="A177" s="430">
        <f t="shared" si="63"/>
        <v>96</v>
      </c>
      <c r="B177" s="436" t="s">
        <v>590</v>
      </c>
      <c r="C177" s="430" t="s">
        <v>220</v>
      </c>
      <c r="D177" s="460">
        <f>'исключение-свод'!B1*6</f>
        <v>6</v>
      </c>
      <c r="E177" s="458">
        <v>7989.0852299999997</v>
      </c>
      <c r="F177" s="438">
        <f t="shared" si="61"/>
        <v>47934.51</v>
      </c>
      <c r="G177" s="438">
        <f t="shared" si="62"/>
        <v>57521.41</v>
      </c>
    </row>
    <row r="178" spans="1:7" s="210" customFormat="1" ht="15.75" customHeight="1" x14ac:dyDescent="0.3">
      <c r="A178" s="430">
        <f t="shared" si="63"/>
        <v>97</v>
      </c>
      <c r="B178" s="436" t="s">
        <v>1123</v>
      </c>
      <c r="C178" s="430" t="s">
        <v>220</v>
      </c>
      <c r="D178" s="460">
        <f>'исключение-свод'!B1*4</f>
        <v>4</v>
      </c>
      <c r="E178" s="458">
        <v>19563.528600000005</v>
      </c>
      <c r="F178" s="438">
        <f t="shared" si="61"/>
        <v>78254.11</v>
      </c>
      <c r="G178" s="438">
        <f t="shared" si="62"/>
        <v>93904.93</v>
      </c>
    </row>
    <row r="179" spans="1:7" s="210" customFormat="1" ht="19.5" customHeight="1" x14ac:dyDescent="0.3">
      <c r="A179" s="430">
        <f t="shared" si="63"/>
        <v>98</v>
      </c>
      <c r="B179" s="436" t="s">
        <v>1144</v>
      </c>
      <c r="C179" s="430" t="s">
        <v>254</v>
      </c>
      <c r="D179" s="460">
        <f>'исключение-свод'!B1*9.7</f>
        <v>9.6999999999999993</v>
      </c>
      <c r="E179" s="458">
        <v>904.71654000000001</v>
      </c>
      <c r="F179" s="438">
        <f t="shared" si="61"/>
        <v>8775.75</v>
      </c>
      <c r="G179" s="438">
        <f t="shared" si="62"/>
        <v>10530.9</v>
      </c>
    </row>
    <row r="180" spans="1:7" s="210" customFormat="1" ht="19.5" customHeight="1" x14ac:dyDescent="0.3">
      <c r="A180" s="430">
        <f t="shared" si="63"/>
        <v>99</v>
      </c>
      <c r="B180" s="436" t="s">
        <v>1124</v>
      </c>
      <c r="C180" s="430" t="s">
        <v>254</v>
      </c>
      <c r="D180" s="460">
        <f>'исключение-свод'!B1*16.2</f>
        <v>16.2</v>
      </c>
      <c r="E180" s="458">
        <v>904.71654000000001</v>
      </c>
      <c r="F180" s="438">
        <f t="shared" si="61"/>
        <v>14656.41</v>
      </c>
      <c r="G180" s="438">
        <f t="shared" si="62"/>
        <v>17587.689999999999</v>
      </c>
    </row>
    <row r="181" spans="1:7" s="210" customFormat="1" ht="19.5" customHeight="1" x14ac:dyDescent="0.3">
      <c r="A181" s="430">
        <f t="shared" si="63"/>
        <v>100</v>
      </c>
      <c r="B181" s="436" t="s">
        <v>1133</v>
      </c>
      <c r="C181" s="430" t="s">
        <v>254</v>
      </c>
      <c r="D181" s="460">
        <f>'исключение-свод'!B1*39</f>
        <v>39</v>
      </c>
      <c r="E181" s="458">
        <v>904.71654000000001</v>
      </c>
      <c r="F181" s="438">
        <f t="shared" si="61"/>
        <v>35283.949999999997</v>
      </c>
      <c r="G181" s="438">
        <f t="shared" si="62"/>
        <v>42340.74</v>
      </c>
    </row>
    <row r="182" spans="1:7" s="273" customFormat="1" ht="27.6" x14ac:dyDescent="0.3">
      <c r="A182" s="430">
        <f t="shared" si="63"/>
        <v>101</v>
      </c>
      <c r="B182" s="436" t="s">
        <v>1145</v>
      </c>
      <c r="C182" s="430" t="s">
        <v>220</v>
      </c>
      <c r="D182" s="432">
        <f>'исключение-свод'!B1*2</f>
        <v>2</v>
      </c>
      <c r="E182" s="458">
        <v>22656.576600000004</v>
      </c>
      <c r="F182" s="438">
        <f t="shared" si="61"/>
        <v>45313.15</v>
      </c>
      <c r="G182" s="438">
        <f t="shared" si="62"/>
        <v>54375.78</v>
      </c>
    </row>
    <row r="183" spans="1:7" s="210" customFormat="1" ht="18.75" customHeight="1" x14ac:dyDescent="0.3">
      <c r="A183" s="430">
        <f t="shared" si="63"/>
        <v>102</v>
      </c>
      <c r="B183" s="436" t="s">
        <v>594</v>
      </c>
      <c r="C183" s="430" t="s">
        <v>387</v>
      </c>
      <c r="D183" s="459">
        <f>'исключение-свод'!B1*25.5*20/16</f>
        <v>31.875</v>
      </c>
      <c r="E183" s="458">
        <v>322.1925</v>
      </c>
      <c r="F183" s="438">
        <f t="shared" si="61"/>
        <v>10269.89</v>
      </c>
      <c r="G183" s="438">
        <f t="shared" si="62"/>
        <v>12323.87</v>
      </c>
    </row>
    <row r="184" spans="1:7" s="210" customFormat="1" ht="18.75" customHeight="1" x14ac:dyDescent="0.3">
      <c r="A184" s="430">
        <f t="shared" si="63"/>
        <v>103</v>
      </c>
      <c r="B184" s="436" t="s">
        <v>388</v>
      </c>
      <c r="C184" s="430" t="s">
        <v>254</v>
      </c>
      <c r="D184" s="460">
        <f>'исключение-свод'!B1*145.7</f>
        <v>145.69999999999999</v>
      </c>
      <c r="E184" s="458">
        <v>402.09624000000002</v>
      </c>
      <c r="F184" s="438">
        <f t="shared" si="61"/>
        <v>58585.42</v>
      </c>
      <c r="G184" s="438">
        <f t="shared" si="62"/>
        <v>70302.5</v>
      </c>
    </row>
    <row r="185" spans="1:7" s="210" customFormat="1" ht="19.5" customHeight="1" x14ac:dyDescent="0.3">
      <c r="A185" s="430"/>
      <c r="B185" s="431" t="s">
        <v>1110</v>
      </c>
      <c r="C185" s="430"/>
      <c r="D185" s="457"/>
      <c r="E185" s="458">
        <v>0</v>
      </c>
      <c r="F185" s="438"/>
      <c r="G185" s="438"/>
    </row>
    <row r="186" spans="1:7" s="210" customFormat="1" ht="19.5" customHeight="1" x14ac:dyDescent="0.3">
      <c r="A186" s="430">
        <f>A184+1</f>
        <v>104</v>
      </c>
      <c r="B186" s="436" t="s">
        <v>587</v>
      </c>
      <c r="C186" s="430" t="s">
        <v>220</v>
      </c>
      <c r="D186" s="460">
        <f>'исключение-свод'!B1*2</f>
        <v>2</v>
      </c>
      <c r="E186" s="458">
        <v>14672.646450000004</v>
      </c>
      <c r="F186" s="438">
        <f t="shared" ref="F186:F192" si="64">ROUND(E186*D186,2)</f>
        <v>29345.29</v>
      </c>
      <c r="G186" s="438">
        <f t="shared" ref="G186:G192" si="65">ROUND(F186*1.2,2)</f>
        <v>35214.35</v>
      </c>
    </row>
    <row r="187" spans="1:7" s="210" customFormat="1" x14ac:dyDescent="0.3">
      <c r="A187" s="430">
        <f>A186+1</f>
        <v>105</v>
      </c>
      <c r="B187" s="436" t="s">
        <v>590</v>
      </c>
      <c r="C187" s="430" t="s">
        <v>220</v>
      </c>
      <c r="D187" s="460">
        <f>'исключение-свод'!B1*2</f>
        <v>2</v>
      </c>
      <c r="E187" s="458">
        <v>7989.0852299999997</v>
      </c>
      <c r="F187" s="438">
        <f t="shared" si="64"/>
        <v>15978.17</v>
      </c>
      <c r="G187" s="438">
        <f t="shared" si="65"/>
        <v>19173.8</v>
      </c>
    </row>
    <row r="188" spans="1:7" s="210" customFormat="1" x14ac:dyDescent="0.3">
      <c r="A188" s="430">
        <f t="shared" ref="A188:A192" si="66">A187+1</f>
        <v>106</v>
      </c>
      <c r="B188" s="436" t="s">
        <v>1123</v>
      </c>
      <c r="C188" s="430" t="s">
        <v>220</v>
      </c>
      <c r="D188" s="460">
        <f>'исключение-свод'!B1*2</f>
        <v>2</v>
      </c>
      <c r="E188" s="458">
        <v>19563.528600000005</v>
      </c>
      <c r="F188" s="438">
        <f t="shared" si="64"/>
        <v>39127.06</v>
      </c>
      <c r="G188" s="438">
        <f t="shared" si="65"/>
        <v>46952.47</v>
      </c>
    </row>
    <row r="189" spans="1:7" s="273" customFormat="1" ht="27.6" x14ac:dyDescent="0.3">
      <c r="A189" s="430">
        <f t="shared" si="66"/>
        <v>107</v>
      </c>
      <c r="B189" s="436" t="s">
        <v>1146</v>
      </c>
      <c r="C189" s="430" t="s">
        <v>220</v>
      </c>
      <c r="D189" s="432">
        <f>'исключение-свод'!B1*2</f>
        <v>2</v>
      </c>
      <c r="E189" s="458">
        <v>18446.165010000001</v>
      </c>
      <c r="F189" s="438">
        <f t="shared" si="64"/>
        <v>36892.33</v>
      </c>
      <c r="G189" s="438">
        <f t="shared" si="65"/>
        <v>44270.8</v>
      </c>
    </row>
    <row r="190" spans="1:7" s="210" customFormat="1" ht="20.25" customHeight="1" x14ac:dyDescent="0.3">
      <c r="A190" s="430">
        <f t="shared" si="66"/>
        <v>108</v>
      </c>
      <c r="B190" s="436" t="s">
        <v>1133</v>
      </c>
      <c r="C190" s="430" t="s">
        <v>254</v>
      </c>
      <c r="D190" s="460">
        <f>'исключение-свод'!B1*19.5</f>
        <v>19.5</v>
      </c>
      <c r="E190" s="458">
        <v>904.71654000000001</v>
      </c>
      <c r="F190" s="438">
        <f t="shared" si="64"/>
        <v>17641.97</v>
      </c>
      <c r="G190" s="438">
        <f t="shared" si="65"/>
        <v>21170.36</v>
      </c>
    </row>
    <row r="191" spans="1:7" s="210" customFormat="1" x14ac:dyDescent="0.3">
      <c r="A191" s="430">
        <f t="shared" si="66"/>
        <v>109</v>
      </c>
      <c r="B191" s="436" t="s">
        <v>594</v>
      </c>
      <c r="C191" s="430" t="s">
        <v>387</v>
      </c>
      <c r="D191" s="459">
        <f>'исключение-свод'!B1*6.38*20/16</f>
        <v>7.9749999999999996</v>
      </c>
      <c r="E191" s="458">
        <v>322.1925</v>
      </c>
      <c r="F191" s="438">
        <f t="shared" si="64"/>
        <v>2569.4899999999998</v>
      </c>
      <c r="G191" s="438">
        <f t="shared" si="65"/>
        <v>3083.39</v>
      </c>
    </row>
    <row r="192" spans="1:7" s="210" customFormat="1" x14ac:dyDescent="0.3">
      <c r="A192" s="430">
        <f t="shared" si="66"/>
        <v>110</v>
      </c>
      <c r="B192" s="436" t="s">
        <v>388</v>
      </c>
      <c r="C192" s="430" t="s">
        <v>254</v>
      </c>
      <c r="D192" s="460">
        <f>'исключение-свод'!B1*36.43</f>
        <v>36.43</v>
      </c>
      <c r="E192" s="458">
        <v>402.09624000000002</v>
      </c>
      <c r="F192" s="438">
        <f t="shared" si="64"/>
        <v>14648.37</v>
      </c>
      <c r="G192" s="438">
        <f t="shared" si="65"/>
        <v>17578.04</v>
      </c>
    </row>
    <row r="193" spans="1:8" x14ac:dyDescent="0.3">
      <c r="A193" s="154"/>
      <c r="B193" s="530" t="s">
        <v>602</v>
      </c>
      <c r="C193" s="531"/>
      <c r="D193" s="531"/>
      <c r="E193" s="342"/>
      <c r="F193" s="157"/>
      <c r="G193" s="126"/>
      <c r="H193" s="210"/>
    </row>
    <row r="194" spans="1:8" s="210" customFormat="1" x14ac:dyDescent="0.3">
      <c r="A194" s="447">
        <f>A192+1</f>
        <v>111</v>
      </c>
      <c r="B194" s="209" t="s">
        <v>234</v>
      </c>
      <c r="C194" s="447" t="s">
        <v>193</v>
      </c>
      <c r="D194" s="450">
        <f>H194+(27.43+220.77)</f>
        <v>248.20000000000002</v>
      </c>
      <c r="E194" s="458">
        <v>1701.1764000000003</v>
      </c>
      <c r="F194" s="451">
        <f t="shared" ref="F194:F215" si="67">ROUND(E194*D194,2)</f>
        <v>422231.98</v>
      </c>
      <c r="G194" s="451">
        <f t="shared" ref="G194:G211" si="68">ROUND(F194*1.2,2)</f>
        <v>506678.38</v>
      </c>
      <c r="H194" s="210">
        <f>'исключение-свод'!B2*(125.66+4.16)</f>
        <v>0</v>
      </c>
    </row>
    <row r="195" spans="1:8" s="210" customFormat="1" x14ac:dyDescent="0.3">
      <c r="A195" s="447">
        <f>A194+1</f>
        <v>112</v>
      </c>
      <c r="B195" s="209" t="s">
        <v>160</v>
      </c>
      <c r="C195" s="461" t="s">
        <v>193</v>
      </c>
      <c r="D195" s="450">
        <f>H195+30.73</f>
        <v>30.73</v>
      </c>
      <c r="E195" s="458">
        <v>1763.03736</v>
      </c>
      <c r="F195" s="451">
        <f t="shared" si="67"/>
        <v>54178.14</v>
      </c>
      <c r="G195" s="451">
        <f t="shared" si="68"/>
        <v>65013.77</v>
      </c>
      <c r="H195" s="210">
        <f>'исключение-свод'!B2*28.55/9*2</f>
        <v>0</v>
      </c>
    </row>
    <row r="196" spans="1:8" s="210" customFormat="1" x14ac:dyDescent="0.3">
      <c r="A196" s="447">
        <f t="shared" ref="A196:A215" si="69">A195+1</f>
        <v>113</v>
      </c>
      <c r="B196" s="209" t="s">
        <v>603</v>
      </c>
      <c r="C196" s="461" t="s">
        <v>194</v>
      </c>
      <c r="D196" s="452">
        <f>H196+29.8</f>
        <v>29.8</v>
      </c>
      <c r="E196" s="458">
        <v>7797.0585000000019</v>
      </c>
      <c r="F196" s="451">
        <f t="shared" si="67"/>
        <v>232352.34</v>
      </c>
      <c r="G196" s="451">
        <f t="shared" si="68"/>
        <v>278822.81</v>
      </c>
      <c r="H196" s="210">
        <f>'исключение-свод'!B2*28</f>
        <v>0</v>
      </c>
    </row>
    <row r="197" spans="1:8" x14ac:dyDescent="0.3">
      <c r="A197" s="66">
        <f t="shared" si="69"/>
        <v>114</v>
      </c>
      <c r="B197" s="67" t="s">
        <v>597</v>
      </c>
      <c r="C197" s="74" t="s">
        <v>194</v>
      </c>
      <c r="D197" s="72">
        <v>29</v>
      </c>
      <c r="E197" s="97">
        <v>14459.999400000001</v>
      </c>
      <c r="F197" s="102">
        <f t="shared" si="67"/>
        <v>419339.98</v>
      </c>
      <c r="G197" s="102">
        <f t="shared" si="68"/>
        <v>503207.98</v>
      </c>
      <c r="H197" s="210"/>
    </row>
    <row r="198" spans="1:8" s="210" customFormat="1" x14ac:dyDescent="0.3">
      <c r="A198" s="447">
        <f t="shared" si="69"/>
        <v>115</v>
      </c>
      <c r="B198" s="209" t="s">
        <v>604</v>
      </c>
      <c r="C198" s="461" t="s">
        <v>194</v>
      </c>
      <c r="D198" s="249">
        <f>H198+108</f>
        <v>108</v>
      </c>
      <c r="E198" s="458">
        <v>1360.9411200000002</v>
      </c>
      <c r="F198" s="451">
        <f t="shared" si="67"/>
        <v>146981.64000000001</v>
      </c>
      <c r="G198" s="451">
        <f t="shared" si="68"/>
        <v>176377.97</v>
      </c>
      <c r="H198" s="210">
        <f>'исключение-свод'!B2*52</f>
        <v>0</v>
      </c>
    </row>
    <row r="199" spans="1:8" x14ac:dyDescent="0.3">
      <c r="A199" s="66">
        <f t="shared" si="69"/>
        <v>116</v>
      </c>
      <c r="B199" s="67" t="s">
        <v>605</v>
      </c>
      <c r="C199" s="74" t="s">
        <v>194</v>
      </c>
      <c r="D199" s="72">
        <f>222+1.29</f>
        <v>223.29</v>
      </c>
      <c r="E199" s="97">
        <v>5245.2939000000006</v>
      </c>
      <c r="F199" s="102">
        <f t="shared" si="67"/>
        <v>1171221.67</v>
      </c>
      <c r="G199" s="102">
        <f t="shared" si="68"/>
        <v>1405466</v>
      </c>
      <c r="H199" s="210"/>
    </row>
    <row r="200" spans="1:8" s="210" customFormat="1" x14ac:dyDescent="0.3">
      <c r="A200" s="447">
        <f t="shared" si="69"/>
        <v>117</v>
      </c>
      <c r="B200" s="209" t="s">
        <v>606</v>
      </c>
      <c r="C200" s="447" t="s">
        <v>220</v>
      </c>
      <c r="D200" s="463">
        <f>H200+7</f>
        <v>7</v>
      </c>
      <c r="E200" s="458">
        <v>2248.9036499999997</v>
      </c>
      <c r="F200" s="451">
        <f t="shared" si="67"/>
        <v>15742.33</v>
      </c>
      <c r="G200" s="451">
        <f t="shared" si="68"/>
        <v>18890.8</v>
      </c>
      <c r="H200" s="210">
        <f>'исключение-свод'!B2*2</f>
        <v>0</v>
      </c>
    </row>
    <row r="201" spans="1:8" s="210" customFormat="1" x14ac:dyDescent="0.3">
      <c r="A201" s="447">
        <f t="shared" si="69"/>
        <v>118</v>
      </c>
      <c r="B201" s="209" t="s">
        <v>607</v>
      </c>
      <c r="C201" s="447" t="s">
        <v>220</v>
      </c>
      <c r="D201" s="463">
        <f>H201+7</f>
        <v>7</v>
      </c>
      <c r="E201" s="458">
        <v>1937.0213100000001</v>
      </c>
      <c r="F201" s="451">
        <f t="shared" si="67"/>
        <v>13559.15</v>
      </c>
      <c r="G201" s="451">
        <f t="shared" si="68"/>
        <v>16270.98</v>
      </c>
      <c r="H201" s="210">
        <f>'исключение-свод'!B2*2</f>
        <v>0</v>
      </c>
    </row>
    <row r="202" spans="1:8" s="210" customFormat="1" x14ac:dyDescent="0.3">
      <c r="A202" s="447">
        <f t="shared" si="69"/>
        <v>119</v>
      </c>
      <c r="B202" s="209" t="s">
        <v>608</v>
      </c>
      <c r="C202" s="447" t="s">
        <v>220</v>
      </c>
      <c r="D202" s="463">
        <f>H202+14</f>
        <v>14</v>
      </c>
      <c r="E202" s="458">
        <v>3392.0426400000001</v>
      </c>
      <c r="F202" s="451">
        <f t="shared" si="67"/>
        <v>47488.6</v>
      </c>
      <c r="G202" s="451">
        <f t="shared" si="68"/>
        <v>56986.32</v>
      </c>
      <c r="H202" s="210">
        <f>'исключение-свод'!B2*(3+2)</f>
        <v>0</v>
      </c>
    </row>
    <row r="203" spans="1:8" s="210" customFormat="1" x14ac:dyDescent="0.3">
      <c r="A203" s="447">
        <f t="shared" si="69"/>
        <v>120</v>
      </c>
      <c r="B203" s="209" t="s">
        <v>590</v>
      </c>
      <c r="C203" s="447" t="s">
        <v>220</v>
      </c>
      <c r="D203" s="463">
        <f>H203+7</f>
        <v>7</v>
      </c>
      <c r="E203" s="458">
        <v>1019.41707</v>
      </c>
      <c r="F203" s="451">
        <f t="shared" si="67"/>
        <v>7135.92</v>
      </c>
      <c r="G203" s="451">
        <f t="shared" si="68"/>
        <v>8563.1</v>
      </c>
      <c r="H203" s="210">
        <f>'исключение-свод'!B2*2</f>
        <v>0</v>
      </c>
    </row>
    <row r="204" spans="1:8" s="210" customFormat="1" x14ac:dyDescent="0.3">
      <c r="A204" s="447">
        <f t="shared" si="69"/>
        <v>121</v>
      </c>
      <c r="B204" s="209" t="s">
        <v>591</v>
      </c>
      <c r="C204" s="447" t="s">
        <v>220</v>
      </c>
      <c r="D204" s="463">
        <f>H204+7</f>
        <v>7</v>
      </c>
      <c r="E204" s="458">
        <v>1871.2940400000005</v>
      </c>
      <c r="F204" s="451">
        <f t="shared" si="67"/>
        <v>13099.06</v>
      </c>
      <c r="G204" s="451">
        <f t="shared" si="68"/>
        <v>15718.87</v>
      </c>
      <c r="H204" s="210">
        <f>'исключение-свод'!B2*2</f>
        <v>0</v>
      </c>
    </row>
    <row r="205" spans="1:8" s="210" customFormat="1" x14ac:dyDescent="0.3">
      <c r="A205" s="447">
        <f t="shared" si="69"/>
        <v>122</v>
      </c>
      <c r="B205" s="209" t="s">
        <v>592</v>
      </c>
      <c r="C205" s="447" t="s">
        <v>220</v>
      </c>
      <c r="D205" s="463">
        <f>H205+7</f>
        <v>7</v>
      </c>
      <c r="E205" s="458">
        <v>19563.528600000005</v>
      </c>
      <c r="F205" s="451">
        <f t="shared" si="67"/>
        <v>136944.70000000001</v>
      </c>
      <c r="G205" s="451">
        <f t="shared" si="68"/>
        <v>164333.64000000001</v>
      </c>
      <c r="H205" s="210">
        <f>'исключение-свод'!B2*2</f>
        <v>0</v>
      </c>
    </row>
    <row r="206" spans="1:8" s="210" customFormat="1" x14ac:dyDescent="0.3">
      <c r="A206" s="447">
        <f t="shared" si="69"/>
        <v>123</v>
      </c>
      <c r="B206" s="209" t="s">
        <v>593</v>
      </c>
      <c r="C206" s="447" t="s">
        <v>254</v>
      </c>
      <c r="D206" s="463">
        <f>H206+136.5</f>
        <v>136.5</v>
      </c>
      <c r="E206" s="458">
        <v>904.71654000000001</v>
      </c>
      <c r="F206" s="451">
        <f t="shared" si="67"/>
        <v>123493.81</v>
      </c>
      <c r="G206" s="451">
        <f t="shared" si="68"/>
        <v>148192.57</v>
      </c>
      <c r="H206" s="210">
        <f>'исключение-свод'!B2*(134.5/9*2)</f>
        <v>0</v>
      </c>
    </row>
    <row r="207" spans="1:8" s="210" customFormat="1" x14ac:dyDescent="0.3">
      <c r="A207" s="447">
        <f t="shared" si="69"/>
        <v>124</v>
      </c>
      <c r="B207" s="209" t="s">
        <v>594</v>
      </c>
      <c r="C207" s="447" t="s">
        <v>387</v>
      </c>
      <c r="D207" s="462">
        <f>H207+19.23*20/16</f>
        <v>24.037500000000001</v>
      </c>
      <c r="E207" s="458">
        <v>322.1925</v>
      </c>
      <c r="F207" s="451">
        <f t="shared" si="67"/>
        <v>7744.7</v>
      </c>
      <c r="G207" s="451">
        <f t="shared" si="68"/>
        <v>9293.64</v>
      </c>
      <c r="H207" s="210">
        <f>'исключение-свод'!B2*(24.04/9*2)</f>
        <v>0</v>
      </c>
    </row>
    <row r="208" spans="1:8" s="210" customFormat="1" x14ac:dyDescent="0.3">
      <c r="A208" s="447">
        <f t="shared" si="69"/>
        <v>125</v>
      </c>
      <c r="B208" s="209" t="s">
        <v>595</v>
      </c>
      <c r="C208" s="447" t="s">
        <v>254</v>
      </c>
      <c r="D208" s="463">
        <f>H208+109.9</f>
        <v>109.9</v>
      </c>
      <c r="E208" s="458">
        <v>402.09624000000002</v>
      </c>
      <c r="F208" s="451">
        <f t="shared" si="67"/>
        <v>44190.38</v>
      </c>
      <c r="G208" s="451">
        <f t="shared" si="68"/>
        <v>53028.46</v>
      </c>
      <c r="H208" s="210">
        <f>'исключение-свод'!B2*(109.9/9*2)</f>
        <v>0</v>
      </c>
    </row>
    <row r="209" spans="1:8" s="210" customFormat="1" ht="27.6" x14ac:dyDescent="0.3">
      <c r="A209" s="447">
        <f t="shared" si="69"/>
        <v>126</v>
      </c>
      <c r="B209" s="209" t="s">
        <v>609</v>
      </c>
      <c r="C209" s="447" t="s">
        <v>220</v>
      </c>
      <c r="D209" s="249">
        <f>H209+9</f>
        <v>9</v>
      </c>
      <c r="E209" s="458">
        <v>1927.9999200000002</v>
      </c>
      <c r="F209" s="451">
        <f t="shared" si="67"/>
        <v>17352</v>
      </c>
      <c r="G209" s="451">
        <f t="shared" si="68"/>
        <v>20822.400000000001</v>
      </c>
      <c r="H209" s="210">
        <f>'исключение-свод'!B2*4</f>
        <v>0</v>
      </c>
    </row>
    <row r="210" spans="1:8" ht="27.6" x14ac:dyDescent="0.3">
      <c r="A210" s="66">
        <f t="shared" si="69"/>
        <v>127</v>
      </c>
      <c r="B210" s="67" t="s">
        <v>596</v>
      </c>
      <c r="C210" s="66" t="s">
        <v>220</v>
      </c>
      <c r="D210" s="71">
        <v>16</v>
      </c>
      <c r="E210" s="97">
        <v>4394.7057000000004</v>
      </c>
      <c r="F210" s="102">
        <f t="shared" si="67"/>
        <v>70315.289999999994</v>
      </c>
      <c r="G210" s="102">
        <f t="shared" si="68"/>
        <v>84378.35</v>
      </c>
      <c r="H210" s="210"/>
    </row>
    <row r="211" spans="1:8" s="210" customFormat="1" ht="15.75" customHeight="1" x14ac:dyDescent="0.3">
      <c r="A211" s="430">
        <f t="shared" si="69"/>
        <v>128</v>
      </c>
      <c r="B211" s="436" t="s">
        <v>755</v>
      </c>
      <c r="C211" s="430" t="s">
        <v>193</v>
      </c>
      <c r="D211" s="439">
        <f>H211+3.1</f>
        <v>3.1</v>
      </c>
      <c r="E211" s="458">
        <v>4961.7645000000002</v>
      </c>
      <c r="F211" s="438">
        <f t="shared" si="67"/>
        <v>15381.47</v>
      </c>
      <c r="G211" s="438">
        <f t="shared" si="68"/>
        <v>18457.759999999998</v>
      </c>
      <c r="H211" s="210">
        <f>'исключение-свод'!B2*3.1/9*2</f>
        <v>0</v>
      </c>
    </row>
    <row r="212" spans="1:8" s="57" customFormat="1" ht="15.75" customHeight="1" x14ac:dyDescent="0.3">
      <c r="A212" s="87">
        <f t="shared" si="69"/>
        <v>129</v>
      </c>
      <c r="B212" s="244" t="s">
        <v>1148</v>
      </c>
      <c r="C212" s="87" t="s">
        <v>220</v>
      </c>
      <c r="D212" s="153">
        <v>1</v>
      </c>
      <c r="E212" s="97">
        <v>3737.433</v>
      </c>
      <c r="F212" s="103">
        <f t="shared" si="67"/>
        <v>3737.43</v>
      </c>
      <c r="G212" s="103">
        <f t="shared" ref="G212:G215" si="70">ROUND(F212*1.2,2)</f>
        <v>4484.92</v>
      </c>
    </row>
    <row r="213" spans="1:8" s="57" customFormat="1" ht="15.75" customHeight="1" x14ac:dyDescent="0.3">
      <c r="A213" s="87">
        <f t="shared" si="69"/>
        <v>130</v>
      </c>
      <c r="B213" s="244" t="s">
        <v>1149</v>
      </c>
      <c r="C213" s="87" t="s">
        <v>220</v>
      </c>
      <c r="D213" s="153">
        <v>1</v>
      </c>
      <c r="E213" s="97">
        <v>28352.94</v>
      </c>
      <c r="F213" s="103">
        <f t="shared" si="67"/>
        <v>28352.94</v>
      </c>
      <c r="G213" s="103">
        <f t="shared" si="70"/>
        <v>34023.53</v>
      </c>
    </row>
    <row r="214" spans="1:8" s="57" customFormat="1" ht="15.75" customHeight="1" x14ac:dyDescent="0.3">
      <c r="A214" s="87">
        <f t="shared" si="69"/>
        <v>131</v>
      </c>
      <c r="B214" s="244" t="s">
        <v>1150</v>
      </c>
      <c r="C214" s="87" t="s">
        <v>220</v>
      </c>
      <c r="D214" s="153">
        <v>1</v>
      </c>
      <c r="E214" s="97">
        <v>6495.4008000000003</v>
      </c>
      <c r="F214" s="103">
        <f t="shared" si="67"/>
        <v>6495.4</v>
      </c>
      <c r="G214" s="103">
        <f t="shared" si="70"/>
        <v>7794.48</v>
      </c>
    </row>
    <row r="215" spans="1:8" s="57" customFormat="1" ht="15.75" customHeight="1" x14ac:dyDescent="0.3">
      <c r="A215" s="87">
        <f t="shared" si="69"/>
        <v>132</v>
      </c>
      <c r="B215" s="244" t="s">
        <v>1205</v>
      </c>
      <c r="C215" s="87" t="s">
        <v>220</v>
      </c>
      <c r="D215" s="153">
        <v>1</v>
      </c>
      <c r="E215" s="97">
        <v>1675.4010000000003</v>
      </c>
      <c r="F215" s="103">
        <f t="shared" si="67"/>
        <v>1675.4</v>
      </c>
      <c r="G215" s="103">
        <f t="shared" si="70"/>
        <v>2010.48</v>
      </c>
    </row>
    <row r="216" spans="1:8" x14ac:dyDescent="0.3">
      <c r="A216" s="154"/>
      <c r="B216" s="478" t="s">
        <v>610</v>
      </c>
      <c r="C216" s="479"/>
      <c r="D216" s="479"/>
      <c r="E216" s="341"/>
      <c r="F216" s="157"/>
      <c r="G216" s="126"/>
    </row>
    <row r="217" spans="1:8" x14ac:dyDescent="0.3">
      <c r="A217" s="66"/>
      <c r="B217" s="62" t="s">
        <v>683</v>
      </c>
      <c r="C217" s="66"/>
      <c r="D217" s="71"/>
      <c r="E217" s="97">
        <v>0</v>
      </c>
      <c r="F217" s="151"/>
      <c r="G217" s="125"/>
    </row>
    <row r="218" spans="1:8" s="57" customFormat="1" x14ac:dyDescent="0.3">
      <c r="A218" s="87">
        <f>A215+1</f>
        <v>133</v>
      </c>
      <c r="B218" s="244" t="s">
        <v>1227</v>
      </c>
      <c r="C218" s="87" t="s">
        <v>193</v>
      </c>
      <c r="D218" s="153">
        <v>104</v>
      </c>
      <c r="E218" s="97">
        <v>1546.5240000000001</v>
      </c>
      <c r="F218" s="103">
        <f>ROUND(E218*D218,2)</f>
        <v>160838.5</v>
      </c>
      <c r="G218" s="103">
        <f t="shared" ref="G218" si="71">ROUND(F218*1.2,2)</f>
        <v>193006.2</v>
      </c>
    </row>
    <row r="219" spans="1:8" x14ac:dyDescent="0.3">
      <c r="A219" s="66"/>
      <c r="B219" s="62" t="s">
        <v>611</v>
      </c>
      <c r="C219" s="66"/>
      <c r="D219" s="71"/>
      <c r="E219" s="97">
        <v>0</v>
      </c>
      <c r="F219" s="151"/>
      <c r="G219" s="125"/>
    </row>
    <row r="220" spans="1:8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7">
        <v>8789.4114000000009</v>
      </c>
      <c r="F220" s="102">
        <f>ROUND(E220*D220,2)</f>
        <v>1432674.06</v>
      </c>
      <c r="G220" s="102">
        <f t="shared" ref="G220:G222" si="72">ROUND(F220*1.2,2)</f>
        <v>1719208.87</v>
      </c>
    </row>
    <row r="221" spans="1:8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7">
        <v>15877.646400000003</v>
      </c>
      <c r="F221" s="102">
        <f>ROUND(E221*D221,2)</f>
        <v>2588056.36</v>
      </c>
      <c r="G221" s="102">
        <f t="shared" si="72"/>
        <v>3105667.63</v>
      </c>
    </row>
    <row r="222" spans="1:8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7">
        <v>1763.03736</v>
      </c>
      <c r="F222" s="102">
        <f>ROUND(E222*D222,2)</f>
        <v>28332.01</v>
      </c>
      <c r="G222" s="102">
        <f t="shared" si="72"/>
        <v>33998.410000000003</v>
      </c>
    </row>
    <row r="223" spans="1:8" x14ac:dyDescent="0.3">
      <c r="A223" s="66"/>
      <c r="B223" s="62" t="s">
        <v>1209</v>
      </c>
      <c r="C223" s="66"/>
      <c r="D223" s="71"/>
      <c r="E223" s="97">
        <v>0</v>
      </c>
      <c r="F223" s="151"/>
      <c r="G223" s="125"/>
    </row>
    <row r="224" spans="1:8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7">
        <v>5978.6040300000004</v>
      </c>
      <c r="F224" s="102">
        <f t="shared" ref="F224:F229" si="73">ROUND(E224*D224,2)</f>
        <v>3374067.03</v>
      </c>
      <c r="G224" s="102">
        <f t="shared" ref="G224:G228" si="74">ROUND(F224*1.2,2)</f>
        <v>4048880.44</v>
      </c>
    </row>
    <row r="225" spans="1:7" ht="27.6" x14ac:dyDescent="0.3">
      <c r="A225" s="66">
        <f t="shared" ref="A225:A229" si="75">A224+1</f>
        <v>138</v>
      </c>
      <c r="B225" s="67" t="s">
        <v>616</v>
      </c>
      <c r="C225" s="66" t="s">
        <v>193</v>
      </c>
      <c r="D225" s="68">
        <v>499</v>
      </c>
      <c r="E225" s="97">
        <v>5706.6735599999993</v>
      </c>
      <c r="F225" s="102">
        <f t="shared" si="73"/>
        <v>2847630.11</v>
      </c>
      <c r="G225" s="102">
        <f t="shared" si="74"/>
        <v>3417156.13</v>
      </c>
    </row>
    <row r="226" spans="1:7" x14ac:dyDescent="0.3">
      <c r="A226" s="66">
        <f t="shared" si="75"/>
        <v>139</v>
      </c>
      <c r="B226" s="67" t="s">
        <v>617</v>
      </c>
      <c r="C226" s="66" t="s">
        <v>193</v>
      </c>
      <c r="D226" s="68">
        <v>935.63</v>
      </c>
      <c r="E226" s="97">
        <v>5162.8126200000006</v>
      </c>
      <c r="F226" s="102">
        <f t="shared" si="73"/>
        <v>4830482.37</v>
      </c>
      <c r="G226" s="102">
        <f t="shared" si="74"/>
        <v>5796578.8399999999</v>
      </c>
    </row>
    <row r="227" spans="1:7" x14ac:dyDescent="0.3">
      <c r="A227" s="66">
        <f t="shared" si="75"/>
        <v>140</v>
      </c>
      <c r="B227" s="67" t="s">
        <v>618</v>
      </c>
      <c r="C227" s="66" t="s">
        <v>193</v>
      </c>
      <c r="D227" s="68">
        <v>1960.36</v>
      </c>
      <c r="E227" s="97">
        <v>2038.8341399999999</v>
      </c>
      <c r="F227" s="102">
        <f t="shared" si="73"/>
        <v>3996848.89</v>
      </c>
      <c r="G227" s="102">
        <f t="shared" si="74"/>
        <v>4796218.67</v>
      </c>
    </row>
    <row r="228" spans="1:7" ht="29.25" customHeight="1" x14ac:dyDescent="0.3">
      <c r="A228" s="66">
        <f t="shared" si="75"/>
        <v>141</v>
      </c>
      <c r="B228" s="67" t="s">
        <v>619</v>
      </c>
      <c r="C228" s="66" t="s">
        <v>193</v>
      </c>
      <c r="D228" s="68">
        <v>1960.36</v>
      </c>
      <c r="E228" s="97">
        <v>2038.8341399999999</v>
      </c>
      <c r="F228" s="102">
        <f t="shared" si="73"/>
        <v>3996848.89</v>
      </c>
      <c r="G228" s="102">
        <f t="shared" si="74"/>
        <v>4796218.67</v>
      </c>
    </row>
    <row r="229" spans="1:7" s="57" customFormat="1" ht="20.25" customHeight="1" x14ac:dyDescent="0.3">
      <c r="A229" s="87">
        <f t="shared" si="75"/>
        <v>142</v>
      </c>
      <c r="B229" s="265" t="s">
        <v>1228</v>
      </c>
      <c r="C229" s="87" t="s">
        <v>220</v>
      </c>
      <c r="D229" s="153">
        <v>144</v>
      </c>
      <c r="E229" s="97">
        <v>335.08019999999999</v>
      </c>
      <c r="F229" s="103">
        <f t="shared" si="73"/>
        <v>48251.55</v>
      </c>
      <c r="G229" s="103">
        <f t="shared" ref="G229" si="76">ROUND(F229*1.2,2)</f>
        <v>57901.86</v>
      </c>
    </row>
    <row r="230" spans="1:7" ht="19.5" customHeight="1" x14ac:dyDescent="0.3">
      <c r="A230" s="248"/>
      <c r="B230" s="62" t="s">
        <v>1217</v>
      </c>
      <c r="C230" s="66"/>
      <c r="D230" s="68"/>
      <c r="E230" s="97">
        <v>0</v>
      </c>
      <c r="F230" s="102"/>
      <c r="G230" s="102"/>
    </row>
    <row r="231" spans="1:7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7">
        <v>5162.8126200000006</v>
      </c>
      <c r="F231" s="102">
        <f>ROUND(E231*D231,2)</f>
        <v>2919209.14</v>
      </c>
      <c r="G231" s="102">
        <f t="shared" ref="G231" si="77">ROUND(F231*1.2,2)</f>
        <v>3503050.97</v>
      </c>
    </row>
    <row r="232" spans="1:7" ht="19.5" customHeight="1" x14ac:dyDescent="0.3">
      <c r="A232" s="66"/>
      <c r="B232" s="62" t="s">
        <v>1219</v>
      </c>
      <c r="C232" s="66"/>
      <c r="D232" s="68"/>
      <c r="E232" s="97">
        <v>0</v>
      </c>
      <c r="F232" s="102"/>
      <c r="G232" s="102"/>
    </row>
    <row r="233" spans="1:7" s="57" customFormat="1" ht="17.25" customHeight="1" x14ac:dyDescent="0.3">
      <c r="A233" s="87">
        <f>A231+1</f>
        <v>144</v>
      </c>
      <c r="B233" s="244" t="s">
        <v>1220</v>
      </c>
      <c r="C233" s="87" t="s">
        <v>220</v>
      </c>
      <c r="D233" s="153">
        <v>22</v>
      </c>
      <c r="E233" s="97">
        <v>19728.491160000001</v>
      </c>
      <c r="F233" s="103">
        <f>ROUND(E233*D233,2)</f>
        <v>434026.81</v>
      </c>
      <c r="G233" s="103">
        <f t="shared" ref="G233:G237" si="78">ROUND(F233*1.2,2)</f>
        <v>520832.17</v>
      </c>
    </row>
    <row r="234" spans="1:7" s="57" customFormat="1" ht="17.25" customHeight="1" x14ac:dyDescent="0.3">
      <c r="A234" s="87">
        <f>A233+1</f>
        <v>145</v>
      </c>
      <c r="B234" s="244" t="s">
        <v>1221</v>
      </c>
      <c r="C234" s="87" t="s">
        <v>220</v>
      </c>
      <c r="D234" s="153">
        <v>44</v>
      </c>
      <c r="E234" s="97">
        <v>7732.62</v>
      </c>
      <c r="F234" s="103">
        <f>ROUND(E234*D234,2)</f>
        <v>340235.28</v>
      </c>
      <c r="G234" s="103">
        <f t="shared" si="78"/>
        <v>408282.34</v>
      </c>
    </row>
    <row r="235" spans="1:7" s="57" customFormat="1" ht="17.25" customHeight="1" x14ac:dyDescent="0.3">
      <c r="A235" s="87">
        <f t="shared" ref="A235:A237" si="79">A234+1</f>
        <v>146</v>
      </c>
      <c r="B235" s="244" t="s">
        <v>1222</v>
      </c>
      <c r="C235" s="87" t="s">
        <v>220</v>
      </c>
      <c r="D235" s="153">
        <v>22</v>
      </c>
      <c r="E235" s="97">
        <v>502.62030000000004</v>
      </c>
      <c r="F235" s="103">
        <f>ROUND(E235*D235,2)</f>
        <v>11057.65</v>
      </c>
      <c r="G235" s="103">
        <f t="shared" si="78"/>
        <v>13269.18</v>
      </c>
    </row>
    <row r="236" spans="1:7" s="57" customFormat="1" ht="17.25" customHeight="1" x14ac:dyDescent="0.3">
      <c r="A236" s="87">
        <f t="shared" si="79"/>
        <v>147</v>
      </c>
      <c r="B236" s="244" t="s">
        <v>1223</v>
      </c>
      <c r="C236" s="87" t="s">
        <v>220</v>
      </c>
      <c r="D236" s="153">
        <v>44</v>
      </c>
      <c r="E236" s="97">
        <v>3093.0480000000002</v>
      </c>
      <c r="F236" s="103">
        <f>ROUND(E236*D236,2)</f>
        <v>136094.10999999999</v>
      </c>
      <c r="G236" s="103">
        <f t="shared" si="78"/>
        <v>163312.93</v>
      </c>
    </row>
    <row r="237" spans="1:7" s="57" customFormat="1" ht="17.25" customHeight="1" x14ac:dyDescent="0.3">
      <c r="A237" s="87">
        <f t="shared" si="79"/>
        <v>148</v>
      </c>
      <c r="B237" s="244" t="s">
        <v>1224</v>
      </c>
      <c r="C237" s="87" t="s">
        <v>220</v>
      </c>
      <c r="D237" s="153">
        <v>1</v>
      </c>
      <c r="E237" s="97">
        <v>5567.4864000000007</v>
      </c>
      <c r="F237" s="103">
        <f>ROUND(E237*D237,2)</f>
        <v>5567.49</v>
      </c>
      <c r="G237" s="103">
        <f t="shared" si="78"/>
        <v>6680.99</v>
      </c>
    </row>
    <row r="238" spans="1:7" ht="21.75" customHeight="1" x14ac:dyDescent="0.3">
      <c r="A238" s="66"/>
      <c r="B238" s="62" t="s">
        <v>1225</v>
      </c>
      <c r="C238" s="66"/>
      <c r="D238" s="68"/>
      <c r="E238" s="97">
        <v>0</v>
      </c>
      <c r="F238" s="102"/>
      <c r="G238" s="102"/>
    </row>
    <row r="239" spans="1:7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97">
        <v>626.34222</v>
      </c>
      <c r="F239" s="102">
        <f>ROUND(E239*D239,2)</f>
        <v>883.14</v>
      </c>
      <c r="G239" s="102">
        <f t="shared" ref="G239:G241" si="80">ROUND(F239*1.2,2)</f>
        <v>1059.77</v>
      </c>
    </row>
    <row r="240" spans="1:7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97">
        <v>835.12296000000003</v>
      </c>
      <c r="F240" s="102">
        <f>ROUND(E240*D240,2)</f>
        <v>977.09</v>
      </c>
      <c r="G240" s="102">
        <f t="shared" si="80"/>
        <v>1172.51</v>
      </c>
    </row>
    <row r="241" spans="1:7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97">
        <v>1630.2940500000002</v>
      </c>
      <c r="F241" s="102">
        <f>ROUND(E241*D241,2)</f>
        <v>1956.35</v>
      </c>
      <c r="G241" s="102">
        <f t="shared" si="80"/>
        <v>2347.62</v>
      </c>
    </row>
    <row r="242" spans="1:7" x14ac:dyDescent="0.3">
      <c r="A242" s="154"/>
      <c r="B242" s="478" t="s">
        <v>1231</v>
      </c>
      <c r="C242" s="479"/>
      <c r="D242" s="479"/>
      <c r="E242" s="341"/>
      <c r="F242" s="157"/>
      <c r="G242" s="126"/>
    </row>
    <row r="243" spans="1:7" x14ac:dyDescent="0.3">
      <c r="A243" s="66"/>
      <c r="B243" s="62" t="s">
        <v>620</v>
      </c>
      <c r="C243" s="66"/>
      <c r="D243" s="68"/>
      <c r="E243" s="97">
        <v>0</v>
      </c>
      <c r="F243" s="151"/>
      <c r="G243" s="125"/>
    </row>
    <row r="244" spans="1:7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7">
        <v>481.99998000000005</v>
      </c>
      <c r="F244" s="102">
        <f>ROUND(E244*D244,2)</f>
        <v>269919.99</v>
      </c>
      <c r="G244" s="102">
        <f t="shared" ref="G244:G247" si="81">ROUND(F244*1.2,2)</f>
        <v>323903.99</v>
      </c>
    </row>
    <row r="245" spans="1:7" s="57" customFormat="1" x14ac:dyDescent="0.3">
      <c r="A245" s="87">
        <f t="shared" ref="A245:A247" si="82">A244+1</f>
        <v>153</v>
      </c>
      <c r="B245" s="244" t="s">
        <v>1234</v>
      </c>
      <c r="C245" s="87" t="s">
        <v>220</v>
      </c>
      <c r="D245" s="153">
        <v>4</v>
      </c>
      <c r="E245" s="97">
        <v>3337.9143000000004</v>
      </c>
      <c r="F245" s="103">
        <f>ROUND(E245*D245,2)</f>
        <v>13351.66</v>
      </c>
      <c r="G245" s="103">
        <f t="shared" si="81"/>
        <v>16021.99</v>
      </c>
    </row>
    <row r="246" spans="1:7" x14ac:dyDescent="0.3">
      <c r="A246" s="66">
        <f t="shared" si="82"/>
        <v>154</v>
      </c>
      <c r="B246" s="67" t="s">
        <v>622</v>
      </c>
      <c r="C246" s="66" t="s">
        <v>220</v>
      </c>
      <c r="D246" s="71">
        <v>480</v>
      </c>
      <c r="E246" s="97">
        <v>32.219250000000002</v>
      </c>
      <c r="F246" s="102">
        <f>ROUND(E246*D246,2)</f>
        <v>15465.24</v>
      </c>
      <c r="G246" s="102">
        <f t="shared" si="81"/>
        <v>18558.29</v>
      </c>
    </row>
    <row r="247" spans="1:7" x14ac:dyDescent="0.3">
      <c r="A247" s="66">
        <f t="shared" si="82"/>
        <v>155</v>
      </c>
      <c r="B247" s="67" t="s">
        <v>819</v>
      </c>
      <c r="C247" s="66" t="s">
        <v>220</v>
      </c>
      <c r="D247" s="82" t="s">
        <v>757</v>
      </c>
      <c r="E247" s="97">
        <v>10348.823100000001</v>
      </c>
      <c r="F247" s="102">
        <f>ROUND(E247*D247,2)</f>
        <v>10348.82</v>
      </c>
      <c r="G247" s="102">
        <f t="shared" si="81"/>
        <v>12418.58</v>
      </c>
    </row>
    <row r="248" spans="1:7" x14ac:dyDescent="0.3">
      <c r="A248" s="154"/>
      <c r="B248" s="478" t="s">
        <v>1232</v>
      </c>
      <c r="C248" s="479"/>
      <c r="D248" s="479"/>
      <c r="E248" s="341"/>
      <c r="F248" s="157"/>
      <c r="G248" s="126"/>
    </row>
    <row r="249" spans="1:7" x14ac:dyDescent="0.3">
      <c r="A249" s="66"/>
      <c r="B249" s="62" t="s">
        <v>627</v>
      </c>
      <c r="C249" s="66"/>
      <c r="D249" s="68"/>
      <c r="E249" s="97">
        <v>0</v>
      </c>
      <c r="F249" s="151"/>
      <c r="G249" s="125"/>
    </row>
    <row r="250" spans="1:7" s="57" customFormat="1" x14ac:dyDescent="0.3">
      <c r="A250" s="87">
        <f>A247+1</f>
        <v>156</v>
      </c>
      <c r="B250" s="244" t="s">
        <v>628</v>
      </c>
      <c r="C250" s="87" t="s">
        <v>194</v>
      </c>
      <c r="D250" s="153">
        <v>300</v>
      </c>
      <c r="E250" s="97">
        <v>1219.1764200000002</v>
      </c>
      <c r="F250" s="103">
        <f t="shared" ref="F250:F255" si="83">ROUND(E250*D250,2)</f>
        <v>365752.93</v>
      </c>
      <c r="G250" s="103">
        <f t="shared" ref="G250:G255" si="84">ROUND(F250*1.2,2)</f>
        <v>438903.52</v>
      </c>
    </row>
    <row r="251" spans="1:7" s="57" customFormat="1" x14ac:dyDescent="0.3">
      <c r="A251" s="87">
        <f t="shared" ref="A251:A252" si="85">A250+1</f>
        <v>157</v>
      </c>
      <c r="B251" s="244" t="s">
        <v>629</v>
      </c>
      <c r="C251" s="87" t="s">
        <v>220</v>
      </c>
      <c r="D251" s="153">
        <v>12</v>
      </c>
      <c r="E251" s="97">
        <v>9639.999600000001</v>
      </c>
      <c r="F251" s="103">
        <f t="shared" si="83"/>
        <v>115680</v>
      </c>
      <c r="G251" s="103">
        <f t="shared" si="84"/>
        <v>138816</v>
      </c>
    </row>
    <row r="252" spans="1:7" s="57" customFormat="1" x14ac:dyDescent="0.3">
      <c r="A252" s="87">
        <f t="shared" si="85"/>
        <v>158</v>
      </c>
      <c r="B252" s="244" t="s">
        <v>630</v>
      </c>
      <c r="C252" s="87" t="s">
        <v>194</v>
      </c>
      <c r="D252" s="153">
        <v>180</v>
      </c>
      <c r="E252" s="97">
        <v>510.3529200000001</v>
      </c>
      <c r="F252" s="103">
        <f t="shared" si="83"/>
        <v>91863.53</v>
      </c>
      <c r="G252" s="103">
        <f t="shared" si="84"/>
        <v>110236.24</v>
      </c>
    </row>
    <row r="253" spans="1:7" s="57" customFormat="1" x14ac:dyDescent="0.3">
      <c r="A253" s="87">
        <f>A251+1</f>
        <v>158</v>
      </c>
      <c r="B253" s="244" t="s">
        <v>234</v>
      </c>
      <c r="C253" s="87" t="s">
        <v>193</v>
      </c>
      <c r="D253" s="228">
        <v>16.7</v>
      </c>
      <c r="E253" s="97">
        <v>1701.1764000000003</v>
      </c>
      <c r="F253" s="103">
        <f t="shared" si="83"/>
        <v>28409.65</v>
      </c>
      <c r="G253" s="103">
        <f t="shared" si="84"/>
        <v>34091.58</v>
      </c>
    </row>
    <row r="254" spans="1:7" s="57" customFormat="1" x14ac:dyDescent="0.3">
      <c r="A254" s="87">
        <f t="shared" ref="A254" si="86">A253+1</f>
        <v>159</v>
      </c>
      <c r="B254" s="244" t="s">
        <v>819</v>
      </c>
      <c r="C254" s="87" t="s">
        <v>220</v>
      </c>
      <c r="D254" s="238" t="s">
        <v>757</v>
      </c>
      <c r="E254" s="97">
        <v>10348.823100000001</v>
      </c>
      <c r="F254" s="103">
        <f t="shared" si="83"/>
        <v>10348.82</v>
      </c>
      <c r="G254" s="103">
        <f t="shared" si="84"/>
        <v>12418.58</v>
      </c>
    </row>
    <row r="255" spans="1:7" s="57" customFormat="1" x14ac:dyDescent="0.3">
      <c r="A255" s="87">
        <f>A254+1</f>
        <v>160</v>
      </c>
      <c r="B255" s="244" t="s">
        <v>1242</v>
      </c>
      <c r="C255" s="87" t="s">
        <v>194</v>
      </c>
      <c r="D255" s="153">
        <v>60</v>
      </c>
      <c r="E255" s="97">
        <v>24.873261000000003</v>
      </c>
      <c r="F255" s="103">
        <f t="shared" si="83"/>
        <v>1492.4</v>
      </c>
      <c r="G255" s="103">
        <f t="shared" si="84"/>
        <v>1790.88</v>
      </c>
    </row>
    <row r="256" spans="1:7" s="57" customFormat="1" x14ac:dyDescent="0.3">
      <c r="A256" s="87"/>
      <c r="B256" s="85" t="s">
        <v>631</v>
      </c>
      <c r="C256" s="87"/>
      <c r="D256" s="153"/>
      <c r="E256" s="97">
        <v>0</v>
      </c>
      <c r="F256" s="305"/>
      <c r="G256" s="306"/>
    </row>
    <row r="257" spans="1:7" s="57" customFormat="1" x14ac:dyDescent="0.3">
      <c r="A257" s="87">
        <f>A252+1</f>
        <v>159</v>
      </c>
      <c r="B257" s="244" t="s">
        <v>632</v>
      </c>
      <c r="C257" s="87" t="s">
        <v>194</v>
      </c>
      <c r="D257" s="153">
        <v>80</v>
      </c>
      <c r="E257" s="97">
        <v>1403.4705300000001</v>
      </c>
      <c r="F257" s="103">
        <f t="shared" ref="F257:F262" si="87">ROUND(E257*D257,2)</f>
        <v>112277.64</v>
      </c>
      <c r="G257" s="103">
        <f>ROUND(F257*1.2,2)</f>
        <v>134733.17000000001</v>
      </c>
    </row>
    <row r="258" spans="1:7" s="57" customFormat="1" x14ac:dyDescent="0.3">
      <c r="A258" s="87">
        <f>A257+1</f>
        <v>160</v>
      </c>
      <c r="B258" s="244" t="s">
        <v>629</v>
      </c>
      <c r="C258" s="87" t="s">
        <v>220</v>
      </c>
      <c r="D258" s="153">
        <v>4</v>
      </c>
      <c r="E258" s="97">
        <v>9639.999600000001</v>
      </c>
      <c r="F258" s="103">
        <f t="shared" si="87"/>
        <v>38560</v>
      </c>
      <c r="G258" s="103">
        <f t="shared" ref="G258:G262" si="88">ROUND(F258*1.2,2)</f>
        <v>46272</v>
      </c>
    </row>
    <row r="259" spans="1:7" s="57" customFormat="1" x14ac:dyDescent="0.3">
      <c r="A259" s="87">
        <f>A258+1</f>
        <v>161</v>
      </c>
      <c r="B259" s="244" t="s">
        <v>630</v>
      </c>
      <c r="C259" s="87" t="s">
        <v>194</v>
      </c>
      <c r="D259" s="153">
        <v>60</v>
      </c>
      <c r="E259" s="97">
        <v>510.3529200000001</v>
      </c>
      <c r="F259" s="103">
        <f t="shared" si="87"/>
        <v>30621.18</v>
      </c>
      <c r="G259" s="103">
        <f t="shared" si="88"/>
        <v>36745.42</v>
      </c>
    </row>
    <row r="260" spans="1:7" s="57" customFormat="1" x14ac:dyDescent="0.3">
      <c r="A260" s="87">
        <f>A258+1</f>
        <v>161</v>
      </c>
      <c r="B260" s="244" t="s">
        <v>234</v>
      </c>
      <c r="C260" s="87" t="s">
        <v>193</v>
      </c>
      <c r="D260" s="228">
        <v>5.6</v>
      </c>
      <c r="E260" s="97">
        <v>1701.1764000000003</v>
      </c>
      <c r="F260" s="103">
        <f t="shared" si="87"/>
        <v>9526.59</v>
      </c>
      <c r="G260" s="103">
        <f t="shared" si="88"/>
        <v>11431.91</v>
      </c>
    </row>
    <row r="261" spans="1:7" s="57" customFormat="1" x14ac:dyDescent="0.3">
      <c r="A261" s="87">
        <f t="shared" ref="A261" si="89">A260+1</f>
        <v>162</v>
      </c>
      <c r="B261" s="244" t="s">
        <v>819</v>
      </c>
      <c r="C261" s="87" t="s">
        <v>220</v>
      </c>
      <c r="D261" s="238" t="s">
        <v>757</v>
      </c>
      <c r="E261" s="97">
        <v>10348.823100000001</v>
      </c>
      <c r="F261" s="103">
        <f t="shared" si="87"/>
        <v>10348.82</v>
      </c>
      <c r="G261" s="103">
        <f t="shared" si="88"/>
        <v>12418.58</v>
      </c>
    </row>
    <row r="262" spans="1:7" s="57" customFormat="1" x14ac:dyDescent="0.3">
      <c r="A262" s="87">
        <f>A261+1</f>
        <v>163</v>
      </c>
      <c r="B262" s="244" t="s">
        <v>1242</v>
      </c>
      <c r="C262" s="87" t="s">
        <v>194</v>
      </c>
      <c r="D262" s="153">
        <v>30</v>
      </c>
      <c r="E262" s="97">
        <v>24.873261000000003</v>
      </c>
      <c r="F262" s="103">
        <f t="shared" si="87"/>
        <v>746.2</v>
      </c>
      <c r="G262" s="103">
        <f t="shared" si="88"/>
        <v>895.44</v>
      </c>
    </row>
    <row r="263" spans="1:7" x14ac:dyDescent="0.3">
      <c r="A263" s="66"/>
      <c r="B263" s="62" t="s">
        <v>623</v>
      </c>
      <c r="C263" s="66"/>
      <c r="D263" s="71"/>
      <c r="E263" s="97">
        <v>0</v>
      </c>
      <c r="F263" s="151"/>
      <c r="G263" s="125"/>
    </row>
    <row r="264" spans="1:7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7">
        <v>1176.6470100000001</v>
      </c>
      <c r="F264" s="102">
        <f t="shared" ref="F264:F269" si="90">ROUND(E264*D264,2)</f>
        <v>188263.52</v>
      </c>
      <c r="G264" s="102">
        <f t="shared" ref="G264:G269" si="91">ROUND(F264*1.2,2)</f>
        <v>225916.22</v>
      </c>
    </row>
    <row r="265" spans="1:7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7">
        <v>9639.999600000001</v>
      </c>
      <c r="F265" s="102">
        <f t="shared" si="90"/>
        <v>154239.99</v>
      </c>
      <c r="G265" s="102">
        <f t="shared" si="91"/>
        <v>185087.99</v>
      </c>
    </row>
    <row r="266" spans="1:7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7">
        <v>510.3529200000001</v>
      </c>
      <c r="F266" s="102">
        <f t="shared" si="90"/>
        <v>81656.47</v>
      </c>
      <c r="G266" s="102">
        <f t="shared" si="91"/>
        <v>97987.76</v>
      </c>
    </row>
    <row r="267" spans="1:7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7">
        <v>1701.1764000000003</v>
      </c>
      <c r="F267" s="102">
        <f t="shared" si="90"/>
        <v>25517.65</v>
      </c>
      <c r="G267" s="102">
        <f t="shared" si="91"/>
        <v>30621.18</v>
      </c>
    </row>
    <row r="268" spans="1:7" x14ac:dyDescent="0.3">
      <c r="A268" s="66">
        <f t="shared" ref="A268" si="92">A267+1</f>
        <v>165</v>
      </c>
      <c r="B268" s="67" t="s">
        <v>819</v>
      </c>
      <c r="C268" s="66" t="s">
        <v>220</v>
      </c>
      <c r="D268" s="82" t="s">
        <v>757</v>
      </c>
      <c r="E268" s="97">
        <v>10348.823100000001</v>
      </c>
      <c r="F268" s="102">
        <f t="shared" si="90"/>
        <v>10348.82</v>
      </c>
      <c r="G268" s="102">
        <f t="shared" si="91"/>
        <v>12418.58</v>
      </c>
    </row>
    <row r="269" spans="1:7" x14ac:dyDescent="0.3">
      <c r="A269" s="87">
        <f>A268+1</f>
        <v>166</v>
      </c>
      <c r="B269" s="244" t="s">
        <v>1242</v>
      </c>
      <c r="C269" s="87" t="s">
        <v>194</v>
      </c>
      <c r="D269" s="153">
        <v>60</v>
      </c>
      <c r="E269" s="97">
        <v>24.873261000000003</v>
      </c>
      <c r="F269" s="103">
        <f t="shared" si="90"/>
        <v>1492.4</v>
      </c>
      <c r="G269" s="103">
        <f t="shared" si="91"/>
        <v>1790.88</v>
      </c>
    </row>
    <row r="270" spans="1:7" x14ac:dyDescent="0.3">
      <c r="A270" s="87"/>
      <c r="B270" s="85" t="s">
        <v>633</v>
      </c>
      <c r="C270" s="87"/>
      <c r="D270" s="227"/>
      <c r="E270" s="97">
        <v>0</v>
      </c>
      <c r="F270" s="305"/>
      <c r="G270" s="306"/>
    </row>
    <row r="271" spans="1:7" x14ac:dyDescent="0.3">
      <c r="A271" s="87">
        <f>A268+1</f>
        <v>166</v>
      </c>
      <c r="B271" s="244" t="s">
        <v>234</v>
      </c>
      <c r="C271" s="87" t="s">
        <v>193</v>
      </c>
      <c r="D271" s="228">
        <v>14.9</v>
      </c>
      <c r="E271" s="97">
        <v>1701.1764000000003</v>
      </c>
      <c r="F271" s="103">
        <f t="shared" ref="F271:F279" si="93">ROUND(E271*D271,2)</f>
        <v>25347.53</v>
      </c>
      <c r="G271" s="103">
        <f t="shared" ref="G271" si="94">ROUND(F271*1.2,2)</f>
        <v>30417.040000000001</v>
      </c>
    </row>
    <row r="272" spans="1:7" x14ac:dyDescent="0.3">
      <c r="A272" s="87">
        <f>A259+1</f>
        <v>162</v>
      </c>
      <c r="B272" s="244" t="s">
        <v>634</v>
      </c>
      <c r="C272" s="87" t="s">
        <v>194</v>
      </c>
      <c r="D272" s="153">
        <v>420</v>
      </c>
      <c r="E272" s="97">
        <v>935.64702000000023</v>
      </c>
      <c r="F272" s="103">
        <f t="shared" si="93"/>
        <v>392971.75</v>
      </c>
      <c r="G272" s="103">
        <f t="shared" ref="G272:G279" si="95">ROUND(F272*1.2,2)</f>
        <v>471566.1</v>
      </c>
    </row>
    <row r="273" spans="1:7" x14ac:dyDescent="0.3">
      <c r="A273" s="87">
        <f>A272+1</f>
        <v>163</v>
      </c>
      <c r="B273" s="244" t="s">
        <v>635</v>
      </c>
      <c r="C273" s="87" t="s">
        <v>220</v>
      </c>
      <c r="D273" s="153">
        <v>2</v>
      </c>
      <c r="E273" s="97">
        <v>7088.2349999999997</v>
      </c>
      <c r="F273" s="103">
        <f t="shared" si="93"/>
        <v>14176.47</v>
      </c>
      <c r="G273" s="103">
        <f t="shared" si="95"/>
        <v>17011.759999999998</v>
      </c>
    </row>
    <row r="274" spans="1:7" x14ac:dyDescent="0.3">
      <c r="A274" s="87">
        <f>A273+1</f>
        <v>164</v>
      </c>
      <c r="B274" s="244" t="s">
        <v>1241</v>
      </c>
      <c r="C274" s="87" t="s">
        <v>220</v>
      </c>
      <c r="D274" s="153">
        <v>2</v>
      </c>
      <c r="E274" s="97">
        <v>2502.7913400000002</v>
      </c>
      <c r="F274" s="103">
        <f t="shared" si="93"/>
        <v>5005.58</v>
      </c>
      <c r="G274" s="103">
        <f t="shared" ref="G274" si="96">ROUND(F274*1.2,2)</f>
        <v>6006.7</v>
      </c>
    </row>
    <row r="275" spans="1:7" x14ac:dyDescent="0.3">
      <c r="A275" s="87">
        <f>A274+1</f>
        <v>165</v>
      </c>
      <c r="B275" s="244" t="s">
        <v>1242</v>
      </c>
      <c r="C275" s="87" t="s">
        <v>194</v>
      </c>
      <c r="D275" s="153">
        <v>100</v>
      </c>
      <c r="E275" s="97">
        <v>24.873261000000003</v>
      </c>
      <c r="F275" s="103">
        <f t="shared" si="93"/>
        <v>2487.33</v>
      </c>
      <c r="G275" s="103">
        <f t="shared" ref="G275:G276" si="97">ROUND(F275*1.2,2)</f>
        <v>2984.8</v>
      </c>
    </row>
    <row r="276" spans="1:7" x14ac:dyDescent="0.3">
      <c r="A276" s="87">
        <f t="shared" ref="A276:A279" si="98">A275+1</f>
        <v>166</v>
      </c>
      <c r="B276" s="244" t="s">
        <v>819</v>
      </c>
      <c r="C276" s="87" t="s">
        <v>220</v>
      </c>
      <c r="D276" s="238" t="s">
        <v>757</v>
      </c>
      <c r="E276" s="97">
        <v>10348.823100000001</v>
      </c>
      <c r="F276" s="103">
        <f t="shared" si="93"/>
        <v>10348.82</v>
      </c>
      <c r="G276" s="103">
        <f t="shared" si="97"/>
        <v>12418.58</v>
      </c>
    </row>
    <row r="277" spans="1:7" x14ac:dyDescent="0.3">
      <c r="A277" s="87">
        <f t="shared" si="98"/>
        <v>167</v>
      </c>
      <c r="B277" s="244" t="s">
        <v>1243</v>
      </c>
      <c r="C277" s="87" t="s">
        <v>194</v>
      </c>
      <c r="D277" s="153">
        <v>160</v>
      </c>
      <c r="E277" s="97">
        <v>528.39570000000015</v>
      </c>
      <c r="F277" s="103">
        <f t="shared" si="93"/>
        <v>84543.31</v>
      </c>
      <c r="G277" s="103">
        <f t="shared" ref="G277" si="99">ROUND(F277*1.2,2)</f>
        <v>101451.97</v>
      </c>
    </row>
    <row r="278" spans="1:7" x14ac:dyDescent="0.3">
      <c r="A278" s="87">
        <f t="shared" si="98"/>
        <v>168</v>
      </c>
      <c r="B278" s="244" t="s">
        <v>1244</v>
      </c>
      <c r="C278" s="87" t="s">
        <v>220</v>
      </c>
      <c r="D278" s="153">
        <v>320</v>
      </c>
      <c r="E278" s="97">
        <v>125.01069</v>
      </c>
      <c r="F278" s="103">
        <f t="shared" si="93"/>
        <v>40003.42</v>
      </c>
      <c r="G278" s="103">
        <f t="shared" ref="G278" si="100">ROUND(F278*1.2,2)</f>
        <v>48004.1</v>
      </c>
    </row>
    <row r="279" spans="1:7" x14ac:dyDescent="0.3">
      <c r="A279" s="87">
        <f t="shared" si="98"/>
        <v>169</v>
      </c>
      <c r="B279" s="244" t="s">
        <v>630</v>
      </c>
      <c r="C279" s="87" t="s">
        <v>194</v>
      </c>
      <c r="D279" s="153">
        <v>50</v>
      </c>
      <c r="E279" s="97">
        <v>510.3529200000001</v>
      </c>
      <c r="F279" s="103">
        <f t="shared" si="93"/>
        <v>25517.65</v>
      </c>
      <c r="G279" s="103">
        <f t="shared" si="95"/>
        <v>30621.18</v>
      </c>
    </row>
    <row r="280" spans="1:7" x14ac:dyDescent="0.3">
      <c r="A280" s="159"/>
      <c r="B280" s="532" t="s">
        <v>716</v>
      </c>
      <c r="C280" s="533"/>
      <c r="D280" s="533"/>
      <c r="E280" s="534"/>
      <c r="F280" s="158">
        <f>SUM(F5:F279)</f>
        <v>55427240.580000006</v>
      </c>
      <c r="G280" s="158">
        <f>SUM(G5:G279)</f>
        <v>66512688.640000008</v>
      </c>
    </row>
  </sheetData>
  <mergeCells count="18"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506" t="s">
        <v>226</v>
      </c>
      <c r="B1" s="486" t="s">
        <v>201</v>
      </c>
      <c r="C1" s="486" t="s">
        <v>230</v>
      </c>
      <c r="D1" s="486" t="s">
        <v>202</v>
      </c>
      <c r="E1" s="486" t="s">
        <v>698</v>
      </c>
      <c r="F1" s="486"/>
      <c r="G1" s="486"/>
    </row>
    <row r="2" spans="1:9" ht="27.6" x14ac:dyDescent="0.3">
      <c r="A2" s="506"/>
      <c r="B2" s="486"/>
      <c r="C2" s="486"/>
      <c r="D2" s="486"/>
      <c r="E2" s="90" t="s">
        <v>441</v>
      </c>
      <c r="F2" s="90" t="s">
        <v>433</v>
      </c>
      <c r="G2" s="101" t="s">
        <v>409</v>
      </c>
    </row>
    <row r="3" spans="1:9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9" ht="28.5" customHeight="1" x14ac:dyDescent="0.3">
      <c r="A4" s="154"/>
      <c r="B4" s="530" t="s">
        <v>732</v>
      </c>
      <c r="C4" s="531"/>
      <c r="D4" s="535"/>
      <c r="E4" s="155"/>
      <c r="F4" s="156"/>
      <c r="G4" s="168"/>
    </row>
    <row r="5" spans="1:9" ht="18" customHeight="1" x14ac:dyDescent="0.3">
      <c r="A5" s="152"/>
      <c r="B5" s="85" t="s">
        <v>513</v>
      </c>
      <c r="C5" s="160"/>
      <c r="D5" s="160"/>
      <c r="E5" s="163"/>
      <c r="F5" s="86"/>
      <c r="G5" s="169"/>
      <c r="H5" s="210" t="s">
        <v>918</v>
      </c>
    </row>
    <row r="6" spans="1:9" ht="35.25" customHeight="1" x14ac:dyDescent="0.3">
      <c r="A6" s="87">
        <v>1</v>
      </c>
      <c r="B6" s="67" t="s">
        <v>825</v>
      </c>
      <c r="C6" s="109" t="s">
        <v>193</v>
      </c>
      <c r="D6" s="164">
        <v>322</v>
      </c>
      <c r="E6" s="171">
        <v>90.47</v>
      </c>
      <c r="F6" s="102">
        <f t="shared" ref="F6:F40" si="0">ROUND(E6*D6,2)</f>
        <v>29131.34</v>
      </c>
      <c r="G6" s="102">
        <f>ROUND(F6*1.2,2)</f>
        <v>34957.61</v>
      </c>
      <c r="H6">
        <v>325</v>
      </c>
    </row>
    <row r="7" spans="1:9" ht="15.6" x14ac:dyDescent="0.3">
      <c r="A7" s="87">
        <f>A6+1</f>
        <v>2</v>
      </c>
      <c r="B7" s="67" t="s">
        <v>826</v>
      </c>
      <c r="C7" s="109" t="s">
        <v>193</v>
      </c>
      <c r="D7" s="206" t="s">
        <v>598</v>
      </c>
      <c r="E7" s="171">
        <v>1860.11</v>
      </c>
      <c r="F7" s="102">
        <f t="shared" si="0"/>
        <v>18601.099999999999</v>
      </c>
      <c r="G7" s="102">
        <f t="shared" ref="G7:G32" si="1">ROUND(F7*1.2,2)</f>
        <v>22321.32</v>
      </c>
      <c r="H7">
        <v>1777</v>
      </c>
    </row>
    <row r="8" spans="1:9" ht="15.6" x14ac:dyDescent="0.3">
      <c r="A8" s="87">
        <f>A7+1</f>
        <v>3</v>
      </c>
      <c r="B8" s="67" t="s">
        <v>827</v>
      </c>
      <c r="C8" s="109" t="s">
        <v>193</v>
      </c>
      <c r="D8" s="206" t="s">
        <v>791</v>
      </c>
      <c r="E8" s="171">
        <v>1155.67</v>
      </c>
      <c r="F8" s="102">
        <f t="shared" si="0"/>
        <v>13868.04</v>
      </c>
      <c r="G8" s="102">
        <f t="shared" si="1"/>
        <v>16641.650000000001</v>
      </c>
    </row>
    <row r="9" spans="1:9" ht="15.6" x14ac:dyDescent="0.3">
      <c r="A9" s="87">
        <f t="shared" ref="A9:A15" si="2">A8+1</f>
        <v>4</v>
      </c>
      <c r="B9" s="67" t="s">
        <v>521</v>
      </c>
      <c r="C9" s="109" t="s">
        <v>193</v>
      </c>
      <c r="D9" s="206" t="s">
        <v>831</v>
      </c>
      <c r="E9" s="171">
        <v>1456.66</v>
      </c>
      <c r="F9" s="102">
        <f t="shared" si="0"/>
        <v>3350.32</v>
      </c>
      <c r="G9" s="102">
        <f t="shared" si="1"/>
        <v>4020.38</v>
      </c>
      <c r="H9">
        <v>1379</v>
      </c>
    </row>
    <row r="10" spans="1:9" ht="15.6" x14ac:dyDescent="0.3">
      <c r="A10" s="87">
        <f t="shared" si="2"/>
        <v>5</v>
      </c>
      <c r="B10" s="67" t="s">
        <v>828</v>
      </c>
      <c r="C10" s="109" t="s">
        <v>193</v>
      </c>
      <c r="D10" s="206" t="s">
        <v>791</v>
      </c>
      <c r="E10" s="171">
        <v>856.54</v>
      </c>
      <c r="F10" s="102">
        <f t="shared" si="0"/>
        <v>10278.48</v>
      </c>
      <c r="G10" s="102">
        <f t="shared" si="1"/>
        <v>12334.18</v>
      </c>
      <c r="H10">
        <v>1379</v>
      </c>
    </row>
    <row r="11" spans="1:9" ht="15.6" x14ac:dyDescent="0.3">
      <c r="A11" s="87">
        <f t="shared" si="2"/>
        <v>6</v>
      </c>
      <c r="B11" s="67" t="s">
        <v>516</v>
      </c>
      <c r="C11" s="109" t="s">
        <v>193</v>
      </c>
      <c r="D11" s="206" t="s">
        <v>832</v>
      </c>
      <c r="E11" s="171">
        <v>9.73</v>
      </c>
      <c r="F11" s="102">
        <f t="shared" si="0"/>
        <v>2860.62</v>
      </c>
      <c r="G11" s="102">
        <f t="shared" si="1"/>
        <v>3432.74</v>
      </c>
      <c r="H11">
        <v>125</v>
      </c>
    </row>
    <row r="12" spans="1:9" ht="15.6" x14ac:dyDescent="0.3">
      <c r="A12" s="87">
        <f t="shared" si="2"/>
        <v>7</v>
      </c>
      <c r="B12" s="67" t="s">
        <v>451</v>
      </c>
      <c r="C12" s="109" t="s">
        <v>193</v>
      </c>
      <c r="D12" s="206" t="s">
        <v>832</v>
      </c>
      <c r="E12" s="171">
        <v>197.58</v>
      </c>
      <c r="F12" s="102">
        <f t="shared" si="0"/>
        <v>58088.52</v>
      </c>
      <c r="G12" s="102">
        <f t="shared" si="1"/>
        <v>69706.22</v>
      </c>
      <c r="H12">
        <v>198</v>
      </c>
    </row>
    <row r="13" spans="1:9" ht="15.6" x14ac:dyDescent="0.3">
      <c r="A13" s="87">
        <f t="shared" si="2"/>
        <v>8</v>
      </c>
      <c r="B13" s="67" t="s">
        <v>517</v>
      </c>
      <c r="C13" s="109" t="s">
        <v>193</v>
      </c>
      <c r="D13" s="206" t="s">
        <v>833</v>
      </c>
      <c r="E13" s="171">
        <v>856.54</v>
      </c>
      <c r="F13" s="102">
        <f t="shared" si="0"/>
        <v>12848.1</v>
      </c>
      <c r="G13" s="102">
        <f t="shared" si="1"/>
        <v>15417.72</v>
      </c>
      <c r="H13">
        <v>899</v>
      </c>
    </row>
    <row r="14" spans="1:9" ht="27.6" x14ac:dyDescent="0.3">
      <c r="A14" s="87">
        <f t="shared" si="2"/>
        <v>9</v>
      </c>
      <c r="B14" s="67" t="s">
        <v>829</v>
      </c>
      <c r="C14" s="109" t="s">
        <v>239</v>
      </c>
      <c r="D14" s="207">
        <v>36.799999999999997</v>
      </c>
      <c r="E14" s="171">
        <v>67.760000000000005</v>
      </c>
      <c r="F14" s="102">
        <f t="shared" si="0"/>
        <v>2493.5700000000002</v>
      </c>
      <c r="G14" s="102">
        <f t="shared" si="1"/>
        <v>2992.28</v>
      </c>
      <c r="H14">
        <v>325</v>
      </c>
    </row>
    <row r="15" spans="1:9" ht="27.6" x14ac:dyDescent="0.3">
      <c r="A15" s="87">
        <f t="shared" si="2"/>
        <v>10</v>
      </c>
      <c r="B15" s="67" t="s">
        <v>830</v>
      </c>
      <c r="C15" s="66" t="s">
        <v>239</v>
      </c>
      <c r="D15" s="207">
        <v>36.799999999999997</v>
      </c>
      <c r="E15" s="171">
        <v>312.27999999999997</v>
      </c>
      <c r="F15" s="102">
        <f t="shared" si="0"/>
        <v>11491.9</v>
      </c>
      <c r="G15" s="102">
        <f t="shared" si="1"/>
        <v>13790.28</v>
      </c>
      <c r="H15">
        <v>3460</v>
      </c>
      <c r="I15" s="210" t="s">
        <v>917</v>
      </c>
    </row>
    <row r="16" spans="1:9" ht="15.6" x14ac:dyDescent="0.3">
      <c r="A16" s="87"/>
      <c r="B16" s="62" t="s">
        <v>523</v>
      </c>
      <c r="C16" s="66"/>
      <c r="D16" s="71"/>
      <c r="E16" s="171"/>
      <c r="F16" s="102"/>
      <c r="G16" s="102"/>
    </row>
    <row r="17" spans="1:8" ht="27.6" x14ac:dyDescent="0.3">
      <c r="A17" s="87">
        <f>A15+1</f>
        <v>11</v>
      </c>
      <c r="B17" s="67" t="s">
        <v>834</v>
      </c>
      <c r="C17" s="66" t="s">
        <v>194</v>
      </c>
      <c r="D17" s="71">
        <v>31</v>
      </c>
      <c r="E17" s="171">
        <v>1223.9000000000001</v>
      </c>
      <c r="F17" s="102">
        <f t="shared" si="0"/>
        <v>37940.9</v>
      </c>
      <c r="G17" s="102">
        <f t="shared" si="1"/>
        <v>45529.08</v>
      </c>
    </row>
    <row r="18" spans="1:8" ht="41.4" x14ac:dyDescent="0.3">
      <c r="A18" s="87">
        <f>A17+1</f>
        <v>12</v>
      </c>
      <c r="B18" s="67" t="s">
        <v>835</v>
      </c>
      <c r="C18" s="66" t="s">
        <v>194</v>
      </c>
      <c r="D18" s="71">
        <v>6</v>
      </c>
      <c r="E18" s="171">
        <v>10557.31</v>
      </c>
      <c r="F18" s="102">
        <f t="shared" si="0"/>
        <v>63343.86</v>
      </c>
      <c r="G18" s="102">
        <f t="shared" si="1"/>
        <v>76012.63</v>
      </c>
    </row>
    <row r="19" spans="1:8" ht="27.6" x14ac:dyDescent="0.3">
      <c r="A19" s="87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1">
        <v>10242.23</v>
      </c>
      <c r="F19" s="102">
        <f t="shared" si="0"/>
        <v>20484.46</v>
      </c>
      <c r="G19" s="102">
        <f t="shared" si="1"/>
        <v>24581.35</v>
      </c>
    </row>
    <row r="20" spans="1:8" ht="27.6" x14ac:dyDescent="0.3">
      <c r="A20" s="87">
        <f t="shared" si="3"/>
        <v>14</v>
      </c>
      <c r="B20" s="67" t="s">
        <v>837</v>
      </c>
      <c r="C20" s="66" t="s">
        <v>220</v>
      </c>
      <c r="D20" s="71">
        <v>2</v>
      </c>
      <c r="E20" s="171">
        <v>6691.94</v>
      </c>
      <c r="F20" s="102">
        <f t="shared" si="0"/>
        <v>13383.88</v>
      </c>
      <c r="G20" s="102">
        <f t="shared" si="1"/>
        <v>16060.66</v>
      </c>
    </row>
    <row r="21" spans="1:8" ht="15.6" x14ac:dyDescent="0.3">
      <c r="A21" s="87">
        <f t="shared" si="3"/>
        <v>15</v>
      </c>
      <c r="B21" s="67" t="s">
        <v>860</v>
      </c>
      <c r="C21" s="66" t="s">
        <v>220</v>
      </c>
      <c r="D21" s="71">
        <v>36</v>
      </c>
      <c r="E21" s="171">
        <v>592.5</v>
      </c>
      <c r="F21" s="102">
        <f t="shared" si="0"/>
        <v>21330</v>
      </c>
      <c r="G21" s="102">
        <f t="shared" si="1"/>
        <v>25596</v>
      </c>
    </row>
    <row r="22" spans="1:8" ht="27.6" x14ac:dyDescent="0.3">
      <c r="A22" s="87">
        <f t="shared" si="3"/>
        <v>16</v>
      </c>
      <c r="B22" s="67" t="s">
        <v>838</v>
      </c>
      <c r="C22" s="66" t="s">
        <v>220</v>
      </c>
      <c r="D22" s="71">
        <v>36</v>
      </c>
      <c r="E22" s="171">
        <v>210.41</v>
      </c>
      <c r="F22" s="102">
        <f t="shared" si="0"/>
        <v>7574.76</v>
      </c>
      <c r="G22" s="102">
        <f t="shared" si="1"/>
        <v>9089.7099999999991</v>
      </c>
    </row>
    <row r="23" spans="1:8" ht="41.4" x14ac:dyDescent="0.3">
      <c r="A23" s="87">
        <f t="shared" si="3"/>
        <v>17</v>
      </c>
      <c r="B23" s="67" t="s">
        <v>839</v>
      </c>
      <c r="C23" s="66" t="s">
        <v>220</v>
      </c>
      <c r="D23" s="71">
        <v>2</v>
      </c>
      <c r="E23" s="171">
        <v>1207.4100000000001</v>
      </c>
      <c r="F23" s="102">
        <f t="shared" si="0"/>
        <v>2414.8200000000002</v>
      </c>
      <c r="G23" s="102">
        <f t="shared" si="1"/>
        <v>2897.78</v>
      </c>
    </row>
    <row r="24" spans="1:8" ht="41.4" x14ac:dyDescent="0.3">
      <c r="A24" s="87">
        <f t="shared" si="3"/>
        <v>18</v>
      </c>
      <c r="B24" s="67" t="s">
        <v>840</v>
      </c>
      <c r="C24" s="66" t="s">
        <v>220</v>
      </c>
      <c r="D24" s="71">
        <v>2</v>
      </c>
      <c r="E24" s="171">
        <v>7231.84</v>
      </c>
      <c r="F24" s="102">
        <f t="shared" si="0"/>
        <v>14463.68</v>
      </c>
      <c r="G24" s="102">
        <f t="shared" si="1"/>
        <v>17356.419999999998</v>
      </c>
    </row>
    <row r="25" spans="1:8" ht="41.4" x14ac:dyDescent="0.3">
      <c r="A25" s="87">
        <f t="shared" si="3"/>
        <v>19</v>
      </c>
      <c r="B25" s="67" t="s">
        <v>841</v>
      </c>
      <c r="C25" s="66" t="s">
        <v>220</v>
      </c>
      <c r="D25" s="71">
        <v>1</v>
      </c>
      <c r="E25" s="171">
        <v>12816.51</v>
      </c>
      <c r="F25" s="102">
        <f t="shared" si="0"/>
        <v>12816.51</v>
      </c>
      <c r="G25" s="102">
        <f t="shared" si="1"/>
        <v>15379.81</v>
      </c>
    </row>
    <row r="26" spans="1:8" ht="15.6" x14ac:dyDescent="0.3">
      <c r="A26" s="87">
        <f t="shared" si="3"/>
        <v>20</v>
      </c>
      <c r="B26" s="67" t="s">
        <v>842</v>
      </c>
      <c r="C26" s="66" t="s">
        <v>220</v>
      </c>
      <c r="D26" s="71">
        <v>1</v>
      </c>
      <c r="E26" s="171">
        <v>3933.74</v>
      </c>
      <c r="F26" s="102">
        <f t="shared" si="0"/>
        <v>3933.74</v>
      </c>
      <c r="G26" s="102">
        <f t="shared" si="1"/>
        <v>4720.49</v>
      </c>
    </row>
    <row r="27" spans="1:8" ht="15.6" x14ac:dyDescent="0.3">
      <c r="A27" s="87">
        <f t="shared" si="3"/>
        <v>21</v>
      </c>
      <c r="B27" s="67" t="s">
        <v>843</v>
      </c>
      <c r="C27" s="66" t="s">
        <v>220</v>
      </c>
      <c r="D27" s="71">
        <v>1</v>
      </c>
      <c r="E27" s="171">
        <v>10242.219999999999</v>
      </c>
      <c r="F27" s="102">
        <f t="shared" si="0"/>
        <v>10242.219999999999</v>
      </c>
      <c r="G27" s="102">
        <f t="shared" si="1"/>
        <v>12290.66</v>
      </c>
    </row>
    <row r="28" spans="1:8" ht="27.6" x14ac:dyDescent="0.3">
      <c r="A28" s="87">
        <f t="shared" si="3"/>
        <v>22</v>
      </c>
      <c r="B28" s="67" t="s">
        <v>844</v>
      </c>
      <c r="C28" s="66" t="s">
        <v>220</v>
      </c>
      <c r="D28" s="71">
        <v>1</v>
      </c>
      <c r="E28" s="171">
        <v>3397.31</v>
      </c>
      <c r="F28" s="102">
        <f t="shared" si="0"/>
        <v>3397.31</v>
      </c>
      <c r="G28" s="102">
        <f t="shared" si="1"/>
        <v>4076.77</v>
      </c>
    </row>
    <row r="29" spans="1:8" ht="27.6" x14ac:dyDescent="0.3">
      <c r="A29" s="87">
        <f t="shared" si="3"/>
        <v>23</v>
      </c>
      <c r="B29" s="67" t="s">
        <v>845</v>
      </c>
      <c r="C29" s="66" t="s">
        <v>919</v>
      </c>
      <c r="D29" s="71">
        <v>1</v>
      </c>
      <c r="E29" s="171">
        <v>35713.949999999997</v>
      </c>
      <c r="F29" s="102">
        <f t="shared" si="0"/>
        <v>35713.949999999997</v>
      </c>
      <c r="G29" s="102">
        <f t="shared" si="1"/>
        <v>42856.74</v>
      </c>
    </row>
    <row r="30" spans="1:8" ht="15.6" x14ac:dyDescent="0.3">
      <c r="A30" s="87"/>
      <c r="B30" s="62" t="s">
        <v>846</v>
      </c>
      <c r="C30" s="66"/>
      <c r="D30" s="71"/>
      <c r="E30" s="171"/>
      <c r="F30" s="102"/>
      <c r="G30" s="102"/>
    </row>
    <row r="31" spans="1:8" ht="15.6" x14ac:dyDescent="0.3">
      <c r="A31" s="87">
        <f>A29+1</f>
        <v>24</v>
      </c>
      <c r="B31" s="67" t="s">
        <v>915</v>
      </c>
      <c r="C31" s="66" t="s">
        <v>193</v>
      </c>
      <c r="D31" s="72">
        <v>0.7</v>
      </c>
      <c r="E31" s="171">
        <v>4259.21</v>
      </c>
      <c r="F31" s="102">
        <f t="shared" si="0"/>
        <v>2981.45</v>
      </c>
      <c r="G31" s="102">
        <f t="shared" si="1"/>
        <v>3577.74</v>
      </c>
    </row>
    <row r="32" spans="1:8" ht="27.6" x14ac:dyDescent="0.3">
      <c r="A32" s="87">
        <f>A31+1</f>
        <v>25</v>
      </c>
      <c r="B32" s="67" t="s">
        <v>847</v>
      </c>
      <c r="C32" s="66" t="s">
        <v>193</v>
      </c>
      <c r="D32" s="76">
        <v>1.7350000000000001</v>
      </c>
      <c r="E32" s="171">
        <v>32605.8</v>
      </c>
      <c r="F32" s="102">
        <f t="shared" si="0"/>
        <v>56571.06</v>
      </c>
      <c r="G32" s="102">
        <f t="shared" si="1"/>
        <v>67885.27</v>
      </c>
      <c r="H32">
        <v>18174</v>
      </c>
    </row>
    <row r="33" spans="1:8" ht="15.6" x14ac:dyDescent="0.3">
      <c r="A33" s="87"/>
      <c r="B33" s="62" t="s">
        <v>848</v>
      </c>
      <c r="C33" s="66"/>
      <c r="D33" s="71"/>
      <c r="E33" s="171"/>
      <c r="F33" s="102"/>
      <c r="G33" s="102"/>
    </row>
    <row r="34" spans="1:8" ht="27.6" x14ac:dyDescent="0.3">
      <c r="A34" s="87">
        <f>A32+1</f>
        <v>26</v>
      </c>
      <c r="B34" s="67" t="s">
        <v>849</v>
      </c>
      <c r="C34" s="66" t="s">
        <v>193</v>
      </c>
      <c r="D34" s="71">
        <v>2</v>
      </c>
      <c r="E34" s="171">
        <v>26084.63</v>
      </c>
      <c r="F34" s="102">
        <f t="shared" si="0"/>
        <v>52169.26</v>
      </c>
      <c r="G34" s="102">
        <f t="shared" ref="G34:G36" si="4">ROUND(F34*1.2,2)</f>
        <v>62603.11</v>
      </c>
    </row>
    <row r="35" spans="1:8" ht="15.6" x14ac:dyDescent="0.3">
      <c r="A35" s="87"/>
      <c r="B35" s="67" t="s">
        <v>916</v>
      </c>
      <c r="C35" s="66" t="s">
        <v>239</v>
      </c>
      <c r="D35" s="72">
        <v>4.4000000000000004</v>
      </c>
      <c r="E35" s="171">
        <v>436.23</v>
      </c>
      <c r="F35" s="102">
        <f t="shared" si="0"/>
        <v>1919.41</v>
      </c>
      <c r="G35" s="102">
        <f t="shared" si="4"/>
        <v>2303.29</v>
      </c>
    </row>
    <row r="36" spans="1:8" ht="27.6" x14ac:dyDescent="0.3">
      <c r="A36" s="87">
        <f>A34+1</f>
        <v>27</v>
      </c>
      <c r="B36" s="67" t="s">
        <v>850</v>
      </c>
      <c r="C36" s="66" t="s">
        <v>239</v>
      </c>
      <c r="D36" s="72">
        <v>4.4000000000000004</v>
      </c>
      <c r="E36" s="171">
        <v>312.27999999999997</v>
      </c>
      <c r="F36" s="102">
        <f t="shared" si="0"/>
        <v>1374.03</v>
      </c>
      <c r="G36" s="102">
        <f t="shared" si="4"/>
        <v>1648.84</v>
      </c>
    </row>
    <row r="37" spans="1:8" ht="15.6" x14ac:dyDescent="0.3">
      <c r="A37" s="87"/>
      <c r="B37" s="62" t="s">
        <v>851</v>
      </c>
      <c r="C37" s="66"/>
      <c r="D37" s="68"/>
      <c r="E37" s="171"/>
      <c r="F37" s="102"/>
      <c r="G37" s="102"/>
    </row>
    <row r="38" spans="1:8" ht="15.6" x14ac:dyDescent="0.3">
      <c r="A38" s="87">
        <f>A36+1</f>
        <v>28</v>
      </c>
      <c r="B38" s="67" t="s">
        <v>852</v>
      </c>
      <c r="C38" s="66" t="s">
        <v>194</v>
      </c>
      <c r="D38" s="71">
        <v>31</v>
      </c>
      <c r="E38" s="171">
        <v>769.25</v>
      </c>
      <c r="F38" s="102">
        <f t="shared" si="0"/>
        <v>23846.75</v>
      </c>
      <c r="G38" s="102">
        <f t="shared" ref="G38:G40" si="5">ROUND(F38*1.2,2)</f>
        <v>28616.1</v>
      </c>
    </row>
    <row r="39" spans="1:8" ht="15.6" x14ac:dyDescent="0.3">
      <c r="A39" s="87">
        <f>A38+1</f>
        <v>29</v>
      </c>
      <c r="B39" s="67" t="s">
        <v>853</v>
      </c>
      <c r="C39" s="66" t="s">
        <v>239</v>
      </c>
      <c r="D39" s="68">
        <v>1.23</v>
      </c>
      <c r="E39" s="171">
        <v>433.62</v>
      </c>
      <c r="F39" s="102">
        <f t="shared" si="0"/>
        <v>533.35</v>
      </c>
      <c r="G39" s="102">
        <f t="shared" si="5"/>
        <v>640.02</v>
      </c>
    </row>
    <row r="40" spans="1:8" ht="27.6" x14ac:dyDescent="0.3">
      <c r="A40" s="87">
        <f>A39+1</f>
        <v>30</v>
      </c>
      <c r="B40" s="67" t="s">
        <v>854</v>
      </c>
      <c r="C40" s="66" t="s">
        <v>239</v>
      </c>
      <c r="D40" s="68">
        <v>1.23</v>
      </c>
      <c r="E40" s="171">
        <v>312.27999999999997</v>
      </c>
      <c r="F40" s="102">
        <f t="shared" si="0"/>
        <v>384.1</v>
      </c>
      <c r="G40" s="102">
        <f t="shared" si="5"/>
        <v>460.92</v>
      </c>
      <c r="H40" s="208"/>
    </row>
    <row r="41" spans="1:8" ht="28.5" customHeight="1" x14ac:dyDescent="0.3">
      <c r="A41" s="154"/>
      <c r="B41" s="530" t="s">
        <v>733</v>
      </c>
      <c r="C41" s="531"/>
      <c r="D41" s="535"/>
      <c r="E41" s="155"/>
      <c r="F41" s="156"/>
      <c r="G41" s="168"/>
    </row>
    <row r="42" spans="1:8" ht="16.5" customHeight="1" x14ac:dyDescent="0.3">
      <c r="A42" s="66"/>
      <c r="B42" s="62" t="s">
        <v>513</v>
      </c>
      <c r="C42" s="66"/>
      <c r="D42" s="170"/>
      <c r="E42" s="165"/>
      <c r="F42" s="161"/>
      <c r="G42" s="169"/>
    </row>
    <row r="43" spans="1:8" ht="27.6" x14ac:dyDescent="0.3">
      <c r="A43" s="66">
        <f>A40+1</f>
        <v>31</v>
      </c>
      <c r="B43" s="67" t="s">
        <v>855</v>
      </c>
      <c r="C43" s="109" t="s">
        <v>193</v>
      </c>
      <c r="D43" s="71">
        <v>759</v>
      </c>
      <c r="E43" s="171">
        <v>90.47</v>
      </c>
      <c r="F43" s="102">
        <f t="shared" ref="F43:F68" si="6">ROUND(E43*D43,2)</f>
        <v>68666.73</v>
      </c>
      <c r="G43" s="102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09" t="s">
        <v>193</v>
      </c>
      <c r="D44" s="71">
        <v>23</v>
      </c>
      <c r="E44" s="171">
        <v>1860.11</v>
      </c>
      <c r="F44" s="102">
        <f t="shared" si="6"/>
        <v>42782.53</v>
      </c>
      <c r="G44" s="102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09" t="s">
        <v>193</v>
      </c>
      <c r="D45" s="71">
        <v>39</v>
      </c>
      <c r="E45" s="171">
        <v>1155.67</v>
      </c>
      <c r="F45" s="102">
        <f t="shared" si="6"/>
        <v>45071.13</v>
      </c>
      <c r="G45" s="102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09" t="s">
        <v>193</v>
      </c>
      <c r="D46" s="71">
        <v>8</v>
      </c>
      <c r="E46" s="171">
        <v>1456.66</v>
      </c>
      <c r="F46" s="102">
        <f t="shared" si="6"/>
        <v>11653.28</v>
      </c>
      <c r="G46" s="102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09" t="s">
        <v>193</v>
      </c>
      <c r="D47" s="71">
        <v>39</v>
      </c>
      <c r="E47" s="171">
        <v>856.54</v>
      </c>
      <c r="F47" s="102">
        <f t="shared" si="6"/>
        <v>33405.06</v>
      </c>
      <c r="G47" s="102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09" t="s">
        <v>193</v>
      </c>
      <c r="D48" s="71">
        <v>694</v>
      </c>
      <c r="E48" s="171">
        <v>9.73</v>
      </c>
      <c r="F48" s="102">
        <f t="shared" si="6"/>
        <v>6752.62</v>
      </c>
      <c r="G48" s="102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09" t="s">
        <v>193</v>
      </c>
      <c r="D49" s="71">
        <v>694</v>
      </c>
      <c r="E49" s="171">
        <v>197.58</v>
      </c>
      <c r="F49" s="102">
        <f t="shared" si="6"/>
        <v>137120.51999999999</v>
      </c>
      <c r="G49" s="102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09" t="s">
        <v>193</v>
      </c>
      <c r="D50" s="71">
        <v>37</v>
      </c>
      <c r="E50" s="171">
        <v>856.54</v>
      </c>
      <c r="F50" s="102">
        <f t="shared" si="6"/>
        <v>31691.98</v>
      </c>
      <c r="G50" s="102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09" t="s">
        <v>239</v>
      </c>
      <c r="D51" s="72">
        <v>81.599999999999994</v>
      </c>
      <c r="E51" s="171">
        <v>67.760000000000005</v>
      </c>
      <c r="F51" s="102">
        <f t="shared" si="6"/>
        <v>5529.22</v>
      </c>
      <c r="G51" s="102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1">
        <v>312.27999999999997</v>
      </c>
      <c r="F52" s="102">
        <f t="shared" si="6"/>
        <v>25482.05</v>
      </c>
      <c r="G52" s="102">
        <f t="shared" si="7"/>
        <v>30578.46</v>
      </c>
      <c r="H52">
        <v>3460</v>
      </c>
      <c r="I52" s="210" t="s">
        <v>917</v>
      </c>
    </row>
    <row r="53" spans="1:9" ht="15.6" x14ac:dyDescent="0.3">
      <c r="A53" s="66"/>
      <c r="B53" s="62" t="s">
        <v>523</v>
      </c>
      <c r="C53" s="66"/>
      <c r="D53" s="68"/>
      <c r="E53" s="171"/>
      <c r="F53" s="102"/>
      <c r="G53" s="102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1">
        <v>1045.03</v>
      </c>
      <c r="F54" s="102">
        <f t="shared" si="6"/>
        <v>101367.91</v>
      </c>
      <c r="G54" s="102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1">
        <v>1960.07</v>
      </c>
      <c r="F55" s="102">
        <f t="shared" si="6"/>
        <v>11760.42</v>
      </c>
      <c r="G55" s="102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1">
        <v>8983.23</v>
      </c>
      <c r="F56" s="102">
        <f t="shared" si="6"/>
        <v>8983.23</v>
      </c>
      <c r="G56" s="102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1">
        <v>4477.97</v>
      </c>
      <c r="F57" s="102">
        <f t="shared" si="6"/>
        <v>4477.97</v>
      </c>
      <c r="G57" s="102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1">
        <v>592.5</v>
      </c>
      <c r="F58" s="102">
        <f t="shared" si="6"/>
        <v>4740</v>
      </c>
      <c r="G58" s="102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1">
        <v>210.41</v>
      </c>
      <c r="F59" s="102">
        <f t="shared" si="6"/>
        <v>1683.28</v>
      </c>
      <c r="G59" s="102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1">
        <v>2066.3000000000002</v>
      </c>
      <c r="F60" s="102">
        <f t="shared" si="6"/>
        <v>2066.3000000000002</v>
      </c>
      <c r="G60" s="102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1">
        <v>3397.31</v>
      </c>
      <c r="F61" s="102">
        <f t="shared" si="6"/>
        <v>3397.31</v>
      </c>
      <c r="G61" s="102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1">
        <v>3317.02</v>
      </c>
      <c r="F62" s="102">
        <f t="shared" si="6"/>
        <v>3317.02</v>
      </c>
      <c r="G62" s="102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1">
        <v>3397.31</v>
      </c>
      <c r="F63" s="102">
        <f t="shared" si="6"/>
        <v>3397.31</v>
      </c>
      <c r="G63" s="102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1">
        <v>30624.26</v>
      </c>
      <c r="F64" s="102">
        <f t="shared" si="6"/>
        <v>30624.26</v>
      </c>
      <c r="G64" s="102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1"/>
      <c r="F65" s="102"/>
      <c r="G65" s="102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1">
        <v>728.8</v>
      </c>
      <c r="F66" s="102">
        <f t="shared" si="6"/>
        <v>70693.600000000006</v>
      </c>
      <c r="G66" s="102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1">
        <v>433.62</v>
      </c>
      <c r="F67" s="102">
        <f t="shared" si="6"/>
        <v>1300.8599999999999</v>
      </c>
      <c r="G67" s="102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1">
        <v>312.27999999999997</v>
      </c>
      <c r="F68" s="102">
        <f t="shared" si="6"/>
        <v>936.84</v>
      </c>
      <c r="G68" s="102">
        <f t="shared" si="7"/>
        <v>1124.21</v>
      </c>
    </row>
    <row r="69" spans="1:9" ht="34.5" customHeight="1" x14ac:dyDescent="0.3">
      <c r="A69" s="154"/>
      <c r="B69" s="530" t="s">
        <v>734</v>
      </c>
      <c r="C69" s="531"/>
      <c r="D69" s="535"/>
      <c r="E69" s="155"/>
      <c r="F69" s="156"/>
      <c r="G69" s="168"/>
    </row>
    <row r="70" spans="1:9" x14ac:dyDescent="0.3">
      <c r="A70" s="66"/>
      <c r="B70" s="62" t="s">
        <v>513</v>
      </c>
      <c r="C70" s="66"/>
      <c r="D70" s="170"/>
      <c r="E70" s="165"/>
      <c r="F70" s="161"/>
      <c r="G70" s="169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1">
        <v>90.47</v>
      </c>
      <c r="F71" s="102">
        <f t="shared" ref="F71:F96" si="10">ROUND(E71*D71,2)</f>
        <v>108744.94</v>
      </c>
      <c r="G71" s="102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1">
        <v>1860.11</v>
      </c>
      <c r="F72" s="102">
        <f t="shared" si="10"/>
        <v>66963.960000000006</v>
      </c>
      <c r="G72" s="102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1">
        <v>1205.9100000000001</v>
      </c>
      <c r="F73" s="102">
        <f t="shared" si="10"/>
        <v>55471.86</v>
      </c>
      <c r="G73" s="102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1">
        <v>1456.66</v>
      </c>
      <c r="F74" s="102">
        <f t="shared" si="10"/>
        <v>11653.28</v>
      </c>
      <c r="G74" s="102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1">
        <v>856.54</v>
      </c>
      <c r="F75" s="102">
        <f t="shared" si="10"/>
        <v>41113.919999999998</v>
      </c>
      <c r="G75" s="102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1">
        <v>9.73</v>
      </c>
      <c r="F76" s="102">
        <f t="shared" si="10"/>
        <v>10858.68</v>
      </c>
      <c r="G76" s="102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1">
        <v>197.58</v>
      </c>
      <c r="F77" s="102">
        <f t="shared" si="10"/>
        <v>220499.28</v>
      </c>
      <c r="G77" s="102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1">
        <v>856.54</v>
      </c>
      <c r="F78" s="102">
        <f t="shared" si="10"/>
        <v>50535.86</v>
      </c>
      <c r="G78" s="102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1">
        <v>67.760000000000005</v>
      </c>
      <c r="F79" s="102">
        <f t="shared" si="10"/>
        <v>6830.21</v>
      </c>
      <c r="G79" s="102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1">
        <v>312.27999999999997</v>
      </c>
      <c r="F80" s="102">
        <f t="shared" si="10"/>
        <v>31477.82</v>
      </c>
      <c r="G80" s="102">
        <f t="shared" si="11"/>
        <v>37773.379999999997</v>
      </c>
      <c r="H80">
        <v>3460</v>
      </c>
      <c r="I80" s="210" t="s">
        <v>917</v>
      </c>
    </row>
    <row r="81" spans="1:7" ht="15.6" x14ac:dyDescent="0.3">
      <c r="A81" s="66"/>
      <c r="B81" s="62" t="s">
        <v>523</v>
      </c>
      <c r="C81" s="66"/>
      <c r="D81" s="68"/>
      <c r="E81" s="171"/>
      <c r="F81" s="102"/>
      <c r="G81" s="102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1">
        <v>1494.21</v>
      </c>
      <c r="F82" s="102">
        <f t="shared" si="10"/>
        <v>122525.22</v>
      </c>
      <c r="G82" s="102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1">
        <v>2559.31</v>
      </c>
      <c r="F83" s="102">
        <f t="shared" si="10"/>
        <v>104931.71</v>
      </c>
      <c r="G83" s="102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1">
        <v>1504.77</v>
      </c>
      <c r="F84" s="102">
        <f t="shared" si="10"/>
        <v>1504.77</v>
      </c>
      <c r="G84" s="102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1">
        <v>7253.94</v>
      </c>
      <c r="F85" s="102">
        <f t="shared" si="10"/>
        <v>14507.88</v>
      </c>
      <c r="G85" s="102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1">
        <v>6691.94</v>
      </c>
      <c r="F86" s="102">
        <f t="shared" si="10"/>
        <v>13383.88</v>
      </c>
      <c r="G86" s="102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1">
        <v>592.5</v>
      </c>
      <c r="F87" s="102">
        <f t="shared" si="10"/>
        <v>14220</v>
      </c>
      <c r="G87" s="102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1">
        <v>210.41</v>
      </c>
      <c r="F88" s="102">
        <f t="shared" si="10"/>
        <v>5049.84</v>
      </c>
      <c r="G88" s="102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1">
        <v>2752.92</v>
      </c>
      <c r="F89" s="102">
        <f t="shared" si="10"/>
        <v>5505.84</v>
      </c>
      <c r="G89" s="102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1">
        <v>5356.92</v>
      </c>
      <c r="F90" s="102">
        <f t="shared" si="10"/>
        <v>10713.84</v>
      </c>
      <c r="G90" s="102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1">
        <v>3397.3</v>
      </c>
      <c r="F91" s="102">
        <f t="shared" si="10"/>
        <v>20383.8</v>
      </c>
      <c r="G91" s="102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1">
        <v>42094.04</v>
      </c>
      <c r="F92" s="102">
        <f t="shared" si="10"/>
        <v>42094.04</v>
      </c>
      <c r="G92" s="102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1"/>
      <c r="F93" s="102"/>
      <c r="G93" s="102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1">
        <v>915.99</v>
      </c>
      <c r="F94" s="102">
        <f t="shared" si="10"/>
        <v>77859.149999999994</v>
      </c>
      <c r="G94" s="102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1">
        <v>433.62</v>
      </c>
      <c r="F95" s="102">
        <f t="shared" si="10"/>
        <v>1734.48</v>
      </c>
      <c r="G95" s="102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1">
        <v>312.27999999999997</v>
      </c>
      <c r="F96" s="102">
        <f t="shared" si="10"/>
        <v>1249.1199999999999</v>
      </c>
      <c r="G96" s="102">
        <f t="shared" si="14"/>
        <v>1498.94</v>
      </c>
    </row>
    <row r="97" spans="1:9" ht="32.25" customHeight="1" x14ac:dyDescent="0.3">
      <c r="A97" s="154"/>
      <c r="B97" s="530" t="s">
        <v>735</v>
      </c>
      <c r="C97" s="531"/>
      <c r="D97" s="535"/>
      <c r="E97" s="155"/>
      <c r="F97" s="156"/>
      <c r="G97" s="168"/>
    </row>
    <row r="98" spans="1:9" x14ac:dyDescent="0.3">
      <c r="A98" s="66"/>
      <c r="B98" s="62" t="s">
        <v>513</v>
      </c>
      <c r="C98" s="66"/>
      <c r="D98" s="71"/>
      <c r="E98" s="165"/>
      <c r="F98" s="161"/>
      <c r="G98" s="169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1">
        <v>90.47</v>
      </c>
      <c r="F99" s="102">
        <f t="shared" ref="F99:F120" si="15">ROUND(E99*D99,2)</f>
        <v>120144.16</v>
      </c>
      <c r="G99" s="102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1">
        <v>1860.11</v>
      </c>
      <c r="F100" s="102">
        <f t="shared" si="15"/>
        <v>74404.399999999994</v>
      </c>
      <c r="G100" s="102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1">
        <v>1155.67</v>
      </c>
      <c r="F101" s="102">
        <f t="shared" si="15"/>
        <v>17335.05</v>
      </c>
      <c r="G101" s="102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1">
        <v>1456.66</v>
      </c>
      <c r="F102" s="102">
        <f t="shared" si="15"/>
        <v>5826.64</v>
      </c>
      <c r="G102" s="102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1">
        <v>856.54</v>
      </c>
      <c r="F103" s="102">
        <f t="shared" si="15"/>
        <v>12848.1</v>
      </c>
      <c r="G103" s="102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1">
        <v>9.73</v>
      </c>
      <c r="F104" s="102">
        <f t="shared" si="15"/>
        <v>12454.4</v>
      </c>
      <c r="G104" s="102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1">
        <v>197.58</v>
      </c>
      <c r="F105" s="102">
        <f t="shared" si="15"/>
        <v>252902.39999999999</v>
      </c>
      <c r="G105" s="102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1">
        <v>856.54</v>
      </c>
      <c r="F106" s="102">
        <f t="shared" si="15"/>
        <v>57388.18</v>
      </c>
      <c r="G106" s="102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1">
        <v>67.760000000000005</v>
      </c>
      <c r="F107" s="102">
        <f t="shared" si="15"/>
        <v>2276.7399999999998</v>
      </c>
      <c r="G107" s="102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1">
        <v>312.27999999999997</v>
      </c>
      <c r="F108" s="102">
        <f t="shared" si="15"/>
        <v>10492.61</v>
      </c>
      <c r="G108" s="102">
        <f t="shared" si="16"/>
        <v>12591.13</v>
      </c>
      <c r="H108">
        <v>3460</v>
      </c>
      <c r="I108" s="210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1">
        <v>306.77</v>
      </c>
      <c r="F109" s="102">
        <f t="shared" si="15"/>
        <v>38959.79</v>
      </c>
      <c r="G109" s="102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1"/>
      <c r="F110" s="102"/>
      <c r="G110" s="102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1">
        <v>1045.03</v>
      </c>
      <c r="F111" s="102">
        <f t="shared" si="15"/>
        <v>43891.26</v>
      </c>
      <c r="G111" s="102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1">
        <v>1960.07</v>
      </c>
      <c r="F112" s="102">
        <f t="shared" si="15"/>
        <v>11760.42</v>
      </c>
      <c r="G112" s="102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1">
        <v>1871.48</v>
      </c>
      <c r="F113" s="102">
        <f t="shared" si="15"/>
        <v>3742.96</v>
      </c>
      <c r="G113" s="102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1">
        <v>6085.16</v>
      </c>
      <c r="F114" s="102">
        <f t="shared" si="15"/>
        <v>12170.32</v>
      </c>
      <c r="G114" s="102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1">
        <v>3397.31</v>
      </c>
      <c r="F115" s="102">
        <f t="shared" si="15"/>
        <v>3397.31</v>
      </c>
      <c r="G115" s="102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1">
        <v>30624.26</v>
      </c>
      <c r="F116" s="102">
        <f t="shared" si="15"/>
        <v>30624.26</v>
      </c>
      <c r="G116" s="102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1"/>
      <c r="F117" s="102"/>
      <c r="G117" s="102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1">
        <v>728.05</v>
      </c>
      <c r="F118" s="102">
        <f t="shared" si="15"/>
        <v>30578.1</v>
      </c>
      <c r="G118" s="102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1">
        <v>436.17</v>
      </c>
      <c r="F119" s="102">
        <f t="shared" si="15"/>
        <v>261.7</v>
      </c>
      <c r="G119" s="102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1">
        <v>312.27999999999997</v>
      </c>
      <c r="F120" s="102">
        <f t="shared" si="15"/>
        <v>187.37</v>
      </c>
      <c r="G120" s="102">
        <f t="shared" si="16"/>
        <v>224.84</v>
      </c>
    </row>
    <row r="121" spans="1:8" ht="33.75" customHeight="1" x14ac:dyDescent="0.3">
      <c r="A121" s="154"/>
      <c r="B121" s="530" t="s">
        <v>736</v>
      </c>
      <c r="C121" s="531"/>
      <c r="D121" s="535"/>
      <c r="E121" s="155"/>
      <c r="F121" s="156"/>
      <c r="G121" s="168"/>
    </row>
    <row r="122" spans="1:8" x14ac:dyDescent="0.3">
      <c r="A122" s="66"/>
      <c r="B122" s="62" t="s">
        <v>513</v>
      </c>
      <c r="C122" s="66"/>
      <c r="D122" s="71"/>
      <c r="E122" s="165"/>
      <c r="F122" s="161"/>
      <c r="G122" s="169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1">
        <v>90.47</v>
      </c>
      <c r="F123" s="102">
        <f t="shared" ref="F123:F139" si="19">ROUND(E123*D123,2)</f>
        <v>75542.45</v>
      </c>
      <c r="G123" s="102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1">
        <v>1860.11</v>
      </c>
      <c r="F124" s="102">
        <f t="shared" si="19"/>
        <v>46502.75</v>
      </c>
      <c r="G124" s="102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1">
        <v>1155.67</v>
      </c>
      <c r="F125" s="102">
        <f t="shared" si="19"/>
        <v>10401.030000000001</v>
      </c>
      <c r="G125" s="102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1">
        <v>1456.66</v>
      </c>
      <c r="F126" s="102">
        <f t="shared" si="19"/>
        <v>2913.32</v>
      </c>
      <c r="G126" s="102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1">
        <v>856.54</v>
      </c>
      <c r="F127" s="102">
        <f t="shared" si="19"/>
        <v>7708.86</v>
      </c>
      <c r="G127" s="102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1">
        <v>9.73</v>
      </c>
      <c r="F128" s="102">
        <f t="shared" si="19"/>
        <v>7832.65</v>
      </c>
      <c r="G128" s="102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1">
        <v>197.58</v>
      </c>
      <c r="F129" s="102">
        <f t="shared" si="19"/>
        <v>159051.9</v>
      </c>
      <c r="G129" s="102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1">
        <v>856.54</v>
      </c>
      <c r="F130" s="102">
        <f t="shared" si="19"/>
        <v>35974.68</v>
      </c>
      <c r="G130" s="102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1">
        <v>67.760000000000005</v>
      </c>
      <c r="F131" s="102">
        <f t="shared" si="19"/>
        <v>1409.41</v>
      </c>
      <c r="G131" s="102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1">
        <v>312.27999999999997</v>
      </c>
      <c r="F132" s="102">
        <f t="shared" si="19"/>
        <v>6495.42</v>
      </c>
      <c r="G132" s="102">
        <f t="shared" si="20"/>
        <v>7794.5</v>
      </c>
      <c r="H132">
        <v>3460</v>
      </c>
      <c r="I132" s="210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1"/>
      <c r="F133" s="102"/>
      <c r="G133" s="102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1">
        <v>1045.03</v>
      </c>
      <c r="F134" s="102">
        <f t="shared" si="19"/>
        <v>24035.69</v>
      </c>
      <c r="G134" s="102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1">
        <v>1960.07</v>
      </c>
      <c r="F135" s="102">
        <f t="shared" si="19"/>
        <v>11760.42</v>
      </c>
      <c r="G135" s="102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1">
        <v>1871.49</v>
      </c>
      <c r="F136" s="102">
        <f t="shared" si="19"/>
        <v>7485.96</v>
      </c>
      <c r="G136" s="102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1">
        <v>6085.15</v>
      </c>
      <c r="F137" s="102">
        <f t="shared" si="19"/>
        <v>24340.6</v>
      </c>
      <c r="G137" s="102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1">
        <v>3397.31</v>
      </c>
      <c r="F138" s="102">
        <f t="shared" si="19"/>
        <v>3397.31</v>
      </c>
      <c r="G138" s="102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1">
        <v>30624.26</v>
      </c>
      <c r="F139" s="102">
        <f t="shared" si="19"/>
        <v>30624.26</v>
      </c>
      <c r="G139" s="102">
        <f t="shared" si="20"/>
        <v>36749.11</v>
      </c>
    </row>
    <row r="140" spans="1:9" ht="34.5" customHeight="1" x14ac:dyDescent="0.3">
      <c r="A140" s="154"/>
      <c r="B140" s="530" t="s">
        <v>737</v>
      </c>
      <c r="C140" s="531"/>
      <c r="D140" s="535"/>
      <c r="E140" s="155"/>
      <c r="F140" s="156"/>
      <c r="G140" s="168"/>
    </row>
    <row r="141" spans="1:9" ht="25.5" customHeight="1" x14ac:dyDescent="0.3">
      <c r="A141" s="66"/>
      <c r="B141" s="62" t="s">
        <v>513</v>
      </c>
      <c r="C141" s="66"/>
      <c r="D141" s="71"/>
      <c r="E141" s="88"/>
      <c r="F141" s="161"/>
      <c r="G141" s="169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1">
        <v>90.47</v>
      </c>
      <c r="F142" s="102">
        <f t="shared" ref="F142:F162" si="23">ROUND(E142*D142,2)</f>
        <v>76447.149999999994</v>
      </c>
      <c r="G142" s="102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1">
        <v>1860.11</v>
      </c>
      <c r="F143" s="102">
        <f t="shared" si="23"/>
        <v>46502.75</v>
      </c>
      <c r="G143" s="102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1">
        <v>1155.67</v>
      </c>
      <c r="F144" s="102">
        <f t="shared" si="23"/>
        <v>42759.79</v>
      </c>
      <c r="G144" s="102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1">
        <v>1456.65</v>
      </c>
      <c r="F145" s="102">
        <f t="shared" si="23"/>
        <v>7283.25</v>
      </c>
      <c r="G145" s="102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1">
        <v>856.54</v>
      </c>
      <c r="F146" s="102">
        <f t="shared" si="23"/>
        <v>31691.98</v>
      </c>
      <c r="G146" s="102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1">
        <v>9.73</v>
      </c>
      <c r="F147" s="102">
        <f t="shared" si="23"/>
        <v>7404.53</v>
      </c>
      <c r="G147" s="102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1">
        <v>197.58</v>
      </c>
      <c r="F148" s="102">
        <f t="shared" si="23"/>
        <v>150358.38</v>
      </c>
      <c r="G148" s="102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1">
        <v>856.54</v>
      </c>
      <c r="F149" s="102">
        <f t="shared" si="23"/>
        <v>34261.599999999999</v>
      </c>
      <c r="G149" s="102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1">
        <v>67.760000000000005</v>
      </c>
      <c r="F150" s="102">
        <f t="shared" si="23"/>
        <v>7480.7</v>
      </c>
      <c r="G150" s="102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1">
        <v>312.27999999999997</v>
      </c>
      <c r="F151" s="102">
        <f t="shared" si="23"/>
        <v>34475.71</v>
      </c>
      <c r="G151" s="102">
        <f t="shared" si="24"/>
        <v>41370.85</v>
      </c>
      <c r="H151">
        <v>3460</v>
      </c>
      <c r="I151" s="210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1"/>
      <c r="F152" s="102"/>
      <c r="G152" s="102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1">
        <v>4746.51</v>
      </c>
      <c r="F153" s="102">
        <f t="shared" si="23"/>
        <v>147141.81</v>
      </c>
      <c r="G153" s="102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1">
        <v>8366.0300000000007</v>
      </c>
      <c r="F154" s="102">
        <f t="shared" si="23"/>
        <v>50196.18</v>
      </c>
      <c r="G154" s="102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1">
        <v>8222.4699999999993</v>
      </c>
      <c r="F155" s="102">
        <f t="shared" si="23"/>
        <v>16444.939999999999</v>
      </c>
      <c r="G155" s="102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1">
        <v>19742.93</v>
      </c>
      <c r="F156" s="102">
        <f t="shared" si="23"/>
        <v>39485.86</v>
      </c>
      <c r="G156" s="102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1">
        <v>17698.82</v>
      </c>
      <c r="F157" s="102">
        <f t="shared" si="23"/>
        <v>17698.82</v>
      </c>
      <c r="G157" s="102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1">
        <v>124950.66</v>
      </c>
      <c r="F158" s="102">
        <f t="shared" si="23"/>
        <v>124950.66</v>
      </c>
      <c r="G158" s="102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1"/>
      <c r="F159" s="102"/>
      <c r="G159" s="102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1">
        <v>2354.06</v>
      </c>
      <c r="F160" s="102">
        <f t="shared" si="23"/>
        <v>72975.86</v>
      </c>
      <c r="G160" s="102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1">
        <v>436.17</v>
      </c>
      <c r="F161" s="102">
        <f t="shared" si="23"/>
        <v>13521.27</v>
      </c>
      <c r="G161" s="102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1">
        <v>312.27999999999997</v>
      </c>
      <c r="F162" s="102">
        <f t="shared" si="23"/>
        <v>9680.68</v>
      </c>
      <c r="G162" s="102">
        <f t="shared" si="24"/>
        <v>11616.82</v>
      </c>
    </row>
    <row r="163" spans="1:9" ht="32.25" customHeight="1" x14ac:dyDescent="0.3">
      <c r="A163" s="154"/>
      <c r="B163" s="530" t="s">
        <v>738</v>
      </c>
      <c r="C163" s="531"/>
      <c r="D163" s="535"/>
      <c r="E163" s="155"/>
      <c r="F163" s="156"/>
      <c r="G163" s="168"/>
    </row>
    <row r="164" spans="1:9" x14ac:dyDescent="0.3">
      <c r="A164" s="66"/>
      <c r="B164" s="62" t="s">
        <v>513</v>
      </c>
      <c r="C164" s="66"/>
      <c r="D164" s="71"/>
      <c r="E164" s="165"/>
      <c r="F164" s="161"/>
      <c r="G164" s="169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1">
        <v>90.47</v>
      </c>
      <c r="F165" s="102">
        <f t="shared" ref="F165:F185" si="27">ROUND(E165*D165,2)</f>
        <v>16013.19</v>
      </c>
      <c r="G165" s="102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1">
        <v>1860.11</v>
      </c>
      <c r="F166" s="102">
        <f t="shared" si="27"/>
        <v>9300.5499999999993</v>
      </c>
      <c r="G166" s="102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1">
        <v>1155.67</v>
      </c>
      <c r="F167" s="102">
        <f t="shared" si="27"/>
        <v>26580.41</v>
      </c>
      <c r="G167" s="102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1">
        <v>1456.66</v>
      </c>
      <c r="F168" s="102">
        <f t="shared" si="27"/>
        <v>4369.9799999999996</v>
      </c>
      <c r="G168" s="102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1">
        <v>856.54</v>
      </c>
      <c r="F169" s="102">
        <f t="shared" si="27"/>
        <v>19700.419999999998</v>
      </c>
      <c r="G169" s="102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1">
        <v>9.73</v>
      </c>
      <c r="F170" s="102">
        <f t="shared" si="27"/>
        <v>1342.74</v>
      </c>
      <c r="G170" s="102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1">
        <v>197.58</v>
      </c>
      <c r="F171" s="102">
        <f t="shared" si="27"/>
        <v>27266.04</v>
      </c>
      <c r="G171" s="102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1">
        <v>856.54</v>
      </c>
      <c r="F172" s="102">
        <f t="shared" si="27"/>
        <v>5995.78</v>
      </c>
      <c r="G172" s="102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1">
        <v>67.760000000000005</v>
      </c>
      <c r="F173" s="102">
        <f t="shared" si="27"/>
        <v>4011.39</v>
      </c>
      <c r="G173" s="102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1">
        <v>312.27999999999997</v>
      </c>
      <c r="F174" s="102">
        <f t="shared" si="27"/>
        <v>18486.98</v>
      </c>
      <c r="G174" s="102">
        <f t="shared" si="28"/>
        <v>22184.38</v>
      </c>
      <c r="H174">
        <v>3460</v>
      </c>
      <c r="I174" s="210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1"/>
      <c r="F175" s="102"/>
      <c r="G175" s="102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1">
        <v>2864.48</v>
      </c>
      <c r="F176" s="102">
        <f t="shared" si="27"/>
        <v>88798.88</v>
      </c>
      <c r="G176" s="102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1">
        <v>4021.61</v>
      </c>
      <c r="F177" s="102">
        <f t="shared" si="27"/>
        <v>24129.66</v>
      </c>
      <c r="G177" s="102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1">
        <v>5203.95</v>
      </c>
      <c r="F178" s="102">
        <f t="shared" si="27"/>
        <v>10407.9</v>
      </c>
      <c r="G178" s="102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1">
        <v>12511.09</v>
      </c>
      <c r="F179" s="102">
        <f t="shared" si="27"/>
        <v>25022.18</v>
      </c>
      <c r="G179" s="102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1">
        <v>9227.06</v>
      </c>
      <c r="F180" s="102">
        <f t="shared" si="27"/>
        <v>9227.06</v>
      </c>
      <c r="G180" s="102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1">
        <v>70121.429999999993</v>
      </c>
      <c r="F181" s="102">
        <f t="shared" si="27"/>
        <v>70121.429999999993</v>
      </c>
      <c r="G181" s="102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1"/>
      <c r="F182" s="102"/>
      <c r="G182" s="102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1">
        <v>1334.42</v>
      </c>
      <c r="F183" s="102">
        <f t="shared" si="27"/>
        <v>41367.019999999997</v>
      </c>
      <c r="G183" s="102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1">
        <v>436.17</v>
      </c>
      <c r="F184" s="102">
        <f t="shared" si="27"/>
        <v>6106.38</v>
      </c>
      <c r="G184" s="102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1">
        <v>312.27999999999997</v>
      </c>
      <c r="F185" s="102">
        <f t="shared" si="27"/>
        <v>4371.92</v>
      </c>
      <c r="G185" s="102">
        <f t="shared" si="28"/>
        <v>5246.3</v>
      </c>
    </row>
    <row r="186" spans="1:8" ht="29.25" customHeight="1" x14ac:dyDescent="0.3">
      <c r="A186" s="154"/>
      <c r="B186" s="530" t="s">
        <v>739</v>
      </c>
      <c r="C186" s="531"/>
      <c r="D186" s="535"/>
      <c r="E186" s="155"/>
      <c r="F186" s="156"/>
      <c r="G186" s="168"/>
    </row>
    <row r="187" spans="1:8" x14ac:dyDescent="0.3">
      <c r="A187" s="66"/>
      <c r="B187" s="62" t="s">
        <v>513</v>
      </c>
      <c r="C187" s="66"/>
      <c r="D187" s="71"/>
      <c r="E187" s="165"/>
      <c r="F187" s="161"/>
      <c r="G187" s="169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1">
        <v>90.47</v>
      </c>
      <c r="F188" s="102">
        <f t="shared" ref="F188:F208" si="31">ROUND(E188*D188,2)</f>
        <v>53829.65</v>
      </c>
      <c r="G188" s="102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1">
        <v>1860.11</v>
      </c>
      <c r="F189" s="102">
        <f t="shared" si="31"/>
        <v>33481.980000000003</v>
      </c>
      <c r="G189" s="102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1">
        <v>1155.67</v>
      </c>
      <c r="F190" s="102">
        <f t="shared" si="31"/>
        <v>15023.71</v>
      </c>
      <c r="G190" s="102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1">
        <v>1456.66</v>
      </c>
      <c r="F191" s="102">
        <f t="shared" si="31"/>
        <v>2913.32</v>
      </c>
      <c r="G191" s="102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1">
        <v>856.54</v>
      </c>
      <c r="F192" s="102">
        <f t="shared" si="31"/>
        <v>11135.02</v>
      </c>
      <c r="G192" s="102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1">
        <v>9.73</v>
      </c>
      <c r="F193" s="102">
        <f t="shared" si="31"/>
        <v>5453.67</v>
      </c>
      <c r="G193" s="102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1">
        <v>197.58</v>
      </c>
      <c r="F194" s="102">
        <f t="shared" si="31"/>
        <v>110743.59</v>
      </c>
      <c r="G194" s="102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1">
        <v>856.54</v>
      </c>
      <c r="F195" s="102">
        <f t="shared" si="31"/>
        <v>25267.93</v>
      </c>
      <c r="G195" s="102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1">
        <v>67.760000000000005</v>
      </c>
      <c r="F196" s="102">
        <f t="shared" si="31"/>
        <v>2493.5700000000002</v>
      </c>
      <c r="G196" s="102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1">
        <v>312.27999999999997</v>
      </c>
      <c r="F197" s="102">
        <f t="shared" si="31"/>
        <v>11491.9</v>
      </c>
      <c r="G197" s="102">
        <f t="shared" si="33"/>
        <v>13790.28</v>
      </c>
      <c r="H197">
        <v>3460</v>
      </c>
      <c r="I197" s="210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1"/>
      <c r="F198" s="102"/>
      <c r="G198" s="102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1">
        <v>2864.48</v>
      </c>
      <c r="F199" s="102">
        <f t="shared" si="31"/>
        <v>60154.080000000002</v>
      </c>
      <c r="G199" s="102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1">
        <v>4021.61</v>
      </c>
      <c r="F200" s="102">
        <f t="shared" si="31"/>
        <v>24129.66</v>
      </c>
      <c r="G200" s="102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1">
        <v>5203.95</v>
      </c>
      <c r="F201" s="102">
        <f t="shared" si="31"/>
        <v>10407.9</v>
      </c>
      <c r="G201" s="102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1">
        <v>12511.09</v>
      </c>
      <c r="F202" s="102">
        <f t="shared" si="31"/>
        <v>25022.18</v>
      </c>
      <c r="G202" s="102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1">
        <v>9227.06</v>
      </c>
      <c r="F203" s="102">
        <f t="shared" si="31"/>
        <v>9227.06</v>
      </c>
      <c r="G203" s="102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1">
        <v>70121.429999999993</v>
      </c>
      <c r="F204" s="102">
        <f t="shared" si="31"/>
        <v>70121.429999999993</v>
      </c>
      <c r="G204" s="102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1"/>
      <c r="F205" s="102"/>
      <c r="G205" s="102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1">
        <v>1334.42</v>
      </c>
      <c r="F206" s="102">
        <f t="shared" si="31"/>
        <v>28022.82</v>
      </c>
      <c r="G206" s="102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1">
        <v>436.17</v>
      </c>
      <c r="F207" s="102">
        <f t="shared" si="31"/>
        <v>3489.36</v>
      </c>
      <c r="G207" s="102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1">
        <v>312.27999999999997</v>
      </c>
      <c r="F208" s="102">
        <f t="shared" si="31"/>
        <v>2498.2399999999998</v>
      </c>
      <c r="G208" s="102">
        <f t="shared" si="35"/>
        <v>2997.89</v>
      </c>
    </row>
    <row r="209" spans="1:9" ht="29.25" customHeight="1" x14ac:dyDescent="0.3">
      <c r="A209" s="154"/>
      <c r="B209" s="530" t="s">
        <v>740</v>
      </c>
      <c r="C209" s="531"/>
      <c r="D209" s="535"/>
      <c r="E209" s="155"/>
      <c r="F209" s="156"/>
      <c r="G209" s="168"/>
    </row>
    <row r="210" spans="1:9" x14ac:dyDescent="0.3">
      <c r="A210" s="66"/>
      <c r="B210" s="62" t="s">
        <v>513</v>
      </c>
      <c r="C210" s="66"/>
      <c r="D210" s="68"/>
      <c r="E210" s="165"/>
      <c r="F210" s="161"/>
      <c r="G210" s="169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1">
        <v>90.47</v>
      </c>
      <c r="F211" s="102">
        <f t="shared" ref="F211:F231" si="37">ROUND(E211*D211,2)</f>
        <v>160946.13</v>
      </c>
      <c r="G211" s="102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1">
        <v>1860.11</v>
      </c>
      <c r="F212" s="102">
        <f t="shared" si="37"/>
        <v>98585.83</v>
      </c>
      <c r="G212" s="102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1">
        <v>1155.67</v>
      </c>
      <c r="F213" s="102">
        <f t="shared" si="37"/>
        <v>46226.8</v>
      </c>
      <c r="G213" s="102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1">
        <v>1456.65</v>
      </c>
      <c r="F214" s="102">
        <f t="shared" si="37"/>
        <v>8739.9</v>
      </c>
      <c r="G214" s="102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1">
        <v>856.54</v>
      </c>
      <c r="F215" s="102">
        <f t="shared" si="37"/>
        <v>34261.599999999999</v>
      </c>
      <c r="G215" s="102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1">
        <v>9.73</v>
      </c>
      <c r="F216" s="102">
        <f t="shared" si="37"/>
        <v>16361</v>
      </c>
      <c r="G216" s="102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1">
        <v>197.58</v>
      </c>
      <c r="F217" s="102">
        <f t="shared" si="37"/>
        <v>332230.77</v>
      </c>
      <c r="G217" s="102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1">
        <v>856.54</v>
      </c>
      <c r="F218" s="102">
        <f t="shared" si="37"/>
        <v>75803.789999999994</v>
      </c>
      <c r="G218" s="102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1">
        <v>67.760000000000005</v>
      </c>
      <c r="F219" s="102">
        <f t="shared" si="37"/>
        <v>6721.79</v>
      </c>
      <c r="G219" s="102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1">
        <v>312.27999999999997</v>
      </c>
      <c r="F220" s="102">
        <f t="shared" si="37"/>
        <v>30978.18</v>
      </c>
      <c r="G220" s="102">
        <f t="shared" si="38"/>
        <v>37173.82</v>
      </c>
      <c r="H220">
        <v>3460</v>
      </c>
      <c r="I220" s="210" t="s">
        <v>917</v>
      </c>
    </row>
    <row r="221" spans="1:9" ht="15.6" x14ac:dyDescent="0.3">
      <c r="A221" s="66"/>
      <c r="B221" s="62" t="s">
        <v>523</v>
      </c>
      <c r="C221" s="66"/>
      <c r="D221" s="68"/>
      <c r="E221" s="171"/>
      <c r="F221" s="102"/>
      <c r="G221" s="102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1">
        <v>2864.48</v>
      </c>
      <c r="F222" s="102">
        <f t="shared" si="37"/>
        <v>140359.51999999999</v>
      </c>
      <c r="G222" s="102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1">
        <v>4021.61</v>
      </c>
      <c r="F223" s="102">
        <f t="shared" si="37"/>
        <v>24129.66</v>
      </c>
      <c r="G223" s="102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1">
        <v>5203.95</v>
      </c>
      <c r="F224" s="102">
        <f t="shared" si="37"/>
        <v>10407.9</v>
      </c>
      <c r="G224" s="102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1">
        <v>12511.09</v>
      </c>
      <c r="F225" s="102">
        <f t="shared" si="37"/>
        <v>25022.18</v>
      </c>
      <c r="G225" s="102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1">
        <v>9227.06</v>
      </c>
      <c r="F226" s="102">
        <f t="shared" si="37"/>
        <v>9227.06</v>
      </c>
      <c r="G226" s="102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1">
        <v>70121.429999999993</v>
      </c>
      <c r="F227" s="102">
        <f t="shared" si="37"/>
        <v>70121.429999999993</v>
      </c>
      <c r="G227" s="102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1"/>
      <c r="F228" s="102"/>
      <c r="G228" s="102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1">
        <v>1334.42</v>
      </c>
      <c r="F229" s="102">
        <f t="shared" si="37"/>
        <v>65386.58</v>
      </c>
      <c r="G229" s="102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1">
        <v>412.84</v>
      </c>
      <c r="F230" s="102">
        <f t="shared" si="37"/>
        <v>7720.11</v>
      </c>
      <c r="G230" s="102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1">
        <v>312.27999999999997</v>
      </c>
      <c r="F231" s="102">
        <f t="shared" si="37"/>
        <v>5839.64</v>
      </c>
      <c r="G231" s="102">
        <f t="shared" si="43"/>
        <v>7007.57</v>
      </c>
    </row>
    <row r="232" spans="1:9" ht="23.25" customHeight="1" x14ac:dyDescent="0.3">
      <c r="A232" s="154"/>
      <c r="B232" s="530" t="s">
        <v>741</v>
      </c>
      <c r="C232" s="531"/>
      <c r="D232" s="535"/>
      <c r="E232" s="155"/>
      <c r="F232" s="156"/>
      <c r="G232" s="168"/>
    </row>
    <row r="233" spans="1:9" ht="22.5" customHeight="1" x14ac:dyDescent="0.3">
      <c r="A233" s="66"/>
      <c r="B233" s="62" t="s">
        <v>513</v>
      </c>
      <c r="C233" s="66"/>
      <c r="D233" s="68"/>
      <c r="E233" s="165"/>
      <c r="F233" s="161"/>
      <c r="G233" s="169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1">
        <v>1550.1</v>
      </c>
      <c r="F234" s="102">
        <f t="shared" ref="F234:F237" si="44">ROUND(E234*D234,2)</f>
        <v>16741.080000000002</v>
      </c>
      <c r="G234" s="102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1">
        <v>856.54</v>
      </c>
      <c r="F235" s="102">
        <f t="shared" si="44"/>
        <v>5738.82</v>
      </c>
      <c r="G235" s="102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1">
        <v>518.38</v>
      </c>
      <c r="F236" s="102">
        <f t="shared" si="44"/>
        <v>2125.36</v>
      </c>
      <c r="G236" s="102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1">
        <v>312.27999999999997</v>
      </c>
      <c r="F237" s="102">
        <f t="shared" si="44"/>
        <v>2242.17</v>
      </c>
      <c r="G237" s="102">
        <f t="shared" si="45"/>
        <v>2690.6</v>
      </c>
      <c r="H237">
        <v>3460</v>
      </c>
      <c r="I237" s="210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1"/>
      <c r="F238" s="102"/>
      <c r="G238" s="102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1">
        <v>162.32</v>
      </c>
      <c r="F239" s="102">
        <f t="shared" ref="F239:F245" si="47">ROUND(E239*D239,2)</f>
        <v>6492.8</v>
      </c>
      <c r="G239" s="102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1">
        <v>1976.06</v>
      </c>
      <c r="F240" s="102">
        <f t="shared" si="47"/>
        <v>3952.12</v>
      </c>
      <c r="G240" s="102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1">
        <v>64.27</v>
      </c>
      <c r="F241" s="102">
        <f t="shared" si="47"/>
        <v>15424.8</v>
      </c>
      <c r="G241" s="102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1">
        <v>151.6</v>
      </c>
      <c r="F242" s="102">
        <f t="shared" si="47"/>
        <v>36384</v>
      </c>
      <c r="G242" s="102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1">
        <v>327.23</v>
      </c>
      <c r="F243" s="102">
        <f t="shared" si="47"/>
        <v>13089.2</v>
      </c>
      <c r="G243" s="102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1">
        <v>8752.73</v>
      </c>
      <c r="F244" s="102">
        <f t="shared" si="47"/>
        <v>35010.92</v>
      </c>
      <c r="G244" s="102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1">
        <v>18.45</v>
      </c>
      <c r="F245" s="102">
        <f t="shared" si="47"/>
        <v>738</v>
      </c>
      <c r="G245" s="102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1"/>
      <c r="F246" s="102"/>
      <c r="G246" s="102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1">
        <v>6257.28</v>
      </c>
      <c r="F247" s="102">
        <f t="shared" ref="F247:F250" si="49">ROUND(E247*D247,2)</f>
        <v>25029.119999999999</v>
      </c>
      <c r="G247" s="102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1">
        <v>6257.28</v>
      </c>
      <c r="F248" s="102">
        <f t="shared" si="49"/>
        <v>25029.119999999999</v>
      </c>
      <c r="G248" s="102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1">
        <v>6257.28</v>
      </c>
      <c r="F249" s="102">
        <f t="shared" si="49"/>
        <v>25029.119999999999</v>
      </c>
      <c r="G249" s="102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1">
        <v>2329.08</v>
      </c>
      <c r="F250" s="102">
        <f t="shared" si="49"/>
        <v>6987.24</v>
      </c>
      <c r="G250" s="102">
        <f t="shared" si="45"/>
        <v>8384.69</v>
      </c>
    </row>
    <row r="251" spans="1:8" x14ac:dyDescent="0.3">
      <c r="A251" s="167"/>
      <c r="B251" s="520" t="s">
        <v>716</v>
      </c>
      <c r="C251" s="521"/>
      <c r="D251" s="521"/>
      <c r="E251" s="522"/>
      <c r="F251" s="158">
        <f>SUM(F6:F250)</f>
        <v>6681041.8199999994</v>
      </c>
      <c r="G251" s="158">
        <f>SUM(G6:G250)</f>
        <v>8017250.1500000004</v>
      </c>
    </row>
    <row r="252" spans="1:8" x14ac:dyDescent="0.3">
      <c r="A252" s="475" t="s">
        <v>717</v>
      </c>
      <c r="B252" s="476"/>
      <c r="C252" s="476"/>
      <c r="D252" s="476"/>
      <c r="E252" s="477"/>
      <c r="F252" s="212">
        <f>ROUND(F251*0.03,2)</f>
        <v>200431.25</v>
      </c>
      <c r="G252" s="212">
        <f>ROUND(G251*0.03,2)</f>
        <v>240517.5</v>
      </c>
      <c r="H252" s="52"/>
    </row>
    <row r="253" spans="1:8" x14ac:dyDescent="0.3">
      <c r="A253" s="475" t="s">
        <v>718</v>
      </c>
      <c r="B253" s="476"/>
      <c r="C253" s="476"/>
      <c r="D253" s="476"/>
      <c r="E253" s="477"/>
      <c r="F253" s="212">
        <f>F251+F252</f>
        <v>6881473.0699999994</v>
      </c>
      <c r="G253" s="212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497" t="s">
        <v>226</v>
      </c>
      <c r="B1" s="519" t="s">
        <v>201</v>
      </c>
      <c r="C1" s="497" t="s">
        <v>700</v>
      </c>
      <c r="D1" s="497" t="s">
        <v>202</v>
      </c>
      <c r="E1" s="518" t="s">
        <v>698</v>
      </c>
      <c r="F1" s="518"/>
      <c r="G1" s="518"/>
    </row>
    <row r="2" spans="1:7" s="54" customFormat="1" ht="27.6" x14ac:dyDescent="0.3">
      <c r="A2" s="497"/>
      <c r="B2" s="519"/>
      <c r="C2" s="497"/>
      <c r="D2" s="497"/>
      <c r="E2" s="92" t="s">
        <v>699</v>
      </c>
      <c r="F2" s="105" t="s">
        <v>197</v>
      </c>
      <c r="G2" s="105" t="s">
        <v>198</v>
      </c>
    </row>
    <row r="3" spans="1:7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9.5" customHeight="1" x14ac:dyDescent="0.3">
      <c r="A4" s="154"/>
      <c r="B4" s="478" t="s">
        <v>732</v>
      </c>
      <c r="C4" s="479"/>
      <c r="D4" s="505"/>
      <c r="E4" s="156"/>
      <c r="F4" s="157"/>
      <c r="G4" s="126"/>
    </row>
    <row r="5" spans="1:7" x14ac:dyDescent="0.3">
      <c r="A5" s="87">
        <v>1</v>
      </c>
      <c r="B5" s="67" t="s">
        <v>390</v>
      </c>
      <c r="C5" s="66" t="s">
        <v>193</v>
      </c>
      <c r="D5" s="72">
        <v>14.3</v>
      </c>
      <c r="E5" s="97">
        <v>1320</v>
      </c>
      <c r="F5" s="102">
        <f>ROUND(E5*D5,2)</f>
        <v>18876</v>
      </c>
      <c r="G5" s="102">
        <f>ROUND(F5*1.2,2)</f>
        <v>22651.200000000001</v>
      </c>
    </row>
    <row r="6" spans="1:7" x14ac:dyDescent="0.3">
      <c r="A6" s="87">
        <f>A5+1</f>
        <v>2</v>
      </c>
      <c r="B6" s="67" t="s">
        <v>742</v>
      </c>
      <c r="C6" s="66" t="s">
        <v>194</v>
      </c>
      <c r="D6" s="71">
        <v>31</v>
      </c>
      <c r="E6" s="97">
        <v>2640</v>
      </c>
      <c r="F6" s="102">
        <f t="shared" ref="F6:F31" si="0">ROUND(E6*D6,2)</f>
        <v>81840</v>
      </c>
      <c r="G6" s="102">
        <f t="shared" ref="G6:G31" si="1">ROUND(F6*1.2,2)</f>
        <v>98208</v>
      </c>
    </row>
    <row r="7" spans="1:7" x14ac:dyDescent="0.3">
      <c r="A7" s="87">
        <f>A6+1</f>
        <v>3</v>
      </c>
      <c r="B7" s="67" t="s">
        <v>743</v>
      </c>
      <c r="C7" s="66" t="s">
        <v>194</v>
      </c>
      <c r="D7" s="71">
        <v>6</v>
      </c>
      <c r="E7" s="97">
        <v>9680</v>
      </c>
      <c r="F7" s="102">
        <f t="shared" si="0"/>
        <v>58080</v>
      </c>
      <c r="G7" s="102">
        <f t="shared" si="1"/>
        <v>69696</v>
      </c>
    </row>
    <row r="8" spans="1:7" x14ac:dyDescent="0.3">
      <c r="A8" s="87">
        <f t="shared" ref="A8:A31" si="2">A7+1</f>
        <v>4</v>
      </c>
      <c r="B8" s="67" t="s">
        <v>744</v>
      </c>
      <c r="C8" s="66" t="s">
        <v>220</v>
      </c>
      <c r="D8" s="71">
        <v>2</v>
      </c>
      <c r="E8" s="97">
        <v>3300</v>
      </c>
      <c r="F8" s="102">
        <f t="shared" si="0"/>
        <v>6600</v>
      </c>
      <c r="G8" s="102">
        <f t="shared" si="1"/>
        <v>7920</v>
      </c>
    </row>
    <row r="9" spans="1:7" x14ac:dyDescent="0.3">
      <c r="A9" s="87">
        <f t="shared" si="2"/>
        <v>5</v>
      </c>
      <c r="B9" s="67" t="s">
        <v>745</v>
      </c>
      <c r="C9" s="66" t="s">
        <v>220</v>
      </c>
      <c r="D9" s="71">
        <v>2</v>
      </c>
      <c r="E9" s="97">
        <v>3410</v>
      </c>
      <c r="F9" s="102">
        <f t="shared" si="0"/>
        <v>6820</v>
      </c>
      <c r="G9" s="102">
        <f t="shared" si="1"/>
        <v>8184</v>
      </c>
    </row>
    <row r="10" spans="1:7" ht="27.6" x14ac:dyDescent="0.3">
      <c r="A10" s="87">
        <f t="shared" si="2"/>
        <v>6</v>
      </c>
      <c r="B10" s="67" t="s">
        <v>746</v>
      </c>
      <c r="C10" s="66" t="s">
        <v>220</v>
      </c>
      <c r="D10" s="71">
        <v>2</v>
      </c>
      <c r="E10" s="97">
        <v>3740</v>
      </c>
      <c r="F10" s="102">
        <f t="shared" si="0"/>
        <v>7480</v>
      </c>
      <c r="G10" s="102">
        <f t="shared" si="1"/>
        <v>8976</v>
      </c>
    </row>
    <row r="11" spans="1:7" x14ac:dyDescent="0.3">
      <c r="A11" s="87">
        <f t="shared" si="2"/>
        <v>7</v>
      </c>
      <c r="B11" s="67" t="s">
        <v>747</v>
      </c>
      <c r="C11" s="66" t="s">
        <v>254</v>
      </c>
      <c r="D11" s="76">
        <v>8.7479999999999993</v>
      </c>
      <c r="E11" s="97">
        <v>127</v>
      </c>
      <c r="F11" s="102">
        <f t="shared" si="0"/>
        <v>1111</v>
      </c>
      <c r="G11" s="102">
        <f t="shared" si="1"/>
        <v>1333.2</v>
      </c>
    </row>
    <row r="12" spans="1:7" x14ac:dyDescent="0.3">
      <c r="A12" s="87">
        <f t="shared" si="2"/>
        <v>8</v>
      </c>
      <c r="B12" s="67" t="s">
        <v>748</v>
      </c>
      <c r="C12" s="66" t="s">
        <v>254</v>
      </c>
      <c r="D12" s="76">
        <v>2.556</v>
      </c>
      <c r="E12" s="97">
        <v>147</v>
      </c>
      <c r="F12" s="102">
        <f t="shared" si="0"/>
        <v>375.73</v>
      </c>
      <c r="G12" s="102">
        <f t="shared" si="1"/>
        <v>450.88</v>
      </c>
    </row>
    <row r="13" spans="1:7" x14ac:dyDescent="0.3">
      <c r="A13" s="87">
        <f t="shared" si="2"/>
        <v>9</v>
      </c>
      <c r="B13" s="67" t="s">
        <v>749</v>
      </c>
      <c r="C13" s="66" t="s">
        <v>254</v>
      </c>
      <c r="D13" s="77">
        <v>1.2347999999999999</v>
      </c>
      <c r="E13" s="97">
        <v>197</v>
      </c>
      <c r="F13" s="102">
        <f t="shared" si="0"/>
        <v>243.26</v>
      </c>
      <c r="G13" s="102">
        <f t="shared" si="1"/>
        <v>291.91000000000003</v>
      </c>
    </row>
    <row r="14" spans="1:7" ht="27.6" x14ac:dyDescent="0.3">
      <c r="A14" s="87">
        <f t="shared" si="2"/>
        <v>10</v>
      </c>
      <c r="B14" s="67" t="s">
        <v>750</v>
      </c>
      <c r="C14" s="66" t="s">
        <v>220</v>
      </c>
      <c r="D14" s="71">
        <v>2</v>
      </c>
      <c r="E14" s="97">
        <v>3699</v>
      </c>
      <c r="F14" s="102">
        <f t="shared" si="0"/>
        <v>7398</v>
      </c>
      <c r="G14" s="102">
        <f t="shared" si="1"/>
        <v>8877.6</v>
      </c>
    </row>
    <row r="15" spans="1:7" x14ac:dyDescent="0.3">
      <c r="A15" s="87">
        <f t="shared" si="2"/>
        <v>11</v>
      </c>
      <c r="B15" s="67" t="s">
        <v>751</v>
      </c>
      <c r="C15" s="66" t="s">
        <v>220</v>
      </c>
      <c r="D15" s="71">
        <v>1</v>
      </c>
      <c r="E15" s="97">
        <v>18150</v>
      </c>
      <c r="F15" s="102">
        <f t="shared" si="0"/>
        <v>18150</v>
      </c>
      <c r="G15" s="102">
        <f t="shared" si="1"/>
        <v>21780</v>
      </c>
    </row>
    <row r="16" spans="1:7" ht="27.6" x14ac:dyDescent="0.3">
      <c r="A16" s="87">
        <f t="shared" si="2"/>
        <v>12</v>
      </c>
      <c r="B16" s="67" t="s">
        <v>752</v>
      </c>
      <c r="C16" s="66" t="s">
        <v>220</v>
      </c>
      <c r="D16" s="71">
        <v>3</v>
      </c>
      <c r="E16" s="97">
        <v>61</v>
      </c>
      <c r="F16" s="102">
        <f t="shared" si="0"/>
        <v>183</v>
      </c>
      <c r="G16" s="102">
        <f t="shared" si="1"/>
        <v>219.6</v>
      </c>
    </row>
    <row r="17" spans="1:8" x14ac:dyDescent="0.3">
      <c r="A17" s="87">
        <f t="shared" si="2"/>
        <v>13</v>
      </c>
      <c r="B17" s="67" t="s">
        <v>753</v>
      </c>
      <c r="C17" s="66" t="s">
        <v>220</v>
      </c>
      <c r="D17" s="71">
        <v>1</v>
      </c>
      <c r="E17" s="97">
        <v>10450</v>
      </c>
      <c r="F17" s="102">
        <f t="shared" si="0"/>
        <v>10450</v>
      </c>
      <c r="G17" s="102">
        <f t="shared" si="1"/>
        <v>12540</v>
      </c>
    </row>
    <row r="18" spans="1:8" x14ac:dyDescent="0.3">
      <c r="A18" s="87">
        <f t="shared" si="2"/>
        <v>14</v>
      </c>
      <c r="B18" s="67" t="s">
        <v>754</v>
      </c>
      <c r="C18" s="66" t="s">
        <v>220</v>
      </c>
      <c r="D18" s="71">
        <v>1</v>
      </c>
      <c r="E18" s="97">
        <v>3410</v>
      </c>
      <c r="F18" s="102">
        <f t="shared" si="0"/>
        <v>3410</v>
      </c>
      <c r="G18" s="102">
        <f t="shared" si="1"/>
        <v>4092</v>
      </c>
    </row>
    <row r="19" spans="1:8" x14ac:dyDescent="0.3">
      <c r="A19" s="87">
        <f t="shared" si="2"/>
        <v>15</v>
      </c>
      <c r="B19" s="67" t="s">
        <v>755</v>
      </c>
      <c r="C19" s="74" t="s">
        <v>193</v>
      </c>
      <c r="D19" s="71">
        <v>1</v>
      </c>
      <c r="E19" s="97">
        <v>3850</v>
      </c>
      <c r="F19" s="102">
        <f t="shared" si="0"/>
        <v>3850</v>
      </c>
      <c r="G19" s="102">
        <f t="shared" si="1"/>
        <v>4620</v>
      </c>
    </row>
    <row r="20" spans="1:8" x14ac:dyDescent="0.3">
      <c r="A20" s="87">
        <f t="shared" si="2"/>
        <v>16</v>
      </c>
      <c r="B20" s="67" t="s">
        <v>756</v>
      </c>
      <c r="C20" s="74" t="s">
        <v>220</v>
      </c>
      <c r="D20" s="82" t="s">
        <v>757</v>
      </c>
      <c r="E20" s="97">
        <v>4565</v>
      </c>
      <c r="F20" s="102">
        <f t="shared" si="0"/>
        <v>4565</v>
      </c>
      <c r="G20" s="102">
        <f t="shared" si="1"/>
        <v>5478</v>
      </c>
    </row>
    <row r="21" spans="1:8" x14ac:dyDescent="0.3">
      <c r="A21" s="87">
        <f t="shared" si="2"/>
        <v>17</v>
      </c>
      <c r="B21" s="67" t="s">
        <v>758</v>
      </c>
      <c r="C21" s="74" t="s">
        <v>220</v>
      </c>
      <c r="D21" s="82" t="s">
        <v>757</v>
      </c>
      <c r="E21" s="97">
        <v>4290</v>
      </c>
      <c r="F21" s="102">
        <f t="shared" si="0"/>
        <v>4290</v>
      </c>
      <c r="G21" s="102">
        <f t="shared" si="1"/>
        <v>5148</v>
      </c>
    </row>
    <row r="22" spans="1:8" x14ac:dyDescent="0.3">
      <c r="A22" s="87">
        <f t="shared" si="2"/>
        <v>18</v>
      </c>
      <c r="B22" s="67" t="s">
        <v>759</v>
      </c>
      <c r="C22" s="74" t="s">
        <v>220</v>
      </c>
      <c r="D22" s="82" t="s">
        <v>760</v>
      </c>
      <c r="E22" s="97">
        <v>5060</v>
      </c>
      <c r="F22" s="102">
        <f t="shared" si="0"/>
        <v>10120</v>
      </c>
      <c r="G22" s="102">
        <f t="shared" si="1"/>
        <v>12144</v>
      </c>
    </row>
    <row r="23" spans="1:8" x14ac:dyDescent="0.3">
      <c r="A23" s="87">
        <f t="shared" si="2"/>
        <v>19</v>
      </c>
      <c r="B23" s="67" t="s">
        <v>761</v>
      </c>
      <c r="C23" s="74" t="s">
        <v>220</v>
      </c>
      <c r="D23" s="82" t="s">
        <v>757</v>
      </c>
      <c r="E23" s="97">
        <v>4070.0000000000005</v>
      </c>
      <c r="F23" s="102">
        <f t="shared" si="0"/>
        <v>4070</v>
      </c>
      <c r="G23" s="102">
        <f t="shared" si="1"/>
        <v>4884</v>
      </c>
    </row>
    <row r="24" spans="1:8" x14ac:dyDescent="0.3">
      <c r="A24" s="87">
        <f t="shared" si="2"/>
        <v>20</v>
      </c>
      <c r="B24" s="67" t="s">
        <v>762</v>
      </c>
      <c r="C24" s="74" t="s">
        <v>220</v>
      </c>
      <c r="D24" s="82" t="s">
        <v>757</v>
      </c>
      <c r="E24" s="97">
        <v>6199</v>
      </c>
      <c r="F24" s="102">
        <f t="shared" si="0"/>
        <v>6199</v>
      </c>
      <c r="G24" s="102">
        <f t="shared" si="1"/>
        <v>7438.8</v>
      </c>
    </row>
    <row r="25" spans="1:8" x14ac:dyDescent="0.3">
      <c r="A25" s="87">
        <f t="shared" si="2"/>
        <v>21</v>
      </c>
      <c r="B25" s="67" t="s">
        <v>763</v>
      </c>
      <c r="C25" s="74" t="s">
        <v>220</v>
      </c>
      <c r="D25" s="82" t="s">
        <v>757</v>
      </c>
      <c r="E25" s="97">
        <v>15180</v>
      </c>
      <c r="F25" s="102">
        <f t="shared" si="0"/>
        <v>15180</v>
      </c>
      <c r="G25" s="102">
        <f t="shared" si="1"/>
        <v>18216</v>
      </c>
    </row>
    <row r="26" spans="1:8" x14ac:dyDescent="0.3">
      <c r="A26" s="87">
        <f t="shared" si="2"/>
        <v>22</v>
      </c>
      <c r="B26" s="67" t="s">
        <v>764</v>
      </c>
      <c r="C26" s="74" t="s">
        <v>254</v>
      </c>
      <c r="D26" s="82" t="s">
        <v>765</v>
      </c>
      <c r="E26" s="97">
        <v>702</v>
      </c>
      <c r="F26" s="102">
        <f t="shared" si="0"/>
        <v>16146</v>
      </c>
      <c r="G26" s="102">
        <f t="shared" si="1"/>
        <v>19375.2</v>
      </c>
    </row>
    <row r="27" spans="1:8" x14ac:dyDescent="0.3">
      <c r="A27" s="87">
        <f t="shared" si="2"/>
        <v>23</v>
      </c>
      <c r="B27" s="67" t="s">
        <v>766</v>
      </c>
      <c r="C27" s="74" t="s">
        <v>194</v>
      </c>
      <c r="D27" s="204">
        <f>6*0.245</f>
        <v>1.47</v>
      </c>
      <c r="E27" s="97">
        <v>319</v>
      </c>
      <c r="F27" s="102">
        <f t="shared" si="0"/>
        <v>468.93</v>
      </c>
      <c r="G27" s="102">
        <f t="shared" si="1"/>
        <v>562.72</v>
      </c>
    </row>
    <row r="28" spans="1:8" x14ac:dyDescent="0.3">
      <c r="A28" s="87">
        <f t="shared" si="2"/>
        <v>24</v>
      </c>
      <c r="B28" s="67" t="s">
        <v>767</v>
      </c>
      <c r="C28" s="74" t="s">
        <v>254</v>
      </c>
      <c r="D28" s="204">
        <f>0.3*6*3.1</f>
        <v>5.5799999999999992</v>
      </c>
      <c r="E28" s="97">
        <v>95</v>
      </c>
      <c r="F28" s="102">
        <f t="shared" si="0"/>
        <v>530.1</v>
      </c>
      <c r="G28" s="102">
        <f t="shared" si="1"/>
        <v>636.12</v>
      </c>
    </row>
    <row r="29" spans="1:8" x14ac:dyDescent="0.3">
      <c r="A29" s="87">
        <f t="shared" si="2"/>
        <v>25</v>
      </c>
      <c r="B29" s="67" t="s">
        <v>768</v>
      </c>
      <c r="C29" s="74" t="s">
        <v>254</v>
      </c>
      <c r="D29" s="82" t="s">
        <v>769</v>
      </c>
      <c r="E29" s="97">
        <v>250</v>
      </c>
      <c r="F29" s="102">
        <f t="shared" si="0"/>
        <v>1250</v>
      </c>
      <c r="G29" s="102">
        <f t="shared" si="1"/>
        <v>1500</v>
      </c>
    </row>
    <row r="30" spans="1:8" x14ac:dyDescent="0.3">
      <c r="A30" s="87">
        <f t="shared" si="2"/>
        <v>26</v>
      </c>
      <c r="B30" s="67" t="s">
        <v>388</v>
      </c>
      <c r="C30" s="74" t="s">
        <v>254</v>
      </c>
      <c r="D30" s="82" t="s">
        <v>770</v>
      </c>
      <c r="E30" s="97">
        <v>312</v>
      </c>
      <c r="F30" s="102">
        <f t="shared" si="0"/>
        <v>10608</v>
      </c>
      <c r="G30" s="102">
        <f t="shared" si="1"/>
        <v>12729.6</v>
      </c>
    </row>
    <row r="31" spans="1:8" x14ac:dyDescent="0.3">
      <c r="A31" s="87">
        <f t="shared" si="2"/>
        <v>27</v>
      </c>
      <c r="B31" s="67" t="s">
        <v>771</v>
      </c>
      <c r="C31" s="74" t="s">
        <v>193</v>
      </c>
      <c r="D31" s="82" t="s">
        <v>772</v>
      </c>
      <c r="E31" s="97">
        <v>1368</v>
      </c>
      <c r="F31" s="102">
        <f t="shared" si="0"/>
        <v>957.6</v>
      </c>
      <c r="G31" s="102">
        <f t="shared" si="1"/>
        <v>1149.1199999999999</v>
      </c>
      <c r="H31" s="208"/>
    </row>
    <row r="32" spans="1:8" ht="21.75" customHeight="1" x14ac:dyDescent="0.3">
      <c r="A32" s="154"/>
      <c r="B32" s="530" t="s">
        <v>733</v>
      </c>
      <c r="C32" s="531"/>
      <c r="D32" s="531"/>
      <c r="E32" s="156"/>
      <c r="F32" s="157"/>
      <c r="G32" s="126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7">
        <v>1320</v>
      </c>
      <c r="F33" s="102">
        <f t="shared" ref="F33:F45" si="3">ROUND(E33*D33,2)</f>
        <v>62040</v>
      </c>
      <c r="G33" s="102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7">
        <v>1430</v>
      </c>
      <c r="F34" s="102">
        <f t="shared" si="3"/>
        <v>138710</v>
      </c>
      <c r="G34" s="102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7">
        <v>8140</v>
      </c>
      <c r="F35" s="102">
        <f t="shared" si="3"/>
        <v>48840</v>
      </c>
      <c r="G35" s="102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7">
        <v>2090</v>
      </c>
      <c r="F36" s="102">
        <f t="shared" si="3"/>
        <v>4180</v>
      </c>
      <c r="G36" s="102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7">
        <v>4840</v>
      </c>
      <c r="F37" s="102">
        <f t="shared" si="3"/>
        <v>4840</v>
      </c>
      <c r="G37" s="102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7">
        <v>50</v>
      </c>
      <c r="F38" s="102">
        <f t="shared" si="3"/>
        <v>50</v>
      </c>
      <c r="G38" s="102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7">
        <v>5720</v>
      </c>
      <c r="F39" s="102">
        <f t="shared" si="3"/>
        <v>5720</v>
      </c>
      <c r="G39" s="102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05">
        <f>8*0.243</f>
        <v>1.944</v>
      </c>
      <c r="E40" s="97">
        <v>127</v>
      </c>
      <c r="F40" s="102">
        <f t="shared" si="3"/>
        <v>246.89</v>
      </c>
      <c r="G40" s="102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05">
        <f>8*0.071</f>
        <v>0.56799999999999995</v>
      </c>
      <c r="E41" s="97">
        <v>147</v>
      </c>
      <c r="F41" s="102">
        <f t="shared" si="3"/>
        <v>83.5</v>
      </c>
      <c r="G41" s="102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05">
        <f>16*0.0172</f>
        <v>0.2752</v>
      </c>
      <c r="E42" s="97">
        <v>197</v>
      </c>
      <c r="F42" s="102">
        <f t="shared" si="3"/>
        <v>54.21</v>
      </c>
      <c r="G42" s="102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7">
        <v>2200</v>
      </c>
      <c r="F43" s="102">
        <f t="shared" si="3"/>
        <v>2200</v>
      </c>
      <c r="G43" s="102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7">
        <v>6380</v>
      </c>
      <c r="F44" s="102">
        <f t="shared" si="3"/>
        <v>6380</v>
      </c>
      <c r="G44" s="102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7">
        <v>3850</v>
      </c>
      <c r="F45" s="102">
        <f t="shared" si="3"/>
        <v>2348.5</v>
      </c>
      <c r="G45" s="102">
        <f t="shared" si="4"/>
        <v>2818.2</v>
      </c>
      <c r="H45" s="208"/>
    </row>
    <row r="46" spans="1:8" ht="21" customHeight="1" x14ac:dyDescent="0.3">
      <c r="A46" s="154"/>
      <c r="B46" s="478" t="s">
        <v>734</v>
      </c>
      <c r="C46" s="479"/>
      <c r="D46" s="479"/>
      <c r="E46" s="156"/>
      <c r="F46" s="157"/>
      <c r="G46" s="126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7">
        <v>1320</v>
      </c>
      <c r="F47" s="102">
        <f t="shared" ref="F47:F55" si="6">ROUND(E47*D47,2)</f>
        <v>73920</v>
      </c>
      <c r="G47" s="102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7">
        <v>2750</v>
      </c>
      <c r="F48" s="102">
        <f t="shared" si="6"/>
        <v>225500</v>
      </c>
      <c r="G48" s="102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7">
        <v>9680</v>
      </c>
      <c r="F49" s="102">
        <f t="shared" si="6"/>
        <v>396880</v>
      </c>
      <c r="G49" s="102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7">
        <v>3740</v>
      </c>
      <c r="F50" s="102">
        <f t="shared" si="6"/>
        <v>44880</v>
      </c>
      <c r="G50" s="102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7">
        <v>7480</v>
      </c>
      <c r="F51" s="102">
        <f t="shared" si="6"/>
        <v>7480</v>
      </c>
      <c r="G51" s="102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7">
        <v>4840</v>
      </c>
      <c r="F52" s="102">
        <f t="shared" si="6"/>
        <v>9680</v>
      </c>
      <c r="G52" s="102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7">
        <v>88</v>
      </c>
      <c r="F53" s="102">
        <f t="shared" si="6"/>
        <v>176</v>
      </c>
      <c r="G53" s="102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7">
        <v>5720</v>
      </c>
      <c r="F54" s="102">
        <f t="shared" si="6"/>
        <v>11440</v>
      </c>
      <c r="G54" s="102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05">
        <f>24*0.243</f>
        <v>5.8319999999999999</v>
      </c>
      <c r="E55" s="97">
        <v>127</v>
      </c>
      <c r="F55" s="102">
        <f t="shared" si="6"/>
        <v>740.66</v>
      </c>
      <c r="G55" s="102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05">
        <f>24*0.071</f>
        <v>1.7039999999999997</v>
      </c>
      <c r="E56" s="97">
        <v>147</v>
      </c>
      <c r="F56" s="102">
        <f t="shared" ref="F56:F59" si="9">ROUND(E56*D56,2)</f>
        <v>250.49</v>
      </c>
      <c r="G56" s="102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05">
        <f>48*0.0172</f>
        <v>0.8256</v>
      </c>
      <c r="E57" s="97">
        <v>197</v>
      </c>
      <c r="F57" s="102">
        <f t="shared" si="9"/>
        <v>162.63999999999999</v>
      </c>
      <c r="G57" s="102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7">
        <v>4730</v>
      </c>
      <c r="F58" s="102">
        <f t="shared" si="9"/>
        <v>9460</v>
      </c>
      <c r="G58" s="102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7">
        <v>3850</v>
      </c>
      <c r="F59" s="102">
        <f t="shared" si="9"/>
        <v>23100</v>
      </c>
      <c r="G59" s="102">
        <f t="shared" si="7"/>
        <v>27720</v>
      </c>
      <c r="H59" s="208"/>
    </row>
    <row r="60" spans="1:8" ht="22.5" customHeight="1" x14ac:dyDescent="0.3">
      <c r="A60" s="154"/>
      <c r="B60" s="478" t="s">
        <v>735</v>
      </c>
      <c r="C60" s="479"/>
      <c r="D60" s="479"/>
      <c r="E60" s="156"/>
      <c r="F60" s="157"/>
      <c r="G60" s="126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7">
        <v>1320</v>
      </c>
      <c r="F61" s="102">
        <f t="shared" ref="F61:F66" si="10">ROUND(E61*D61,2)</f>
        <v>25080</v>
      </c>
      <c r="G61" s="102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7">
        <v>1430</v>
      </c>
      <c r="F62" s="102">
        <f t="shared" si="10"/>
        <v>60060</v>
      </c>
      <c r="G62" s="102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7">
        <v>8140</v>
      </c>
      <c r="F63" s="102">
        <f t="shared" si="10"/>
        <v>48840</v>
      </c>
      <c r="G63" s="102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7">
        <v>2090</v>
      </c>
      <c r="F64" s="102">
        <f t="shared" si="10"/>
        <v>4180</v>
      </c>
      <c r="G64" s="102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7">
        <v>2420</v>
      </c>
      <c r="F65" s="102">
        <f t="shared" si="10"/>
        <v>4840</v>
      </c>
      <c r="G65" s="102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7">
        <v>3850</v>
      </c>
      <c r="F66" s="102">
        <f t="shared" si="10"/>
        <v>3850</v>
      </c>
      <c r="G66" s="102">
        <f t="shared" si="11"/>
        <v>4620</v>
      </c>
      <c r="H66" s="208"/>
    </row>
    <row r="67" spans="1:8" ht="23.25" customHeight="1" x14ac:dyDescent="0.3">
      <c r="A67" s="154"/>
      <c r="B67" s="478" t="s">
        <v>736</v>
      </c>
      <c r="C67" s="479"/>
      <c r="D67" s="479"/>
      <c r="E67" s="156"/>
      <c r="F67" s="157"/>
      <c r="G67" s="126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7">
        <v>1320</v>
      </c>
      <c r="F68" s="102">
        <f t="shared" ref="F68:F73" si="13">ROUND(E68*D68,2)</f>
        <v>14520</v>
      </c>
      <c r="G68" s="102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7">
        <v>1430</v>
      </c>
      <c r="F69" s="102">
        <f t="shared" si="13"/>
        <v>32890</v>
      </c>
      <c r="G69" s="102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7">
        <v>8140</v>
      </c>
      <c r="F70" s="102">
        <f t="shared" si="13"/>
        <v>48840</v>
      </c>
      <c r="G70" s="102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7">
        <v>2090</v>
      </c>
      <c r="F71" s="102">
        <f t="shared" si="13"/>
        <v>4180</v>
      </c>
      <c r="G71" s="102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7">
        <v>2420</v>
      </c>
      <c r="F72" s="102">
        <f t="shared" si="13"/>
        <v>9680</v>
      </c>
      <c r="G72" s="102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7">
        <v>3850</v>
      </c>
      <c r="F73" s="102">
        <f t="shared" si="13"/>
        <v>3850</v>
      </c>
      <c r="G73" s="102">
        <f t="shared" si="14"/>
        <v>4620</v>
      </c>
      <c r="H73" s="208"/>
    </row>
    <row r="74" spans="1:8" ht="21.75" customHeight="1" x14ac:dyDescent="0.3">
      <c r="A74" s="154"/>
      <c r="B74" s="478" t="s">
        <v>737</v>
      </c>
      <c r="C74" s="479"/>
      <c r="D74" s="479"/>
      <c r="E74" s="156"/>
      <c r="F74" s="157"/>
      <c r="G74" s="126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7">
        <v>1320</v>
      </c>
      <c r="F75" s="102">
        <f t="shared" ref="F75:F80" si="16">ROUND(E75*D75,2)</f>
        <v>55440</v>
      </c>
      <c r="G75" s="102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7">
        <v>16500</v>
      </c>
      <c r="F76" s="102">
        <f t="shared" si="16"/>
        <v>511500</v>
      </c>
      <c r="G76" s="102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7">
        <v>19800</v>
      </c>
      <c r="F77" s="102">
        <f t="shared" si="16"/>
        <v>118800</v>
      </c>
      <c r="G77" s="102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7">
        <v>10340</v>
      </c>
      <c r="F78" s="102">
        <f t="shared" si="16"/>
        <v>20680</v>
      </c>
      <c r="G78" s="102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7">
        <v>70923</v>
      </c>
      <c r="F79" s="102">
        <f t="shared" si="16"/>
        <v>141846</v>
      </c>
      <c r="G79" s="102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7">
        <v>3850</v>
      </c>
      <c r="F80" s="102">
        <f t="shared" si="16"/>
        <v>7700</v>
      </c>
      <c r="G80" s="102">
        <f t="shared" si="17"/>
        <v>9240</v>
      </c>
      <c r="H80" s="208"/>
    </row>
    <row r="81" spans="1:8" ht="21" customHeight="1" x14ac:dyDescent="0.3">
      <c r="A81" s="154"/>
      <c r="B81" s="478" t="s">
        <v>738</v>
      </c>
      <c r="C81" s="479"/>
      <c r="D81" s="479"/>
      <c r="E81" s="156"/>
      <c r="F81" s="157"/>
      <c r="G81" s="126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7">
        <v>1320</v>
      </c>
      <c r="F82" s="102">
        <f t="shared" ref="F82:F87" si="19">ROUND(E82*D82,2)</f>
        <v>34320</v>
      </c>
      <c r="G82" s="102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7">
        <v>7480</v>
      </c>
      <c r="F83" s="102">
        <f t="shared" si="19"/>
        <v>231880</v>
      </c>
      <c r="G83" s="102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7">
        <v>11110</v>
      </c>
      <c r="F84" s="102">
        <f t="shared" si="19"/>
        <v>66660</v>
      </c>
      <c r="G84" s="102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7">
        <v>7260</v>
      </c>
      <c r="F85" s="102">
        <f t="shared" si="19"/>
        <v>14520</v>
      </c>
      <c r="G85" s="102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7">
        <v>14014</v>
      </c>
      <c r="F86" s="102">
        <f t="shared" si="19"/>
        <v>28028</v>
      </c>
      <c r="G86" s="102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7">
        <v>3850</v>
      </c>
      <c r="F87" s="102">
        <f t="shared" si="19"/>
        <v>3850</v>
      </c>
      <c r="G87" s="102">
        <f t="shared" si="20"/>
        <v>4620</v>
      </c>
      <c r="H87" s="208"/>
    </row>
    <row r="88" spans="1:8" ht="24.75" customHeight="1" x14ac:dyDescent="0.3">
      <c r="A88" s="154"/>
      <c r="B88" s="478" t="s">
        <v>739</v>
      </c>
      <c r="C88" s="479"/>
      <c r="D88" s="479"/>
      <c r="E88" s="156"/>
      <c r="F88" s="157"/>
      <c r="G88" s="126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7">
        <v>1320</v>
      </c>
      <c r="F89" s="102">
        <f t="shared" ref="F89" si="22">ROUND(E89*D89,2)</f>
        <v>19800</v>
      </c>
      <c r="G89" s="102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7">
        <v>7480</v>
      </c>
      <c r="F90" s="102">
        <f t="shared" ref="F90:F93" si="24">ROUND(E90*D90,2)</f>
        <v>157080</v>
      </c>
      <c r="G90" s="102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7">
        <v>11110</v>
      </c>
      <c r="F91" s="102">
        <f t="shared" si="24"/>
        <v>66660</v>
      </c>
      <c r="G91" s="102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7">
        <v>7260</v>
      </c>
      <c r="F92" s="102">
        <f t="shared" si="24"/>
        <v>14520</v>
      </c>
      <c r="G92" s="102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7">
        <v>14014</v>
      </c>
      <c r="F93" s="102">
        <f t="shared" si="24"/>
        <v>28028</v>
      </c>
      <c r="G93" s="102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7">
        <v>3850</v>
      </c>
      <c r="F94" s="102">
        <f t="shared" ref="F94" si="27">ROUND(E94*D94,2)</f>
        <v>3850</v>
      </c>
      <c r="G94" s="102">
        <f t="shared" ref="G94" si="28">ROUND(F94*1.2,2)</f>
        <v>4620</v>
      </c>
      <c r="H94" s="208"/>
    </row>
    <row r="95" spans="1:8" ht="23.25" customHeight="1" x14ac:dyDescent="0.3">
      <c r="A95" s="154"/>
      <c r="B95" s="478" t="s">
        <v>740</v>
      </c>
      <c r="C95" s="479"/>
      <c r="D95" s="479"/>
      <c r="E95" s="156"/>
      <c r="F95" s="157"/>
      <c r="G95" s="126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7">
        <v>1320</v>
      </c>
      <c r="F96" s="102">
        <f t="shared" ref="F96" si="29">ROUND(E96*D96,2)</f>
        <v>60720</v>
      </c>
      <c r="G96" s="102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7">
        <v>7480</v>
      </c>
      <c r="F97" s="102">
        <f t="shared" ref="F97:F100" si="31">ROUND(E97*D97,2)</f>
        <v>366520</v>
      </c>
      <c r="G97" s="102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7">
        <v>11110</v>
      </c>
      <c r="F98" s="102">
        <f t="shared" si="31"/>
        <v>66660</v>
      </c>
      <c r="G98" s="102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7">
        <v>7260</v>
      </c>
      <c r="F99" s="102">
        <f t="shared" si="31"/>
        <v>14520</v>
      </c>
      <c r="G99" s="102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7">
        <v>14014</v>
      </c>
      <c r="F100" s="102">
        <f t="shared" si="31"/>
        <v>28028</v>
      </c>
      <c r="G100" s="102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7">
        <v>3850</v>
      </c>
      <c r="F101" s="102">
        <f t="shared" ref="F101" si="34">ROUND(E101*D101,2)</f>
        <v>3850</v>
      </c>
      <c r="G101" s="102">
        <f t="shared" ref="G101" si="35">ROUND(F101*1.2,2)</f>
        <v>4620</v>
      </c>
      <c r="H101" s="208"/>
    </row>
    <row r="102" spans="1:8" ht="19.5" customHeight="1" x14ac:dyDescent="0.3">
      <c r="A102" s="154"/>
      <c r="B102" s="478" t="s">
        <v>741</v>
      </c>
      <c r="C102" s="479"/>
      <c r="D102" s="479"/>
      <c r="E102" s="156"/>
      <c r="F102" s="157"/>
      <c r="G102" s="126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7">
        <v>396</v>
      </c>
      <c r="F103" s="102">
        <f t="shared" ref="F103" si="36">ROUND(E103*D103,2)</f>
        <v>15840</v>
      </c>
      <c r="G103" s="102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7">
        <v>8030</v>
      </c>
      <c r="F104" s="102">
        <f t="shared" ref="F104:F107" si="38">ROUND(E104*D104,2)</f>
        <v>8030</v>
      </c>
      <c r="G104" s="102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7">
        <v>1320</v>
      </c>
      <c r="F105" s="102">
        <f t="shared" si="38"/>
        <v>22044</v>
      </c>
      <c r="G105" s="102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2">
        <v>1091</v>
      </c>
      <c r="F106" s="102">
        <f t="shared" si="38"/>
        <v>327300</v>
      </c>
      <c r="G106" s="102">
        <f t="shared" si="39"/>
        <v>392760</v>
      </c>
      <c r="H106" s="211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7">
        <v>7480</v>
      </c>
      <c r="F107" s="102">
        <f t="shared" si="38"/>
        <v>29920</v>
      </c>
      <c r="G107" s="102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7">
        <v>26</v>
      </c>
      <c r="F108" s="102">
        <f>ROUND(E108*D108,2)</f>
        <v>1040</v>
      </c>
      <c r="G108" s="102">
        <f>ROUND(F108*1.2,2)</f>
        <v>1248</v>
      </c>
    </row>
    <row r="109" spans="1:8" x14ac:dyDescent="0.3">
      <c r="A109" s="159"/>
      <c r="B109" s="532" t="s">
        <v>716</v>
      </c>
      <c r="C109" s="533"/>
      <c r="D109" s="533"/>
      <c r="E109" s="534"/>
      <c r="F109" s="158">
        <f>SUM(F5:F108)</f>
        <v>4109058.51</v>
      </c>
      <c r="G109" s="158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536" t="s">
        <v>226</v>
      </c>
      <c r="B1" s="506" t="s">
        <v>227</v>
      </c>
      <c r="C1" s="506" t="s">
        <v>228</v>
      </c>
      <c r="D1" s="506" t="s">
        <v>229</v>
      </c>
      <c r="E1" s="539" t="s">
        <v>698</v>
      </c>
      <c r="F1" s="540"/>
      <c r="G1" s="540"/>
    </row>
    <row r="2" spans="1:7" x14ac:dyDescent="0.3">
      <c r="A2" s="536"/>
      <c r="B2" s="506"/>
      <c r="C2" s="506"/>
      <c r="D2" s="506"/>
      <c r="E2" s="506" t="s">
        <v>440</v>
      </c>
      <c r="F2" s="506" t="s">
        <v>433</v>
      </c>
      <c r="G2" s="542" t="s">
        <v>409</v>
      </c>
    </row>
    <row r="3" spans="1:7" ht="31.2" customHeight="1" x14ac:dyDescent="0.3">
      <c r="A3" s="536"/>
      <c r="B3" s="506"/>
      <c r="C3" s="506"/>
      <c r="D3" s="506"/>
      <c r="E3" s="506"/>
      <c r="F3" s="506"/>
      <c r="G3" s="542"/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537" t="s">
        <v>206</v>
      </c>
      <c r="B5" s="537"/>
      <c r="C5" s="537"/>
      <c r="D5" s="537"/>
      <c r="E5" s="140"/>
      <c r="F5" s="140"/>
      <c r="G5" s="132"/>
    </row>
    <row r="6" spans="1:7" x14ac:dyDescent="0.3">
      <c r="A6" s="538" t="s">
        <v>207</v>
      </c>
      <c r="B6" s="538"/>
      <c r="C6" s="538"/>
      <c r="D6" s="538"/>
      <c r="E6" s="141"/>
      <c r="F6" s="141"/>
      <c r="G6" s="130"/>
    </row>
    <row r="7" spans="1:7" x14ac:dyDescent="0.3">
      <c r="A7" s="119">
        <v>1</v>
      </c>
      <c r="B7" s="131" t="s">
        <v>208</v>
      </c>
      <c r="C7" s="124" t="s">
        <v>193</v>
      </c>
      <c r="D7" s="147">
        <f>79.62</f>
        <v>79.62</v>
      </c>
      <c r="E7" s="143">
        <v>8650</v>
      </c>
      <c r="F7" s="102">
        <f>ROUND(E7*D7,2)</f>
        <v>688713</v>
      </c>
      <c r="G7" s="102">
        <f>ROUND(F7*1.2,2)</f>
        <v>826455.6</v>
      </c>
    </row>
    <row r="8" spans="1:7" x14ac:dyDescent="0.3">
      <c r="A8" s="119">
        <f>A7+1</f>
        <v>2</v>
      </c>
      <c r="B8" s="131" t="s">
        <v>209</v>
      </c>
      <c r="C8" s="124" t="s">
        <v>193</v>
      </c>
      <c r="D8" s="147">
        <v>308.73</v>
      </c>
      <c r="E8" s="143">
        <v>12450</v>
      </c>
      <c r="F8" s="102">
        <f>ROUND(E8*D8,2)</f>
        <v>3843688.5</v>
      </c>
      <c r="G8" s="102">
        <f>ROUND(F8*1.2,2)</f>
        <v>4612426.2</v>
      </c>
    </row>
    <row r="9" spans="1:7" ht="21.75" customHeight="1" x14ac:dyDescent="0.3">
      <c r="A9" s="119">
        <f t="shared" ref="A9:A10" si="0">A8+1</f>
        <v>3</v>
      </c>
      <c r="B9" s="131" t="s">
        <v>210</v>
      </c>
      <c r="C9" s="124" t="s">
        <v>193</v>
      </c>
      <c r="D9" s="147">
        <f>196.74</f>
        <v>196.74</v>
      </c>
      <c r="E9" s="143">
        <v>5165</v>
      </c>
      <c r="F9" s="102">
        <f>ROUND(E9*D9,2)</f>
        <v>1016162.1</v>
      </c>
      <c r="G9" s="102">
        <f>ROUND(F9*1.2,2)</f>
        <v>1219394.52</v>
      </c>
    </row>
    <row r="10" spans="1:7" ht="27.6" x14ac:dyDescent="0.3">
      <c r="A10" s="119">
        <f t="shared" si="0"/>
        <v>4</v>
      </c>
      <c r="B10" s="133" t="s">
        <v>211</v>
      </c>
      <c r="C10" s="124"/>
      <c r="D10" s="127"/>
      <c r="E10" s="142"/>
      <c r="F10" s="143"/>
      <c r="G10" s="128"/>
    </row>
    <row r="11" spans="1:7" x14ac:dyDescent="0.3">
      <c r="A11" s="134">
        <v>4.0999999999999996</v>
      </c>
      <c r="B11" s="131" t="s">
        <v>212</v>
      </c>
      <c r="C11" s="124" t="s">
        <v>193</v>
      </c>
      <c r="D11" s="127">
        <v>151</v>
      </c>
      <c r="E11" s="143">
        <v>1611</v>
      </c>
      <c r="F11" s="102">
        <f>ROUND(E11*D11,2)</f>
        <v>243261</v>
      </c>
      <c r="G11" s="102">
        <f>ROUND(F11*1.2,2)</f>
        <v>291913.2</v>
      </c>
    </row>
    <row r="12" spans="1:7" x14ac:dyDescent="0.3">
      <c r="A12" s="134">
        <v>4.2</v>
      </c>
      <c r="B12" s="131" t="s">
        <v>213</v>
      </c>
      <c r="C12" s="124" t="s">
        <v>193</v>
      </c>
      <c r="D12" s="127">
        <v>163</v>
      </c>
      <c r="E12" s="143">
        <v>1496</v>
      </c>
      <c r="F12" s="102">
        <f>ROUND(E12*D12,2)</f>
        <v>243848</v>
      </c>
      <c r="G12" s="102">
        <f>ROUND(F12*1.2,2)</f>
        <v>292617.59999999998</v>
      </c>
    </row>
    <row r="13" spans="1:7" x14ac:dyDescent="0.3">
      <c r="A13" s="134">
        <v>4.3</v>
      </c>
      <c r="B13" s="131" t="s">
        <v>214</v>
      </c>
      <c r="C13" s="124" t="s">
        <v>194</v>
      </c>
      <c r="D13" s="129">
        <v>226.24</v>
      </c>
      <c r="E13" s="143">
        <v>30</v>
      </c>
      <c r="F13" s="102">
        <f>ROUND(E13*D13,2)</f>
        <v>6787.2</v>
      </c>
      <c r="G13" s="102">
        <f>ROUND(F13*1.2,2)</f>
        <v>8144.64</v>
      </c>
    </row>
    <row r="14" spans="1:7" x14ac:dyDescent="0.3">
      <c r="A14" s="538" t="s">
        <v>215</v>
      </c>
      <c r="B14" s="538"/>
      <c r="C14" s="538"/>
      <c r="D14" s="538"/>
      <c r="E14" s="141"/>
      <c r="F14" s="141"/>
      <c r="G14" s="130"/>
    </row>
    <row r="15" spans="1:7" ht="68.25" customHeight="1" x14ac:dyDescent="0.3">
      <c r="A15" s="119">
        <f>A10+1</f>
        <v>5</v>
      </c>
      <c r="B15" s="131" t="s">
        <v>216</v>
      </c>
      <c r="C15" s="124" t="s">
        <v>194</v>
      </c>
      <c r="D15" s="129">
        <v>226.24</v>
      </c>
      <c r="E15" s="143">
        <v>1587</v>
      </c>
      <c r="F15" s="102">
        <f t="shared" ref="F15:F17" si="1">ROUND(E15*D15,2)</f>
        <v>359042.88</v>
      </c>
      <c r="G15" s="102">
        <f t="shared" ref="G15:G17" si="2">ROUND(F15*1.2,2)</f>
        <v>430851.46</v>
      </c>
    </row>
    <row r="16" spans="1:7" ht="21" customHeight="1" x14ac:dyDescent="0.3">
      <c r="A16" s="119">
        <f>A15+1</f>
        <v>6</v>
      </c>
      <c r="B16" s="131" t="s">
        <v>218</v>
      </c>
      <c r="C16" s="124" t="s">
        <v>194</v>
      </c>
      <c r="D16" s="129">
        <v>226.24</v>
      </c>
      <c r="E16" s="143">
        <v>4200</v>
      </c>
      <c r="F16" s="102">
        <f t="shared" si="1"/>
        <v>950208</v>
      </c>
      <c r="G16" s="102">
        <f t="shared" si="2"/>
        <v>1140249.6000000001</v>
      </c>
    </row>
    <row r="17" spans="1:7" ht="22.5" customHeight="1" x14ac:dyDescent="0.3">
      <c r="A17" s="119">
        <f>A16+1</f>
        <v>7</v>
      </c>
      <c r="B17" s="131" t="s">
        <v>219</v>
      </c>
      <c r="C17" s="124" t="s">
        <v>220</v>
      </c>
      <c r="D17" s="127">
        <v>1</v>
      </c>
      <c r="E17" s="142">
        <v>80000</v>
      </c>
      <c r="F17" s="102">
        <f t="shared" si="1"/>
        <v>80000</v>
      </c>
      <c r="G17" s="102">
        <f t="shared" si="2"/>
        <v>96000</v>
      </c>
    </row>
    <row r="18" spans="1:7" x14ac:dyDescent="0.3">
      <c r="A18" s="537" t="s">
        <v>221</v>
      </c>
      <c r="B18" s="537"/>
      <c r="C18" s="537"/>
      <c r="D18" s="537"/>
      <c r="E18" s="140"/>
      <c r="F18" s="140"/>
      <c r="G18" s="132"/>
    </row>
    <row r="19" spans="1:7" x14ac:dyDescent="0.3">
      <c r="A19" s="538" t="s">
        <v>207</v>
      </c>
      <c r="B19" s="538"/>
      <c r="C19" s="538"/>
      <c r="D19" s="538"/>
      <c r="E19" s="141"/>
      <c r="F19" s="141"/>
      <c r="G19" s="130"/>
    </row>
    <row r="20" spans="1:7" x14ac:dyDescent="0.3">
      <c r="A20" s="119">
        <f>A17+1</f>
        <v>8</v>
      </c>
      <c r="B20" s="131" t="s">
        <v>208</v>
      </c>
      <c r="C20" s="124" t="s">
        <v>193</v>
      </c>
      <c r="D20" s="147">
        <f>79.62</f>
        <v>79.62</v>
      </c>
      <c r="E20" s="143">
        <v>8650</v>
      </c>
      <c r="F20" s="102">
        <f>ROUND(E20*D20,2)</f>
        <v>688713</v>
      </c>
      <c r="G20" s="102">
        <f>ROUND(F20*1.2,2)</f>
        <v>826455.6</v>
      </c>
    </row>
    <row r="21" spans="1:7" x14ac:dyDescent="0.3">
      <c r="A21" s="119">
        <f>A20+1</f>
        <v>9</v>
      </c>
      <c r="B21" s="131" t="s">
        <v>209</v>
      </c>
      <c r="C21" s="124" t="s">
        <v>193</v>
      </c>
      <c r="D21" s="147">
        <v>308.73</v>
      </c>
      <c r="E21" s="143">
        <v>12450</v>
      </c>
      <c r="F21" s="102">
        <f>ROUND(E21*D21,2)</f>
        <v>3843688.5</v>
      </c>
      <c r="G21" s="102">
        <f>ROUND(F21*1.2,2)</f>
        <v>4612426.2</v>
      </c>
    </row>
    <row r="22" spans="1:7" ht="24" customHeight="1" x14ac:dyDescent="0.3">
      <c r="A22" s="119">
        <f t="shared" ref="A22:A23" si="3">A21+1</f>
        <v>10</v>
      </c>
      <c r="B22" s="131" t="s">
        <v>210</v>
      </c>
      <c r="C22" s="124" t="s">
        <v>193</v>
      </c>
      <c r="D22" s="147">
        <f>196.74</f>
        <v>196.74</v>
      </c>
      <c r="E22" s="143">
        <v>5165</v>
      </c>
      <c r="F22" s="102">
        <f>ROUND(E22*D22,2)</f>
        <v>1016162.1</v>
      </c>
      <c r="G22" s="102">
        <f>ROUND(F22*1.2,2)</f>
        <v>1219394.52</v>
      </c>
    </row>
    <row r="23" spans="1:7" ht="29.25" customHeight="1" x14ac:dyDescent="0.3">
      <c r="A23" s="119">
        <f t="shared" si="3"/>
        <v>11</v>
      </c>
      <c r="B23" s="133" t="s">
        <v>211</v>
      </c>
      <c r="C23" s="124"/>
      <c r="D23" s="127"/>
      <c r="E23" s="142"/>
      <c r="F23" s="143"/>
      <c r="G23" s="128"/>
    </row>
    <row r="24" spans="1:7" x14ac:dyDescent="0.3">
      <c r="A24" s="134">
        <v>11.1</v>
      </c>
      <c r="B24" s="131" t="s">
        <v>212</v>
      </c>
      <c r="C24" s="124" t="s">
        <v>193</v>
      </c>
      <c r="D24" s="127">
        <v>151</v>
      </c>
      <c r="E24" s="143">
        <v>1611</v>
      </c>
      <c r="F24" s="102">
        <f>ROUND(E24*D24,2)</f>
        <v>243261</v>
      </c>
      <c r="G24" s="102">
        <f>ROUND(F24*1.2,2)</f>
        <v>291913.2</v>
      </c>
    </row>
    <row r="25" spans="1:7" x14ac:dyDescent="0.3">
      <c r="A25" s="134">
        <v>11.2</v>
      </c>
      <c r="B25" s="131" t="s">
        <v>213</v>
      </c>
      <c r="C25" s="124" t="s">
        <v>193</v>
      </c>
      <c r="D25" s="127">
        <v>163</v>
      </c>
      <c r="E25" s="143">
        <v>1496</v>
      </c>
      <c r="F25" s="102">
        <f>ROUND(E25*D25,2)</f>
        <v>243848</v>
      </c>
      <c r="G25" s="102">
        <f>ROUND(F25*1.2,2)</f>
        <v>292617.59999999998</v>
      </c>
    </row>
    <row r="26" spans="1:7" x14ac:dyDescent="0.3">
      <c r="A26" s="134">
        <v>11.3</v>
      </c>
      <c r="B26" s="131" t="s">
        <v>214</v>
      </c>
      <c r="C26" s="124" t="s">
        <v>194</v>
      </c>
      <c r="D26" s="129">
        <v>226.24</v>
      </c>
      <c r="E26" s="143">
        <v>30</v>
      </c>
      <c r="F26" s="102">
        <f>ROUND(E26*D26,2)</f>
        <v>6787.2</v>
      </c>
      <c r="G26" s="102">
        <f>ROUND(F26*1.2,2)</f>
        <v>8144.64</v>
      </c>
    </row>
    <row r="27" spans="1:7" x14ac:dyDescent="0.3">
      <c r="A27" s="538" t="s">
        <v>222</v>
      </c>
      <c r="B27" s="538"/>
      <c r="C27" s="538"/>
      <c r="D27" s="538"/>
      <c r="E27" s="141"/>
      <c r="F27" s="141"/>
      <c r="G27" s="130"/>
    </row>
    <row r="28" spans="1:7" ht="66.75" customHeight="1" x14ac:dyDescent="0.3">
      <c r="A28" s="119">
        <f>A23+1</f>
        <v>12</v>
      </c>
      <c r="B28" s="131" t="s">
        <v>216</v>
      </c>
      <c r="C28" s="124" t="s">
        <v>194</v>
      </c>
      <c r="D28" s="129">
        <v>226.24</v>
      </c>
      <c r="E28" s="143">
        <v>1587</v>
      </c>
      <c r="F28" s="102">
        <f t="shared" ref="F28:F30" si="4">ROUND(E28*D28,2)</f>
        <v>359042.88</v>
      </c>
      <c r="G28" s="102">
        <f t="shared" ref="G28:G30" si="5">ROUND(F28*1.2,2)</f>
        <v>430851.46</v>
      </c>
    </row>
    <row r="29" spans="1:7" ht="24" customHeight="1" x14ac:dyDescent="0.3">
      <c r="A29" s="119">
        <f>A28+1</f>
        <v>13</v>
      </c>
      <c r="B29" s="131" t="s">
        <v>218</v>
      </c>
      <c r="C29" s="124" t="s">
        <v>194</v>
      </c>
      <c r="D29" s="129">
        <v>226.24</v>
      </c>
      <c r="E29" s="143">
        <v>4200</v>
      </c>
      <c r="F29" s="102">
        <f t="shared" si="4"/>
        <v>950208</v>
      </c>
      <c r="G29" s="102">
        <f t="shared" si="5"/>
        <v>1140249.6000000001</v>
      </c>
    </row>
    <row r="30" spans="1:7" ht="22.5" customHeight="1" x14ac:dyDescent="0.3">
      <c r="A30" s="119">
        <f>A29+1</f>
        <v>14</v>
      </c>
      <c r="B30" s="131" t="s">
        <v>219</v>
      </c>
      <c r="C30" s="124" t="s">
        <v>220</v>
      </c>
      <c r="D30" s="127">
        <v>1</v>
      </c>
      <c r="E30" s="142">
        <v>80000</v>
      </c>
      <c r="F30" s="102">
        <f t="shared" si="4"/>
        <v>80000</v>
      </c>
      <c r="G30" s="102">
        <f t="shared" si="5"/>
        <v>96000</v>
      </c>
    </row>
    <row r="31" spans="1:7" x14ac:dyDescent="0.3">
      <c r="A31" s="537" t="s">
        <v>223</v>
      </c>
      <c r="B31" s="537"/>
      <c r="C31" s="537"/>
      <c r="D31" s="537"/>
      <c r="E31" s="140"/>
      <c r="F31" s="140"/>
      <c r="G31" s="132"/>
    </row>
    <row r="32" spans="1:7" x14ac:dyDescent="0.3">
      <c r="A32" s="538" t="s">
        <v>207</v>
      </c>
      <c r="B32" s="538"/>
      <c r="C32" s="538"/>
      <c r="D32" s="538"/>
      <c r="E32" s="141"/>
      <c r="F32" s="141"/>
      <c r="G32" s="128"/>
    </row>
    <row r="33" spans="1:7" x14ac:dyDescent="0.3">
      <c r="A33" s="119">
        <f>A30+1</f>
        <v>15</v>
      </c>
      <c r="B33" s="131" t="s">
        <v>208</v>
      </c>
      <c r="C33" s="124" t="s">
        <v>193</v>
      </c>
      <c r="D33" s="147">
        <v>55.04</v>
      </c>
      <c r="E33" s="143">
        <v>8650</v>
      </c>
      <c r="F33" s="102">
        <f>ROUND(E33*D33,2)</f>
        <v>476096</v>
      </c>
      <c r="G33" s="102">
        <f>ROUND(F33*1.2,2)</f>
        <v>571315.19999999995</v>
      </c>
    </row>
    <row r="34" spans="1:7" x14ac:dyDescent="0.3">
      <c r="A34" s="119">
        <f>A33+1</f>
        <v>16</v>
      </c>
      <c r="B34" s="131" t="s">
        <v>209</v>
      </c>
      <c r="C34" s="124" t="s">
        <v>193</v>
      </c>
      <c r="D34" s="147">
        <v>213.41</v>
      </c>
      <c r="E34" s="143">
        <v>12450</v>
      </c>
      <c r="F34" s="102">
        <f>ROUND(E34*D34,2)</f>
        <v>2656954.5</v>
      </c>
      <c r="G34" s="102">
        <f>ROUND(F34*1.2,2)</f>
        <v>3188345.4</v>
      </c>
    </row>
    <row r="35" spans="1:7" ht="23.25" customHeight="1" x14ac:dyDescent="0.3">
      <c r="A35" s="119">
        <f>A34+1</f>
        <v>17</v>
      </c>
      <c r="B35" s="131" t="s">
        <v>210</v>
      </c>
      <c r="C35" s="124" t="s">
        <v>193</v>
      </c>
      <c r="D35" s="147">
        <f>136</f>
        <v>136</v>
      </c>
      <c r="E35" s="143">
        <v>5165</v>
      </c>
      <c r="F35" s="102">
        <f>ROUND(E35*D35,2)</f>
        <v>702440</v>
      </c>
      <c r="G35" s="102">
        <f>ROUND(F35*1.2,2)</f>
        <v>842928</v>
      </c>
    </row>
    <row r="36" spans="1:7" ht="27.6" x14ac:dyDescent="0.3">
      <c r="A36" s="119">
        <f>A35+1</f>
        <v>18</v>
      </c>
      <c r="B36" s="133" t="s">
        <v>211</v>
      </c>
      <c r="C36" s="124"/>
      <c r="D36" s="127"/>
      <c r="E36" s="142"/>
      <c r="F36" s="143"/>
      <c r="G36" s="128"/>
    </row>
    <row r="37" spans="1:7" x14ac:dyDescent="0.3">
      <c r="A37" s="134">
        <v>18.100000000000001</v>
      </c>
      <c r="B37" s="131" t="s">
        <v>212</v>
      </c>
      <c r="C37" s="124" t="s">
        <v>193</v>
      </c>
      <c r="D37" s="127">
        <v>105</v>
      </c>
      <c r="E37" s="143">
        <v>1611</v>
      </c>
      <c r="F37" s="102">
        <f>ROUND(E37*D37,2)</f>
        <v>169155</v>
      </c>
      <c r="G37" s="102">
        <f>ROUND(F37*1.2,2)</f>
        <v>202986</v>
      </c>
    </row>
    <row r="38" spans="1:7" x14ac:dyDescent="0.3">
      <c r="A38" s="134">
        <v>18.2</v>
      </c>
      <c r="B38" s="131" t="s">
        <v>213</v>
      </c>
      <c r="C38" s="124" t="s">
        <v>193</v>
      </c>
      <c r="D38" s="138">
        <v>112.6</v>
      </c>
      <c r="E38" s="143">
        <v>1496</v>
      </c>
      <c r="F38" s="102">
        <f>ROUND(E38*D38,2)</f>
        <v>168449.6</v>
      </c>
      <c r="G38" s="102">
        <f>ROUND(F38*1.2,2)</f>
        <v>202139.51999999999</v>
      </c>
    </row>
    <row r="39" spans="1:7" x14ac:dyDescent="0.3">
      <c r="A39" s="134">
        <v>18.3</v>
      </c>
      <c r="B39" s="131" t="s">
        <v>214</v>
      </c>
      <c r="C39" s="124" t="s">
        <v>194</v>
      </c>
      <c r="D39" s="129">
        <v>156.38999999999999</v>
      </c>
      <c r="E39" s="143">
        <v>30</v>
      </c>
      <c r="F39" s="102">
        <f>ROUND(E39*D39,2)</f>
        <v>4691.7</v>
      </c>
      <c r="G39" s="102">
        <f>ROUND(F39*1.2,2)</f>
        <v>5630.04</v>
      </c>
    </row>
    <row r="40" spans="1:7" x14ac:dyDescent="0.3">
      <c r="A40" s="538" t="s">
        <v>715</v>
      </c>
      <c r="B40" s="538"/>
      <c r="C40" s="538"/>
      <c r="D40" s="538"/>
      <c r="E40" s="141"/>
      <c r="F40" s="141"/>
      <c r="G40" s="130"/>
    </row>
    <row r="41" spans="1:7" ht="66.75" customHeight="1" x14ac:dyDescent="0.3">
      <c r="A41" s="119">
        <f>A36+1</f>
        <v>19</v>
      </c>
      <c r="B41" s="131" t="s">
        <v>216</v>
      </c>
      <c r="C41" s="124" t="s">
        <v>194</v>
      </c>
      <c r="D41" s="129">
        <v>156.38999999999999</v>
      </c>
      <c r="E41" s="143">
        <v>1587</v>
      </c>
      <c r="F41" s="102">
        <f t="shared" ref="F41:F43" si="6">ROUND(E41*D41,2)</f>
        <v>248190.93</v>
      </c>
      <c r="G41" s="102">
        <f t="shared" ref="G41:G43" si="7">ROUND(F41*1.2,2)</f>
        <v>297829.12</v>
      </c>
    </row>
    <row r="42" spans="1:7" ht="23.25" customHeight="1" x14ac:dyDescent="0.3">
      <c r="A42" s="119">
        <f>A41+1</f>
        <v>20</v>
      </c>
      <c r="B42" s="131" t="s">
        <v>218</v>
      </c>
      <c r="C42" s="124" t="s">
        <v>194</v>
      </c>
      <c r="D42" s="129">
        <v>156.38999999999999</v>
      </c>
      <c r="E42" s="143">
        <v>4200</v>
      </c>
      <c r="F42" s="102">
        <f t="shared" si="6"/>
        <v>656838</v>
      </c>
      <c r="G42" s="102">
        <f t="shared" si="7"/>
        <v>788205.6</v>
      </c>
    </row>
    <row r="43" spans="1:7" ht="22.5" customHeight="1" x14ac:dyDescent="0.3">
      <c r="A43" s="119">
        <f>A42+1</f>
        <v>21</v>
      </c>
      <c r="B43" s="131" t="s">
        <v>219</v>
      </c>
      <c r="C43" s="124" t="s">
        <v>220</v>
      </c>
      <c r="D43" s="127">
        <v>1</v>
      </c>
      <c r="E43" s="142">
        <v>80000</v>
      </c>
      <c r="F43" s="102">
        <f t="shared" si="6"/>
        <v>80000</v>
      </c>
      <c r="G43" s="102">
        <f t="shared" si="7"/>
        <v>96000</v>
      </c>
    </row>
    <row r="44" spans="1:7" x14ac:dyDescent="0.3">
      <c r="A44" s="537" t="s">
        <v>224</v>
      </c>
      <c r="B44" s="537"/>
      <c r="C44" s="537"/>
      <c r="D44" s="537"/>
      <c r="E44" s="140"/>
      <c r="F44" s="140"/>
      <c r="G44" s="132"/>
    </row>
    <row r="45" spans="1:7" x14ac:dyDescent="0.3">
      <c r="A45" s="538" t="s">
        <v>207</v>
      </c>
      <c r="B45" s="538"/>
      <c r="C45" s="538"/>
      <c r="D45" s="538"/>
      <c r="E45" s="141"/>
      <c r="F45" s="141"/>
      <c r="G45" s="130"/>
    </row>
    <row r="46" spans="1:7" x14ac:dyDescent="0.3">
      <c r="A46" s="119">
        <f>A43+1</f>
        <v>22</v>
      </c>
      <c r="B46" s="131" t="s">
        <v>208</v>
      </c>
      <c r="C46" s="124" t="s">
        <v>193</v>
      </c>
      <c r="D46" s="147">
        <v>34.22</v>
      </c>
      <c r="E46" s="143">
        <v>8650</v>
      </c>
      <c r="F46" s="102">
        <f>ROUND(E46*D46,2)</f>
        <v>296003</v>
      </c>
      <c r="G46" s="102">
        <f>ROUND(F46*1.2,2)</f>
        <v>355203.6</v>
      </c>
    </row>
    <row r="47" spans="1:7" x14ac:dyDescent="0.3">
      <c r="A47" s="119">
        <f>A46+1</f>
        <v>23</v>
      </c>
      <c r="B47" s="131" t="s">
        <v>209</v>
      </c>
      <c r="C47" s="124" t="s">
        <v>193</v>
      </c>
      <c r="D47" s="147">
        <v>132.63</v>
      </c>
      <c r="E47" s="143">
        <v>12450</v>
      </c>
      <c r="F47" s="102">
        <f>ROUND(E47*D47,2)</f>
        <v>1651243.5</v>
      </c>
      <c r="G47" s="102">
        <f>ROUND(F47*1.2,2)</f>
        <v>1981492.2</v>
      </c>
    </row>
    <row r="48" spans="1:7" ht="24" customHeight="1" x14ac:dyDescent="0.3">
      <c r="A48" s="119">
        <f t="shared" ref="A48:A49" si="8">A47+1</f>
        <v>24</v>
      </c>
      <c r="B48" s="131" t="s">
        <v>210</v>
      </c>
      <c r="C48" s="124" t="s">
        <v>193</v>
      </c>
      <c r="D48" s="147">
        <f>84.52</f>
        <v>84.52</v>
      </c>
      <c r="E48" s="143">
        <v>5165</v>
      </c>
      <c r="F48" s="102">
        <f>ROUND(E48*D48,2)</f>
        <v>436545.8</v>
      </c>
      <c r="G48" s="102">
        <f>ROUND(F48*1.2,2)</f>
        <v>523854.96</v>
      </c>
    </row>
    <row r="49" spans="1:8" ht="27.6" x14ac:dyDescent="0.3">
      <c r="A49" s="119">
        <f t="shared" si="8"/>
        <v>25</v>
      </c>
      <c r="B49" s="133" t="s">
        <v>211</v>
      </c>
      <c r="C49" s="124"/>
      <c r="D49" s="127"/>
      <c r="E49" s="142"/>
      <c r="F49" s="143"/>
      <c r="G49" s="128"/>
    </row>
    <row r="50" spans="1:8" x14ac:dyDescent="0.3">
      <c r="A50" s="134">
        <v>25.1</v>
      </c>
      <c r="B50" s="131" t="s">
        <v>212</v>
      </c>
      <c r="C50" s="124" t="s">
        <v>193</v>
      </c>
      <c r="D50" s="127">
        <v>65</v>
      </c>
      <c r="E50" s="143">
        <v>1611</v>
      </c>
      <c r="F50" s="102">
        <f>ROUND(E50*D50,2)</f>
        <v>104715</v>
      </c>
      <c r="G50" s="102">
        <f>ROUND(F50*1.2,2)</f>
        <v>125658</v>
      </c>
    </row>
    <row r="51" spans="1:8" x14ac:dyDescent="0.3">
      <c r="A51" s="134">
        <v>25.2</v>
      </c>
      <c r="B51" s="131" t="s">
        <v>213</v>
      </c>
      <c r="C51" s="124" t="s">
        <v>193</v>
      </c>
      <c r="D51" s="138">
        <v>70</v>
      </c>
      <c r="E51" s="143">
        <v>1496</v>
      </c>
      <c r="F51" s="102">
        <f>ROUND(E51*D51,2)</f>
        <v>104720</v>
      </c>
      <c r="G51" s="102">
        <f>ROUND(F51*1.2,2)</f>
        <v>125664</v>
      </c>
    </row>
    <row r="52" spans="1:8" x14ac:dyDescent="0.3">
      <c r="A52" s="134">
        <v>25.3</v>
      </c>
      <c r="B52" s="131" t="s">
        <v>214</v>
      </c>
      <c r="C52" s="124" t="s">
        <v>194</v>
      </c>
      <c r="D52" s="138">
        <v>97.2</v>
      </c>
      <c r="E52" s="143">
        <v>30</v>
      </c>
      <c r="F52" s="102">
        <f>ROUND(E52*D52,2)</f>
        <v>2916</v>
      </c>
      <c r="G52" s="102">
        <f>ROUND(F52*1.2,2)</f>
        <v>3499.2</v>
      </c>
    </row>
    <row r="53" spans="1:8" x14ac:dyDescent="0.3">
      <c r="A53" s="538" t="s">
        <v>225</v>
      </c>
      <c r="B53" s="538"/>
      <c r="C53" s="538"/>
      <c r="D53" s="538"/>
      <c r="E53" s="141"/>
      <c r="F53" s="141"/>
      <c r="G53" s="130"/>
    </row>
    <row r="54" spans="1:8" ht="62.25" customHeight="1" x14ac:dyDescent="0.3">
      <c r="A54" s="119">
        <f>A49+1</f>
        <v>26</v>
      </c>
      <c r="B54" s="131" t="s">
        <v>216</v>
      </c>
      <c r="C54" s="124" t="s">
        <v>194</v>
      </c>
      <c r="D54" s="129">
        <v>97.2</v>
      </c>
      <c r="E54" s="143">
        <v>1587</v>
      </c>
      <c r="F54" s="102">
        <f t="shared" ref="F54:F56" si="9">ROUND(E54*D54,2)</f>
        <v>154256.4</v>
      </c>
      <c r="G54" s="102">
        <f t="shared" ref="G54:G56" si="10">ROUND(F54*1.2,2)</f>
        <v>185107.68</v>
      </c>
    </row>
    <row r="55" spans="1:8" ht="24" customHeight="1" x14ac:dyDescent="0.3">
      <c r="A55" s="119">
        <f>A54+1</f>
        <v>27</v>
      </c>
      <c r="B55" s="131" t="s">
        <v>218</v>
      </c>
      <c r="C55" s="124" t="s">
        <v>194</v>
      </c>
      <c r="D55" s="129">
        <v>97.2</v>
      </c>
      <c r="E55" s="143">
        <v>4200</v>
      </c>
      <c r="F55" s="102">
        <f t="shared" si="9"/>
        <v>408240</v>
      </c>
      <c r="G55" s="102">
        <f t="shared" si="10"/>
        <v>489888</v>
      </c>
    </row>
    <row r="56" spans="1:8" ht="24" customHeight="1" x14ac:dyDescent="0.3">
      <c r="A56" s="119">
        <f>A55+1</f>
        <v>28</v>
      </c>
      <c r="B56" s="131" t="s">
        <v>219</v>
      </c>
      <c r="C56" s="124" t="s">
        <v>220</v>
      </c>
      <c r="D56" s="127">
        <v>1</v>
      </c>
      <c r="E56" s="142">
        <v>80000</v>
      </c>
      <c r="F56" s="102">
        <f t="shared" si="9"/>
        <v>80000</v>
      </c>
      <c r="G56" s="102">
        <f t="shared" si="10"/>
        <v>96000</v>
      </c>
    </row>
    <row r="57" spans="1:8" s="1" customFormat="1" x14ac:dyDescent="0.3">
      <c r="A57" s="144"/>
      <c r="B57" s="541" t="s">
        <v>439</v>
      </c>
      <c r="C57" s="541"/>
      <c r="D57" s="541"/>
      <c r="E57" s="541"/>
      <c r="F57" s="145">
        <f>SUM(F5:F56)</f>
        <v>23264876.789999999</v>
      </c>
      <c r="G57" s="146">
        <f>SUM(G5:G56)</f>
        <v>27917852.16</v>
      </c>
    </row>
    <row r="58" spans="1:8" x14ac:dyDescent="0.3">
      <c r="A58" s="475" t="s">
        <v>717</v>
      </c>
      <c r="B58" s="476"/>
      <c r="C58" s="476"/>
      <c r="D58" s="476"/>
      <c r="E58" s="477"/>
      <c r="F58" s="212">
        <f>ROUND(F57*0.03,2)</f>
        <v>697946.3</v>
      </c>
      <c r="G58" s="212">
        <f>ROUND(G57*0.03,2)</f>
        <v>837535.56</v>
      </c>
      <c r="H58" s="52"/>
    </row>
    <row r="59" spans="1:8" x14ac:dyDescent="0.3">
      <c r="A59" s="475" t="s">
        <v>718</v>
      </c>
      <c r="B59" s="476"/>
      <c r="C59" s="476"/>
      <c r="D59" s="476"/>
      <c r="E59" s="477"/>
      <c r="F59" s="212">
        <f>F57+F58</f>
        <v>23962823.09</v>
      </c>
      <c r="G59" s="212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36" t="s">
        <v>226</v>
      </c>
      <c r="B1" s="506" t="s">
        <v>227</v>
      </c>
      <c r="C1" s="506" t="s">
        <v>228</v>
      </c>
      <c r="D1" s="506" t="s">
        <v>229</v>
      </c>
      <c r="E1" s="543" t="s">
        <v>698</v>
      </c>
      <c r="F1" s="544"/>
      <c r="G1" s="545"/>
    </row>
    <row r="2" spans="1:7" x14ac:dyDescent="0.3">
      <c r="A2" s="536"/>
      <c r="B2" s="506"/>
      <c r="C2" s="506"/>
      <c r="D2" s="506"/>
      <c r="E2" s="546"/>
      <c r="F2" s="547"/>
      <c r="G2" s="548"/>
    </row>
    <row r="3" spans="1:7" ht="27.6" x14ac:dyDescent="0.3">
      <c r="A3" s="536"/>
      <c r="B3" s="506"/>
      <c r="C3" s="506"/>
      <c r="D3" s="506"/>
      <c r="E3" s="92" t="s">
        <v>196</v>
      </c>
      <c r="F3" s="104" t="s">
        <v>197</v>
      </c>
      <c r="G3" s="104" t="s">
        <v>199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537" t="s">
        <v>206</v>
      </c>
      <c r="B5" s="537"/>
      <c r="C5" s="537"/>
      <c r="D5" s="537"/>
      <c r="E5" s="135"/>
      <c r="F5" s="135"/>
      <c r="G5" s="135"/>
    </row>
    <row r="6" spans="1:7" x14ac:dyDescent="0.3">
      <c r="A6" s="119">
        <v>1</v>
      </c>
      <c r="B6" s="67" t="s">
        <v>712</v>
      </c>
      <c r="C6" s="124" t="s">
        <v>193</v>
      </c>
      <c r="D6" s="127">
        <v>151</v>
      </c>
      <c r="E6" s="102">
        <v>5500</v>
      </c>
      <c r="F6" s="102">
        <f>ROUND(E6*D6,2)</f>
        <v>830500</v>
      </c>
      <c r="G6" s="102">
        <f>ROUND(F6*1.2,2)</f>
        <v>996600</v>
      </c>
    </row>
    <row r="7" spans="1:7" x14ac:dyDescent="0.3">
      <c r="A7" s="119">
        <f>A6+1</f>
        <v>2</v>
      </c>
      <c r="B7" s="67" t="s">
        <v>713</v>
      </c>
      <c r="C7" s="124" t="s">
        <v>193</v>
      </c>
      <c r="D7" s="127">
        <v>163</v>
      </c>
      <c r="E7" s="102">
        <v>1375</v>
      </c>
      <c r="F7" s="102">
        <f>ROUND(E7*D7,2)</f>
        <v>224125</v>
      </c>
      <c r="G7" s="102">
        <f>ROUND(F7*1.2,2)</f>
        <v>268950</v>
      </c>
    </row>
    <row r="8" spans="1:7" x14ac:dyDescent="0.3">
      <c r="A8" s="119">
        <f>A7+1</f>
        <v>3</v>
      </c>
      <c r="B8" s="67" t="s">
        <v>203</v>
      </c>
      <c r="C8" s="124" t="s">
        <v>194</v>
      </c>
      <c r="D8" s="129">
        <v>226.24</v>
      </c>
      <c r="E8" s="102">
        <v>168</v>
      </c>
      <c r="F8" s="102">
        <f>ROUND(E8*D8,2)</f>
        <v>38008.32</v>
      </c>
      <c r="G8" s="102">
        <f>ROUND(F8*1.2,2)</f>
        <v>45609.98</v>
      </c>
    </row>
    <row r="9" spans="1:7" ht="27.6" x14ac:dyDescent="0.3">
      <c r="A9" s="119">
        <f>A8+1</f>
        <v>4</v>
      </c>
      <c r="B9" s="131" t="s">
        <v>183</v>
      </c>
      <c r="C9" s="124" t="s">
        <v>194</v>
      </c>
      <c r="D9" s="129">
        <v>226.24</v>
      </c>
      <c r="E9" s="102">
        <f>ROUND(38500/1.2,2)</f>
        <v>32083.33</v>
      </c>
      <c r="F9" s="102">
        <f>ROUND(E9*D9,2)</f>
        <v>7258532.5800000001</v>
      </c>
      <c r="G9" s="102">
        <f>ROUND(F9*1.2,2)</f>
        <v>8710239.0999999996</v>
      </c>
    </row>
    <row r="10" spans="1:7" x14ac:dyDescent="0.3">
      <c r="A10" s="119">
        <f>A9+1</f>
        <v>5</v>
      </c>
      <c r="B10" s="139" t="s">
        <v>701</v>
      </c>
      <c r="C10" s="124" t="s">
        <v>178</v>
      </c>
      <c r="D10" s="98">
        <v>219</v>
      </c>
      <c r="E10" s="97">
        <f>ROUND(200/1.2,2)</f>
        <v>166.67</v>
      </c>
      <c r="F10" s="102">
        <f t="shared" ref="F10:F11" si="0">ROUND(E10*D10,2)</f>
        <v>36500.730000000003</v>
      </c>
      <c r="G10" s="102">
        <f t="shared" ref="G10:G11" si="1">ROUND(F10*1.2,2)</f>
        <v>43800.88</v>
      </c>
    </row>
    <row r="11" spans="1:7" x14ac:dyDescent="0.3">
      <c r="A11" s="119">
        <f t="shared" ref="A11:A13" si="2">A10+1</f>
        <v>6</v>
      </c>
      <c r="B11" s="139" t="s">
        <v>702</v>
      </c>
      <c r="C11" s="124" t="s">
        <v>178</v>
      </c>
      <c r="D11" s="98">
        <v>73</v>
      </c>
      <c r="E11" s="97">
        <f>ROUND(5841/1.2,2)</f>
        <v>4867.5</v>
      </c>
      <c r="F11" s="102">
        <f t="shared" si="0"/>
        <v>355327.5</v>
      </c>
      <c r="G11" s="102">
        <f t="shared" si="1"/>
        <v>426393</v>
      </c>
    </row>
    <row r="12" spans="1:7" x14ac:dyDescent="0.3">
      <c r="A12" s="119">
        <f t="shared" si="2"/>
        <v>7</v>
      </c>
      <c r="B12" s="131" t="s">
        <v>714</v>
      </c>
      <c r="C12" s="124" t="s">
        <v>217</v>
      </c>
      <c r="D12" s="127">
        <v>1</v>
      </c>
      <c r="E12" s="102">
        <v>110000</v>
      </c>
      <c r="F12" s="102">
        <f>ROUND(E12*D12,2)</f>
        <v>110000</v>
      </c>
      <c r="G12" s="102">
        <f>ROUND(F12*1.2,2)</f>
        <v>132000</v>
      </c>
    </row>
    <row r="13" spans="1:7" x14ac:dyDescent="0.3">
      <c r="A13" s="119">
        <f t="shared" si="2"/>
        <v>8</v>
      </c>
      <c r="B13" s="131" t="s">
        <v>191</v>
      </c>
      <c r="C13" s="124" t="s">
        <v>220</v>
      </c>
      <c r="D13" s="127">
        <v>1</v>
      </c>
      <c r="E13" s="102">
        <f>ROUND(154000/1.2,2)</f>
        <v>128333.33</v>
      </c>
      <c r="F13" s="102">
        <f>ROUND(E13*D13,2)</f>
        <v>128333.33</v>
      </c>
      <c r="G13" s="102">
        <f>ROUND(F13*1.2,2)</f>
        <v>154000</v>
      </c>
    </row>
    <row r="14" spans="1:7" x14ac:dyDescent="0.3">
      <c r="A14" s="537" t="s">
        <v>221</v>
      </c>
      <c r="B14" s="537"/>
      <c r="C14" s="537"/>
      <c r="D14" s="537"/>
      <c r="E14" s="136"/>
      <c r="F14" s="137"/>
      <c r="G14" s="137"/>
    </row>
    <row r="15" spans="1:7" x14ac:dyDescent="0.3">
      <c r="A15" s="119">
        <f>A13+1</f>
        <v>9</v>
      </c>
      <c r="B15" s="67" t="s">
        <v>712</v>
      </c>
      <c r="C15" s="124" t="s">
        <v>193</v>
      </c>
      <c r="D15" s="127">
        <v>151</v>
      </c>
      <c r="E15" s="102">
        <v>5500</v>
      </c>
      <c r="F15" s="102">
        <f>ROUND(E15*D15,2)</f>
        <v>830500</v>
      </c>
      <c r="G15" s="102">
        <f>ROUND(F15*1.2,2)</f>
        <v>996600</v>
      </c>
    </row>
    <row r="16" spans="1:7" x14ac:dyDescent="0.3">
      <c r="A16" s="119">
        <f>A15+1</f>
        <v>10</v>
      </c>
      <c r="B16" s="67" t="s">
        <v>713</v>
      </c>
      <c r="C16" s="124" t="s">
        <v>193</v>
      </c>
      <c r="D16" s="127">
        <v>163</v>
      </c>
      <c r="E16" s="102">
        <v>1375</v>
      </c>
      <c r="F16" s="102">
        <f>ROUND(E16*D16,2)</f>
        <v>224125</v>
      </c>
      <c r="G16" s="102">
        <f>ROUND(F16*1.2,2)</f>
        <v>268950</v>
      </c>
    </row>
    <row r="17" spans="1:7" x14ac:dyDescent="0.3">
      <c r="A17" s="119">
        <f>A16+1</f>
        <v>11</v>
      </c>
      <c r="B17" s="67" t="s">
        <v>203</v>
      </c>
      <c r="C17" s="124" t="s">
        <v>194</v>
      </c>
      <c r="D17" s="129">
        <v>226.24</v>
      </c>
      <c r="E17" s="102">
        <v>168</v>
      </c>
      <c r="F17" s="102">
        <f>ROUND(E17*D17,2)</f>
        <v>38008.32</v>
      </c>
      <c r="G17" s="102">
        <f>ROUND(F17*1.2,2)</f>
        <v>45609.98</v>
      </c>
    </row>
    <row r="18" spans="1:7" ht="27.6" x14ac:dyDescent="0.3">
      <c r="A18" s="119">
        <f>A17+1</f>
        <v>12</v>
      </c>
      <c r="B18" s="131" t="s">
        <v>183</v>
      </c>
      <c r="C18" s="124" t="s">
        <v>194</v>
      </c>
      <c r="D18" s="129">
        <v>226.24</v>
      </c>
      <c r="E18" s="102">
        <f>ROUND(38500/1.2,2)</f>
        <v>32083.33</v>
      </c>
      <c r="F18" s="102">
        <f>ROUND(E18*D18,2)</f>
        <v>7258532.5800000001</v>
      </c>
      <c r="G18" s="102">
        <f>ROUND(F18*1.2,2)</f>
        <v>8710239.0999999996</v>
      </c>
    </row>
    <row r="19" spans="1:7" x14ac:dyDescent="0.3">
      <c r="A19" s="119">
        <f>A18+1</f>
        <v>13</v>
      </c>
      <c r="B19" s="139" t="s">
        <v>701</v>
      </c>
      <c r="C19" s="124" t="s">
        <v>178</v>
      </c>
      <c r="D19" s="98">
        <v>219</v>
      </c>
      <c r="E19" s="97">
        <f>ROUND(200/1.2,2)</f>
        <v>166.67</v>
      </c>
      <c r="F19" s="102">
        <f t="shared" ref="F19:F20" si="3">ROUND(E19*D19,2)</f>
        <v>36500.730000000003</v>
      </c>
      <c r="G19" s="102">
        <f t="shared" ref="G19:G20" si="4">ROUND(F19*1.2,2)</f>
        <v>43800.88</v>
      </c>
    </row>
    <row r="20" spans="1:7" x14ac:dyDescent="0.3">
      <c r="A20" s="119">
        <f t="shared" ref="A20:A22" si="5">A19+1</f>
        <v>14</v>
      </c>
      <c r="B20" s="139" t="s">
        <v>702</v>
      </c>
      <c r="C20" s="124" t="s">
        <v>178</v>
      </c>
      <c r="D20" s="98">
        <v>73</v>
      </c>
      <c r="E20" s="97">
        <f>ROUND(5841/1.2,2)</f>
        <v>4867.5</v>
      </c>
      <c r="F20" s="102">
        <f t="shared" si="3"/>
        <v>355327.5</v>
      </c>
      <c r="G20" s="102">
        <f t="shared" si="4"/>
        <v>426393</v>
      </c>
    </row>
    <row r="21" spans="1:7" x14ac:dyDescent="0.3">
      <c r="A21" s="119">
        <f t="shared" si="5"/>
        <v>15</v>
      </c>
      <c r="B21" s="131" t="s">
        <v>714</v>
      </c>
      <c r="C21" s="124" t="s">
        <v>217</v>
      </c>
      <c r="D21" s="127">
        <v>1</v>
      </c>
      <c r="E21" s="102">
        <v>330000</v>
      </c>
      <c r="F21" s="102">
        <f>ROUND(E21*D21,2)</f>
        <v>330000</v>
      </c>
      <c r="G21" s="102">
        <f>ROUND(F21*1.2,2)</f>
        <v>396000</v>
      </c>
    </row>
    <row r="22" spans="1:7" x14ac:dyDescent="0.3">
      <c r="A22" s="119">
        <f t="shared" si="5"/>
        <v>16</v>
      </c>
      <c r="B22" s="131" t="s">
        <v>191</v>
      </c>
      <c r="C22" s="124" t="s">
        <v>220</v>
      </c>
      <c r="D22" s="127">
        <v>1</v>
      </c>
      <c r="E22" s="102">
        <f>ROUND(154000/1.2,2)</f>
        <v>128333.33</v>
      </c>
      <c r="F22" s="102">
        <f>ROUND(E22*D22,2)</f>
        <v>128333.33</v>
      </c>
      <c r="G22" s="102">
        <f>ROUND(F22*1.2,2)</f>
        <v>154000</v>
      </c>
    </row>
    <row r="23" spans="1:7" x14ac:dyDescent="0.3">
      <c r="A23" s="537" t="s">
        <v>223</v>
      </c>
      <c r="B23" s="537"/>
      <c r="C23" s="537"/>
      <c r="D23" s="537"/>
      <c r="E23" s="136"/>
      <c r="F23" s="137"/>
      <c r="G23" s="137"/>
    </row>
    <row r="24" spans="1:7" x14ac:dyDescent="0.3">
      <c r="A24" s="119">
        <f>A22+1</f>
        <v>17</v>
      </c>
      <c r="B24" s="67" t="s">
        <v>712</v>
      </c>
      <c r="C24" s="124" t="s">
        <v>193</v>
      </c>
      <c r="D24" s="127">
        <v>105</v>
      </c>
      <c r="E24" s="102">
        <v>5500</v>
      </c>
      <c r="F24" s="102">
        <f>ROUND(E24*D24,2)</f>
        <v>577500</v>
      </c>
      <c r="G24" s="102">
        <f>ROUND(F24*1.2,2)</f>
        <v>693000</v>
      </c>
    </row>
    <row r="25" spans="1:7" x14ac:dyDescent="0.3">
      <c r="A25" s="119">
        <f>A24+1</f>
        <v>18</v>
      </c>
      <c r="B25" s="67" t="s">
        <v>713</v>
      </c>
      <c r="C25" s="124" t="s">
        <v>193</v>
      </c>
      <c r="D25" s="138">
        <v>112.6</v>
      </c>
      <c r="E25" s="102">
        <v>1375</v>
      </c>
      <c r="F25" s="102">
        <f>ROUND(E25*D25,2)</f>
        <v>154825</v>
      </c>
      <c r="G25" s="102">
        <f>ROUND(F25*1.2,2)</f>
        <v>185790</v>
      </c>
    </row>
    <row r="26" spans="1:7" x14ac:dyDescent="0.3">
      <c r="A26" s="119">
        <f>A25+1</f>
        <v>19</v>
      </c>
      <c r="B26" s="67" t="s">
        <v>203</v>
      </c>
      <c r="C26" s="124" t="s">
        <v>194</v>
      </c>
      <c r="D26" s="129">
        <v>156.38999999999999</v>
      </c>
      <c r="E26" s="102">
        <v>168</v>
      </c>
      <c r="F26" s="102">
        <f>ROUND(E26*D26,2)</f>
        <v>26273.52</v>
      </c>
      <c r="G26" s="102">
        <f>ROUND(F26*1.2,2)</f>
        <v>31528.22</v>
      </c>
    </row>
    <row r="27" spans="1:7" ht="27.6" x14ac:dyDescent="0.3">
      <c r="A27" s="119">
        <f>A26+1</f>
        <v>20</v>
      </c>
      <c r="B27" s="131" t="s">
        <v>183</v>
      </c>
      <c r="C27" s="124" t="s">
        <v>194</v>
      </c>
      <c r="D27" s="129">
        <v>156.38999999999999</v>
      </c>
      <c r="E27" s="102">
        <f>ROUND(38500/1.2,2)</f>
        <v>32083.33</v>
      </c>
      <c r="F27" s="102">
        <f>ROUND(E27*D27,2)</f>
        <v>5017511.9800000004</v>
      </c>
      <c r="G27" s="102">
        <f>ROUND(F27*1.2,2)</f>
        <v>6021014.3799999999</v>
      </c>
    </row>
    <row r="28" spans="1:7" x14ac:dyDescent="0.3">
      <c r="A28" s="119">
        <f>A27+1</f>
        <v>21</v>
      </c>
      <c r="B28" s="139" t="s">
        <v>701</v>
      </c>
      <c r="C28" s="124" t="s">
        <v>178</v>
      </c>
      <c r="D28" s="98">
        <v>151</v>
      </c>
      <c r="E28" s="97">
        <f>ROUND(200/1.2,2)</f>
        <v>166.67</v>
      </c>
      <c r="F28" s="102">
        <f t="shared" ref="F28:F29" si="6">ROUND(E28*D28,2)</f>
        <v>25167.17</v>
      </c>
      <c r="G28" s="102">
        <f t="shared" ref="G28:G29" si="7">ROUND(F28*1.2,2)</f>
        <v>30200.6</v>
      </c>
    </row>
    <row r="29" spans="1:7" x14ac:dyDescent="0.3">
      <c r="A29" s="119">
        <f t="shared" ref="A29:A31" si="8">A28+1</f>
        <v>22</v>
      </c>
      <c r="B29" s="139" t="s">
        <v>702</v>
      </c>
      <c r="C29" s="124" t="s">
        <v>178</v>
      </c>
      <c r="D29" s="98">
        <v>50</v>
      </c>
      <c r="E29" s="97">
        <f>ROUND(5841/1.2,2)</f>
        <v>4867.5</v>
      </c>
      <c r="F29" s="102">
        <f t="shared" si="6"/>
        <v>243375</v>
      </c>
      <c r="G29" s="102">
        <f t="shared" si="7"/>
        <v>292050</v>
      </c>
    </row>
    <row r="30" spans="1:7" x14ac:dyDescent="0.3">
      <c r="A30" s="119">
        <f t="shared" si="8"/>
        <v>23</v>
      </c>
      <c r="B30" s="131" t="s">
        <v>714</v>
      </c>
      <c r="C30" s="124" t="s">
        <v>217</v>
      </c>
      <c r="D30" s="127">
        <v>1</v>
      </c>
      <c r="E30" s="102">
        <v>110000</v>
      </c>
      <c r="F30" s="102">
        <f>ROUND(E30*D30,2)</f>
        <v>110000</v>
      </c>
      <c r="G30" s="102">
        <f>ROUND(F30*1.2,2)</f>
        <v>132000</v>
      </c>
    </row>
    <row r="31" spans="1:7" x14ac:dyDescent="0.3">
      <c r="A31" s="119">
        <f t="shared" si="8"/>
        <v>24</v>
      </c>
      <c r="B31" s="131" t="s">
        <v>191</v>
      </c>
      <c r="C31" s="124" t="s">
        <v>220</v>
      </c>
      <c r="D31" s="127">
        <v>1</v>
      </c>
      <c r="E31" s="102">
        <f>ROUND(154000/1.2,2)</f>
        <v>128333.33</v>
      </c>
      <c r="F31" s="102">
        <f>ROUND(E31*D31,2)</f>
        <v>128333.33</v>
      </c>
      <c r="G31" s="102">
        <f>ROUND(F31*1.2,2)</f>
        <v>154000</v>
      </c>
    </row>
    <row r="32" spans="1:7" x14ac:dyDescent="0.3">
      <c r="A32" s="537" t="s">
        <v>224</v>
      </c>
      <c r="B32" s="537"/>
      <c r="C32" s="537"/>
      <c r="D32" s="537"/>
      <c r="E32" s="136"/>
      <c r="F32" s="137"/>
      <c r="G32" s="137"/>
    </row>
    <row r="33" spans="1:7" x14ac:dyDescent="0.3">
      <c r="A33" s="119">
        <f>A31+1</f>
        <v>25</v>
      </c>
      <c r="B33" s="67" t="s">
        <v>712</v>
      </c>
      <c r="C33" s="124" t="s">
        <v>193</v>
      </c>
      <c r="D33" s="127">
        <v>65</v>
      </c>
      <c r="E33" s="102">
        <v>5500</v>
      </c>
      <c r="F33" s="102">
        <f>ROUND(E33*D33,2)</f>
        <v>357500</v>
      </c>
      <c r="G33" s="102">
        <f>ROUND(F33*1.2,2)</f>
        <v>429000</v>
      </c>
    </row>
    <row r="34" spans="1:7" x14ac:dyDescent="0.3">
      <c r="A34" s="119">
        <f>A33+1</f>
        <v>26</v>
      </c>
      <c r="B34" s="67" t="s">
        <v>713</v>
      </c>
      <c r="C34" s="124" t="s">
        <v>193</v>
      </c>
      <c r="D34" s="138">
        <v>70</v>
      </c>
      <c r="E34" s="102">
        <v>1375</v>
      </c>
      <c r="F34" s="102">
        <f>ROUND(E34*D34,2)</f>
        <v>96250</v>
      </c>
      <c r="G34" s="102">
        <f>ROUND(F34*1.2,2)</f>
        <v>115500</v>
      </c>
    </row>
    <row r="35" spans="1:7" x14ac:dyDescent="0.3">
      <c r="A35" s="119">
        <f>A34+1</f>
        <v>27</v>
      </c>
      <c r="B35" s="67" t="s">
        <v>203</v>
      </c>
      <c r="C35" s="124" t="s">
        <v>194</v>
      </c>
      <c r="D35" s="138">
        <v>97.2</v>
      </c>
      <c r="E35" s="102">
        <v>168</v>
      </c>
      <c r="F35" s="102">
        <f>ROUND(E35*D35,2)</f>
        <v>16329.6</v>
      </c>
      <c r="G35" s="102">
        <f>ROUND(F35*1.2,2)</f>
        <v>19595.52</v>
      </c>
    </row>
    <row r="36" spans="1:7" ht="27.6" x14ac:dyDescent="0.3">
      <c r="A36" s="119">
        <f>A35+1</f>
        <v>28</v>
      </c>
      <c r="B36" s="131" t="s">
        <v>183</v>
      </c>
      <c r="C36" s="124" t="s">
        <v>194</v>
      </c>
      <c r="D36" s="129">
        <v>97.2</v>
      </c>
      <c r="E36" s="102">
        <f>ROUND(38500/1.2,2)</f>
        <v>32083.33</v>
      </c>
      <c r="F36" s="102">
        <f>ROUND(E36*D36,2)</f>
        <v>3118499.68</v>
      </c>
      <c r="G36" s="102">
        <f>ROUND(F36*1.2,2)</f>
        <v>3742199.62</v>
      </c>
    </row>
    <row r="37" spans="1:7" x14ac:dyDescent="0.3">
      <c r="A37" s="119">
        <f>A36+1</f>
        <v>29</v>
      </c>
      <c r="B37" s="139" t="s">
        <v>701</v>
      </c>
      <c r="C37" s="124" t="s">
        <v>178</v>
      </c>
      <c r="D37" s="127">
        <v>95</v>
      </c>
      <c r="E37" s="97">
        <f>ROUND(200/1.2,2)</f>
        <v>166.67</v>
      </c>
      <c r="F37" s="102">
        <f t="shared" ref="F37:F38" si="9">ROUND(E37*D37,2)</f>
        <v>15833.65</v>
      </c>
      <c r="G37" s="102">
        <f t="shared" ref="G37:G38" si="10">ROUND(F37*1.2,2)</f>
        <v>19000.38</v>
      </c>
    </row>
    <row r="38" spans="1:7" x14ac:dyDescent="0.3">
      <c r="A38" s="119">
        <f t="shared" ref="A38:A40" si="11">A37+1</f>
        <v>30</v>
      </c>
      <c r="B38" s="139" t="s">
        <v>702</v>
      </c>
      <c r="C38" s="124" t="s">
        <v>178</v>
      </c>
      <c r="D38" s="127">
        <v>32</v>
      </c>
      <c r="E38" s="97">
        <f>ROUND(5841/1.2,2)</f>
        <v>4867.5</v>
      </c>
      <c r="F38" s="102">
        <f t="shared" si="9"/>
        <v>155760</v>
      </c>
      <c r="G38" s="102">
        <f t="shared" si="10"/>
        <v>186912</v>
      </c>
    </row>
    <row r="39" spans="1:7" x14ac:dyDescent="0.3">
      <c r="A39" s="119">
        <f t="shared" si="11"/>
        <v>31</v>
      </c>
      <c r="B39" s="131" t="s">
        <v>714</v>
      </c>
      <c r="C39" s="124" t="s">
        <v>217</v>
      </c>
      <c r="D39" s="127">
        <v>1</v>
      </c>
      <c r="E39" s="102">
        <v>110000</v>
      </c>
      <c r="F39" s="102">
        <f>ROUND(E39*D39,2)</f>
        <v>110000</v>
      </c>
      <c r="G39" s="102">
        <f>ROUND(F39*1.2,2)</f>
        <v>132000</v>
      </c>
    </row>
    <row r="40" spans="1:7" x14ac:dyDescent="0.3">
      <c r="A40" s="119">
        <f t="shared" si="11"/>
        <v>32</v>
      </c>
      <c r="B40" s="131" t="s">
        <v>191</v>
      </c>
      <c r="C40" s="124" t="s">
        <v>220</v>
      </c>
      <c r="D40" s="127">
        <v>1</v>
      </c>
      <c r="E40" s="102">
        <f>ROUND(154000/1.2,2)</f>
        <v>128333.33</v>
      </c>
      <c r="F40" s="102">
        <f>ROUND(E40*D40,2)</f>
        <v>128333.33</v>
      </c>
      <c r="G40" s="102">
        <f>ROUND(F40*1.2,2)</f>
        <v>154000</v>
      </c>
    </row>
    <row r="41" spans="1:7" s="1" customFormat="1" ht="18.75" customHeight="1" x14ac:dyDescent="0.3">
      <c r="A41" s="100"/>
      <c r="B41" s="549" t="s">
        <v>716</v>
      </c>
      <c r="C41" s="550"/>
      <c r="D41" s="550"/>
      <c r="E41" s="551"/>
      <c r="F41" s="111">
        <f>SUM(F6:F40)</f>
        <v>28464147.179999996</v>
      </c>
      <c r="G41" s="111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91" t="s">
        <v>698</v>
      </c>
      <c r="F1" s="552"/>
      <c r="G1" s="552"/>
    </row>
    <row r="2" spans="1:8" ht="14.55" customHeight="1" x14ac:dyDescent="0.3">
      <c r="A2" s="481"/>
      <c r="B2" s="484"/>
      <c r="C2" s="486"/>
      <c r="D2" s="486"/>
      <c r="E2" s="492"/>
      <c r="F2" s="490"/>
      <c r="G2" s="490"/>
    </row>
    <row r="3" spans="1:8" ht="55.95" customHeight="1" x14ac:dyDescent="0.3">
      <c r="A3" s="482"/>
      <c r="B3" s="485"/>
      <c r="C3" s="486"/>
      <c r="D3" s="486"/>
      <c r="E3" s="90" t="s">
        <v>441</v>
      </c>
      <c r="F3" s="90" t="s">
        <v>433</v>
      </c>
      <c r="G3" s="101" t="s">
        <v>409</v>
      </c>
    </row>
    <row r="4" spans="1:8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</row>
    <row r="5" spans="1:8" ht="20.25" customHeight="1" x14ac:dyDescent="0.3">
      <c r="A5" s="174"/>
      <c r="B5" s="478" t="s">
        <v>232</v>
      </c>
      <c r="C5" s="479"/>
      <c r="D5" s="479"/>
      <c r="E5" s="175"/>
      <c r="F5" s="176"/>
      <c r="G5" s="184"/>
    </row>
    <row r="6" spans="1:8" ht="20.25" customHeight="1" x14ac:dyDescent="0.3">
      <c r="A6" s="89"/>
      <c r="B6" s="62" t="s">
        <v>442</v>
      </c>
      <c r="C6" s="63"/>
      <c r="D6" s="63"/>
      <c r="E6" s="64"/>
      <c r="F6" s="65"/>
      <c r="G6" s="128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325</v>
      </c>
      <c r="F7" s="102">
        <f t="shared" ref="F7:F61" si="0">ROUND(E7*D7,2)</f>
        <v>351000</v>
      </c>
      <c r="G7" s="102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1777</v>
      </c>
      <c r="F8" s="102">
        <f t="shared" si="0"/>
        <v>35540</v>
      </c>
      <c r="G8" s="102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3460</v>
      </c>
      <c r="F9" s="102">
        <f t="shared" si="0"/>
        <v>6034240</v>
      </c>
      <c r="G9" s="102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50</v>
      </c>
      <c r="F10" s="102">
        <f t="shared" si="0"/>
        <v>54500</v>
      </c>
      <c r="G10" s="102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325</v>
      </c>
      <c r="F11" s="102">
        <f t="shared" si="0"/>
        <v>334750</v>
      </c>
      <c r="G11" s="102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899</v>
      </c>
      <c r="F12" s="102">
        <f t="shared" si="0"/>
        <v>8990</v>
      </c>
      <c r="G12" s="102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325</v>
      </c>
      <c r="F13" s="102">
        <f t="shared" si="0"/>
        <v>2600</v>
      </c>
      <c r="G13" s="102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899</v>
      </c>
      <c r="F14" s="102">
        <f t="shared" si="0"/>
        <v>1798</v>
      </c>
      <c r="G14" s="102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203</v>
      </c>
      <c r="F15" s="102">
        <f t="shared" si="0"/>
        <v>2030</v>
      </c>
      <c r="G15" s="102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2"/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1111</v>
      </c>
      <c r="F17" s="102">
        <f t="shared" si="0"/>
        <v>186648</v>
      </c>
      <c r="G17" s="102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253</v>
      </c>
      <c r="F18" s="102">
        <f t="shared" si="0"/>
        <v>260590</v>
      </c>
      <c r="G18" s="102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468</v>
      </c>
      <c r="F19" s="102">
        <f t="shared" si="0"/>
        <v>482040</v>
      </c>
      <c r="G19" s="102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1475</v>
      </c>
      <c r="F20" s="102">
        <f t="shared" si="0"/>
        <v>178475</v>
      </c>
      <c r="G20" s="102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1140</v>
      </c>
      <c r="F21" s="102">
        <f t="shared" si="0"/>
        <v>877800</v>
      </c>
      <c r="G21" s="102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2">
        <v>1440</v>
      </c>
      <c r="F22" s="102">
        <f t="shared" si="0"/>
        <v>216000</v>
      </c>
      <c r="G22" s="102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2">
        <v>1205</v>
      </c>
      <c r="F23" s="102">
        <f t="shared" si="0"/>
        <v>120500</v>
      </c>
      <c r="G23" s="102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2"/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2348</v>
      </c>
      <c r="F25" s="102">
        <f t="shared" si="0"/>
        <v>366288</v>
      </c>
      <c r="G25" s="102">
        <f t="shared" si="1"/>
        <v>439545.59999999998</v>
      </c>
    </row>
    <row r="26" spans="1:7" ht="20.399999999999999" x14ac:dyDescent="0.3">
      <c r="A26" s="89"/>
      <c r="B26" s="62" t="s">
        <v>251</v>
      </c>
      <c r="C26" s="63"/>
      <c r="D26" s="63"/>
      <c r="E26" s="183"/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82"/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3979</v>
      </c>
      <c r="F28" s="102">
        <f t="shared" si="0"/>
        <v>7639.68</v>
      </c>
      <c r="G28" s="102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2">
        <v>8423</v>
      </c>
      <c r="F29" s="102">
        <f t="shared" si="0"/>
        <v>60645.599999999999</v>
      </c>
      <c r="G29" s="102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2">
        <v>150291</v>
      </c>
      <c r="F30" s="102">
        <f t="shared" si="0"/>
        <v>19898.53</v>
      </c>
      <c r="G30" s="102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2">
        <v>320</v>
      </c>
      <c r="F31" s="102">
        <f t="shared" si="0"/>
        <v>11468.8</v>
      </c>
      <c r="G31" s="102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2"/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3979</v>
      </c>
      <c r="F33" s="102">
        <f t="shared" si="0"/>
        <v>7162.2</v>
      </c>
      <c r="G33" s="102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2">
        <v>8435</v>
      </c>
      <c r="F34" s="102">
        <f t="shared" si="0"/>
        <v>30366</v>
      </c>
      <c r="G34" s="102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2">
        <v>73989</v>
      </c>
      <c r="F35" s="102">
        <f t="shared" si="0"/>
        <v>9352.2099999999991</v>
      </c>
      <c r="G35" s="102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2">
        <v>150291</v>
      </c>
      <c r="F36" s="102">
        <f t="shared" si="0"/>
        <v>30382.83</v>
      </c>
      <c r="G36" s="102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2">
        <v>320</v>
      </c>
      <c r="F37" s="102">
        <f t="shared" si="0"/>
        <v>8448</v>
      </c>
      <c r="G37" s="102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2"/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82"/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150291</v>
      </c>
      <c r="F40" s="102">
        <f t="shared" si="0"/>
        <v>333044.86</v>
      </c>
      <c r="G40" s="102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152</v>
      </c>
      <c r="F41" s="102">
        <f t="shared" si="0"/>
        <v>8420.7999999999993</v>
      </c>
      <c r="G41" s="102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2">
        <v>152</v>
      </c>
      <c r="F42" s="102">
        <f t="shared" si="0"/>
        <v>8420.7999999999993</v>
      </c>
      <c r="G42" s="102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2">
        <v>1454</v>
      </c>
      <c r="F43" s="102">
        <f t="shared" si="0"/>
        <v>1570.32</v>
      </c>
      <c r="G43" s="102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2">
        <v>12612</v>
      </c>
      <c r="F44" s="102">
        <f t="shared" si="0"/>
        <v>10594.08</v>
      </c>
      <c r="G44" s="102">
        <f t="shared" si="1"/>
        <v>12712.9</v>
      </c>
    </row>
    <row r="45" spans="1:7" ht="15.6" x14ac:dyDescent="0.3">
      <c r="A45" s="66"/>
      <c r="B45" s="73" t="s">
        <v>472</v>
      </c>
      <c r="C45" s="74"/>
      <c r="D45" s="185"/>
      <c r="E45" s="182"/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73989</v>
      </c>
      <c r="F46" s="102">
        <f t="shared" si="0"/>
        <v>189748.49</v>
      </c>
      <c r="G46" s="102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2">
        <v>152</v>
      </c>
      <c r="F47" s="102">
        <f t="shared" si="0"/>
        <v>9880</v>
      </c>
      <c r="G47" s="102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2">
        <v>152</v>
      </c>
      <c r="F48" s="102">
        <f t="shared" si="0"/>
        <v>9880</v>
      </c>
      <c r="G48" s="102">
        <f t="shared" si="1"/>
        <v>11856</v>
      </c>
    </row>
    <row r="49" spans="1:7" ht="15.6" x14ac:dyDescent="0.3">
      <c r="A49" s="66"/>
      <c r="B49" s="62" t="s">
        <v>314</v>
      </c>
      <c r="C49" s="74"/>
      <c r="D49" s="185"/>
      <c r="E49" s="182"/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82"/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3979</v>
      </c>
      <c r="F51" s="102">
        <f t="shared" si="0"/>
        <v>437.69</v>
      </c>
      <c r="G51" s="102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2">
        <v>20591</v>
      </c>
      <c r="F52" s="102">
        <f t="shared" si="0"/>
        <v>10295.5</v>
      </c>
      <c r="G52" s="102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2">
        <v>69473</v>
      </c>
      <c r="F53" s="102">
        <f t="shared" si="0"/>
        <v>14103.02</v>
      </c>
      <c r="G53" s="102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2"/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1670</v>
      </c>
      <c r="F55" s="102">
        <f t="shared" si="0"/>
        <v>20040</v>
      </c>
      <c r="G55" s="102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2">
        <v>1999</v>
      </c>
      <c r="F56" s="102">
        <f t="shared" si="0"/>
        <v>19110.439999999999</v>
      </c>
      <c r="G56" s="102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2">
        <v>1007.6976744186048</v>
      </c>
      <c r="F57" s="102">
        <f t="shared" si="0"/>
        <v>8666.2000000000007</v>
      </c>
      <c r="G57" s="102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2">
        <v>85</v>
      </c>
      <c r="F58" s="102">
        <f t="shared" si="0"/>
        <v>731</v>
      </c>
      <c r="G58" s="102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2">
        <v>104.87</v>
      </c>
      <c r="F59" s="102">
        <f t="shared" si="0"/>
        <v>901.88</v>
      </c>
      <c r="G59" s="102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2">
        <v>152</v>
      </c>
      <c r="F60" s="102">
        <f t="shared" si="0"/>
        <v>1307.2</v>
      </c>
      <c r="G60" s="102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2">
        <v>152</v>
      </c>
      <c r="F61" s="102">
        <f t="shared" si="0"/>
        <v>1307.2</v>
      </c>
      <c r="G61" s="102">
        <f t="shared" si="1"/>
        <v>1568.64</v>
      </c>
    </row>
    <row r="62" spans="1:7" ht="22.5" customHeight="1" x14ac:dyDescent="0.3">
      <c r="A62" s="174"/>
      <c r="B62" s="478" t="s">
        <v>341</v>
      </c>
      <c r="C62" s="479"/>
      <c r="D62" s="479"/>
      <c r="E62" s="175"/>
      <c r="F62" s="186"/>
      <c r="G62" s="132"/>
    </row>
    <row r="63" spans="1:7" x14ac:dyDescent="0.3">
      <c r="A63" s="66"/>
      <c r="B63" s="62" t="s">
        <v>342</v>
      </c>
      <c r="C63" s="74"/>
      <c r="D63" s="75"/>
      <c r="E63" s="88"/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1240</v>
      </c>
      <c r="F64" s="102">
        <f t="shared" ref="F64:F82" si="8">ROUND(E64*D64,2)</f>
        <v>7936</v>
      </c>
      <c r="G64" s="102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2">
        <v>2455</v>
      </c>
      <c r="F65" s="102">
        <f t="shared" si="8"/>
        <v>159575</v>
      </c>
      <c r="G65" s="102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2">
        <v>315</v>
      </c>
      <c r="F66" s="102">
        <f t="shared" si="8"/>
        <v>15904.35</v>
      </c>
      <c r="G66" s="102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2"/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1777</v>
      </c>
      <c r="F68" s="102">
        <f t="shared" si="8"/>
        <v>6663.75</v>
      </c>
      <c r="G68" s="102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2">
        <v>899</v>
      </c>
      <c r="F69" s="102">
        <f t="shared" si="8"/>
        <v>1123.75</v>
      </c>
      <c r="G69" s="102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2">
        <v>6056</v>
      </c>
      <c r="F70" s="102">
        <f t="shared" si="8"/>
        <v>13323.2</v>
      </c>
      <c r="G70" s="102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2">
        <v>315</v>
      </c>
      <c r="F71" s="102">
        <f t="shared" si="8"/>
        <v>2400.3000000000002</v>
      </c>
      <c r="G71" s="102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2">
        <v>6799</v>
      </c>
      <c r="F72" s="102">
        <f t="shared" si="8"/>
        <v>11558.3</v>
      </c>
      <c r="G72" s="102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2">
        <v>334</v>
      </c>
      <c r="F73" s="102">
        <f t="shared" si="8"/>
        <v>238.61</v>
      </c>
      <c r="G73" s="102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2"/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325</v>
      </c>
      <c r="F75" s="102">
        <f t="shared" si="8"/>
        <v>74750</v>
      </c>
      <c r="G75" s="102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2">
        <v>1777</v>
      </c>
      <c r="F76" s="102">
        <f t="shared" si="8"/>
        <v>5188.84</v>
      </c>
      <c r="G76" s="102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88">
        <v>3460</v>
      </c>
      <c r="F77" s="102">
        <f t="shared" si="8"/>
        <v>142275.20000000001</v>
      </c>
      <c r="G77" s="102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2">
        <v>325</v>
      </c>
      <c r="F78" s="102">
        <f t="shared" si="8"/>
        <v>65000</v>
      </c>
      <c r="G78" s="102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2">
        <v>899</v>
      </c>
      <c r="F79" s="102">
        <f t="shared" si="8"/>
        <v>6490.78</v>
      </c>
      <c r="G79" s="102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2">
        <v>3979</v>
      </c>
      <c r="F80" s="102">
        <f t="shared" si="8"/>
        <v>29046.7</v>
      </c>
      <c r="G80" s="102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2">
        <v>12200</v>
      </c>
      <c r="F81" s="102">
        <f t="shared" si="8"/>
        <v>313540</v>
      </c>
      <c r="G81" s="102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2">
        <v>315</v>
      </c>
      <c r="F82" s="102">
        <f t="shared" si="8"/>
        <v>84782.25</v>
      </c>
      <c r="G82" s="102">
        <f t="shared" si="9"/>
        <v>101738.7</v>
      </c>
    </row>
    <row r="83" spans="1:7" ht="19.5" customHeight="1" x14ac:dyDescent="0.3">
      <c r="A83" s="174"/>
      <c r="B83" s="478" t="s">
        <v>364</v>
      </c>
      <c r="C83" s="479"/>
      <c r="D83" s="479"/>
      <c r="E83" s="175"/>
      <c r="F83" s="186"/>
      <c r="G83" s="132"/>
    </row>
    <row r="84" spans="1:7" x14ac:dyDescent="0.3">
      <c r="A84" s="66"/>
      <c r="B84" s="62" t="s">
        <v>495</v>
      </c>
      <c r="C84" s="74"/>
      <c r="D84" s="75"/>
      <c r="E84" s="88"/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125</v>
      </c>
      <c r="F85" s="102">
        <f t="shared" ref="F85:F90" si="11">ROUND(E85*D85,2)</f>
        <v>138625</v>
      </c>
      <c r="G85" s="102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325</v>
      </c>
      <c r="F86" s="102">
        <f t="shared" si="11"/>
        <v>360425</v>
      </c>
      <c r="G86" s="102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2">
        <v>50</v>
      </c>
      <c r="F87" s="102">
        <f t="shared" si="11"/>
        <v>55450</v>
      </c>
      <c r="G87" s="102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2">
        <v>325</v>
      </c>
      <c r="F88" s="102">
        <f t="shared" si="11"/>
        <v>360425</v>
      </c>
      <c r="G88" s="102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2">
        <v>3460</v>
      </c>
      <c r="F89" s="102">
        <f t="shared" si="11"/>
        <v>6062612</v>
      </c>
      <c r="G89" s="102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2">
        <v>325</v>
      </c>
      <c r="F90" s="102">
        <f t="shared" si="11"/>
        <v>857025</v>
      </c>
      <c r="G90" s="102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2"/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325</v>
      </c>
      <c r="F92" s="102">
        <f t="shared" ref="F92:F99" si="14">ROUND(E92*D92,2)</f>
        <v>160413.5</v>
      </c>
      <c r="G92" s="102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325</v>
      </c>
      <c r="F93" s="102">
        <f t="shared" si="14"/>
        <v>160225</v>
      </c>
      <c r="G93" s="102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2">
        <v>3460</v>
      </c>
      <c r="F94" s="102">
        <f t="shared" si="14"/>
        <v>2698800</v>
      </c>
      <c r="G94" s="102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2">
        <v>1111</v>
      </c>
      <c r="F95" s="102">
        <f t="shared" si="14"/>
        <v>312191</v>
      </c>
      <c r="G95" s="102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2">
        <v>1754</v>
      </c>
      <c r="F96" s="102">
        <f t="shared" si="14"/>
        <v>248541.8</v>
      </c>
      <c r="G96" s="102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2">
        <v>1754</v>
      </c>
      <c r="F97" s="102">
        <f t="shared" si="14"/>
        <v>125411</v>
      </c>
      <c r="G97" s="102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2">
        <v>1854</v>
      </c>
      <c r="F98" s="102">
        <f t="shared" si="14"/>
        <v>2595.6</v>
      </c>
      <c r="G98" s="102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2">
        <v>1140</v>
      </c>
      <c r="F99" s="102">
        <f t="shared" si="14"/>
        <v>970140</v>
      </c>
      <c r="G99" s="102">
        <f t="shared" si="15"/>
        <v>1164168</v>
      </c>
    </row>
    <row r="100" spans="1:7" ht="15.6" x14ac:dyDescent="0.3">
      <c r="A100" s="215"/>
      <c r="B100" s="216" t="s">
        <v>922</v>
      </c>
      <c r="C100" s="217"/>
      <c r="D100" s="218"/>
      <c r="E100" s="219"/>
      <c r="F100" s="220"/>
      <c r="G100" s="220"/>
    </row>
    <row r="101" spans="1:7" ht="27.6" x14ac:dyDescent="0.3">
      <c r="A101" s="215">
        <f>A99+1</f>
        <v>76</v>
      </c>
      <c r="B101" s="221" t="s">
        <v>923</v>
      </c>
      <c r="C101" s="215" t="s">
        <v>220</v>
      </c>
      <c r="D101" s="218">
        <v>3</v>
      </c>
      <c r="E101" s="219">
        <v>1438</v>
      </c>
      <c r="F101" s="220">
        <f t="shared" ref="F101:F102" si="17">ROUND(E101*D101,2)</f>
        <v>4314</v>
      </c>
      <c r="G101" s="220">
        <f t="shared" ref="G101:G102" si="18">ROUND(F101*1.2,2)</f>
        <v>5176.8</v>
      </c>
    </row>
    <row r="102" spans="1:7" ht="15.6" x14ac:dyDescent="0.3">
      <c r="A102" s="215">
        <f>A101+1</f>
        <v>77</v>
      </c>
      <c r="B102" s="221" t="s">
        <v>924</v>
      </c>
      <c r="C102" s="215" t="s">
        <v>220</v>
      </c>
      <c r="D102" s="218">
        <v>3</v>
      </c>
      <c r="E102" s="219">
        <v>2078</v>
      </c>
      <c r="F102" s="220">
        <f t="shared" si="17"/>
        <v>6234</v>
      </c>
      <c r="G102" s="220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2"/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325</v>
      </c>
      <c r="F104" s="102">
        <f t="shared" ref="F104:F106" si="19">ROUND(E104*D104,2)</f>
        <v>147550</v>
      </c>
      <c r="G104" s="102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549</v>
      </c>
      <c r="F105" s="102">
        <f t="shared" si="19"/>
        <v>249246</v>
      </c>
      <c r="G105" s="102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110</v>
      </c>
      <c r="F106" s="102">
        <f t="shared" si="19"/>
        <v>49940</v>
      </c>
      <c r="G106" s="102">
        <f t="shared" si="20"/>
        <v>59928</v>
      </c>
    </row>
    <row r="107" spans="1:7" ht="22.5" customHeight="1" x14ac:dyDescent="0.3">
      <c r="A107" s="174"/>
      <c r="B107" s="478" t="s">
        <v>375</v>
      </c>
      <c r="C107" s="479"/>
      <c r="D107" s="479"/>
      <c r="E107" s="175"/>
      <c r="F107" s="186"/>
      <c r="G107" s="132"/>
    </row>
    <row r="108" spans="1:7" x14ac:dyDescent="0.3">
      <c r="A108" s="66"/>
      <c r="B108" s="62" t="s">
        <v>512</v>
      </c>
      <c r="C108" s="74"/>
      <c r="D108" s="71"/>
      <c r="E108" s="88"/>
      <c r="F108" s="88"/>
      <c r="G108" s="128"/>
    </row>
    <row r="109" spans="1:7" x14ac:dyDescent="0.3">
      <c r="A109" s="66"/>
      <c r="B109" s="62" t="s">
        <v>513</v>
      </c>
      <c r="C109" s="74"/>
      <c r="D109" s="71"/>
      <c r="E109" s="88"/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325</v>
      </c>
      <c r="F110" s="102">
        <f t="shared" ref="F110:F116" si="21">ROUND(E110*D110,2)</f>
        <v>74100</v>
      </c>
      <c r="G110" s="102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1777</v>
      </c>
      <c r="F111" s="102">
        <f t="shared" si="21"/>
        <v>323414</v>
      </c>
      <c r="G111" s="102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2">
        <v>1777</v>
      </c>
      <c r="F112" s="102">
        <f t="shared" si="21"/>
        <v>3554</v>
      </c>
      <c r="G112" s="102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2">
        <v>125</v>
      </c>
      <c r="F113" s="102">
        <f t="shared" si="21"/>
        <v>45000</v>
      </c>
      <c r="G113" s="102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2">
        <v>899</v>
      </c>
      <c r="F114" s="102">
        <f t="shared" si="21"/>
        <v>25172</v>
      </c>
      <c r="G114" s="102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2">
        <v>325</v>
      </c>
      <c r="F115" s="102">
        <f t="shared" si="21"/>
        <v>17160</v>
      </c>
      <c r="G115" s="102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2">
        <v>3460</v>
      </c>
      <c r="F116" s="102">
        <f t="shared" si="21"/>
        <v>182688</v>
      </c>
      <c r="G116" s="102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2"/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1422</v>
      </c>
      <c r="F118" s="102">
        <f t="shared" ref="F118:F120" si="24">ROUND(E118*D118,2)</f>
        <v>1137.5999999999999</v>
      </c>
      <c r="G118" s="102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1380</v>
      </c>
      <c r="F119" s="102">
        <f t="shared" si="24"/>
        <v>4140</v>
      </c>
      <c r="G119" s="102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1380</v>
      </c>
      <c r="F120" s="102">
        <f t="shared" si="24"/>
        <v>12420</v>
      </c>
      <c r="G120" s="102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2"/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539</v>
      </c>
      <c r="F122" s="102">
        <f t="shared" ref="F122" si="26">ROUND(E122*D122,2)</f>
        <v>15631</v>
      </c>
      <c r="G122" s="102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2"/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18174</v>
      </c>
      <c r="F124" s="102">
        <f t="shared" ref="F124:F126" si="28">ROUND(E124*D124,2)</f>
        <v>58883.76</v>
      </c>
      <c r="G124" s="102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25276</v>
      </c>
      <c r="F125" s="102">
        <f t="shared" si="28"/>
        <v>88466</v>
      </c>
      <c r="G125" s="102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69775</v>
      </c>
      <c r="F126" s="102">
        <f t="shared" si="28"/>
        <v>523.30999999999995</v>
      </c>
      <c r="G126" s="102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2"/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325</v>
      </c>
      <c r="F128" s="102">
        <f t="shared" ref="F128:F136" si="30">ROUND(E128*D128,2)</f>
        <v>107900</v>
      </c>
      <c r="G128" s="102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1777</v>
      </c>
      <c r="F129" s="102">
        <f t="shared" si="30"/>
        <v>17770</v>
      </c>
      <c r="G129" s="102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2">
        <v>4886</v>
      </c>
      <c r="F130" s="102">
        <f t="shared" si="30"/>
        <v>131922</v>
      </c>
      <c r="G130" s="102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2">
        <v>414</v>
      </c>
      <c r="F131" s="102">
        <f t="shared" si="30"/>
        <v>11178</v>
      </c>
      <c r="G131" s="102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2">
        <v>3703</v>
      </c>
      <c r="F132" s="102">
        <f t="shared" si="30"/>
        <v>99981</v>
      </c>
      <c r="G132" s="102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2">
        <v>125</v>
      </c>
      <c r="F133" s="102">
        <f t="shared" si="30"/>
        <v>40125</v>
      </c>
      <c r="G133" s="102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2">
        <v>899</v>
      </c>
      <c r="F134" s="102">
        <f t="shared" si="30"/>
        <v>15283</v>
      </c>
      <c r="G134" s="102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2">
        <v>325</v>
      </c>
      <c r="F135" s="102">
        <f t="shared" si="30"/>
        <v>2080</v>
      </c>
      <c r="G135" s="102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2">
        <v>3460</v>
      </c>
      <c r="F136" s="102">
        <f t="shared" si="30"/>
        <v>22144</v>
      </c>
      <c r="G136" s="102">
        <f t="shared" si="31"/>
        <v>26572.799999999999</v>
      </c>
    </row>
    <row r="137" spans="1:7" ht="21" customHeight="1" x14ac:dyDescent="0.3">
      <c r="A137" s="174"/>
      <c r="B137" s="478" t="s">
        <v>399</v>
      </c>
      <c r="C137" s="479"/>
      <c r="D137" s="479"/>
      <c r="E137" s="175"/>
      <c r="F137" s="186"/>
      <c r="G137" s="132"/>
    </row>
    <row r="138" spans="1:7" x14ac:dyDescent="0.3">
      <c r="A138" s="66"/>
      <c r="B138" s="62" t="s">
        <v>512</v>
      </c>
      <c r="C138" s="74"/>
      <c r="D138" s="71"/>
      <c r="E138" s="88"/>
      <c r="F138" s="88"/>
      <c r="G138" s="128"/>
    </row>
    <row r="139" spans="1:7" x14ac:dyDescent="0.3">
      <c r="A139" s="66"/>
      <c r="B139" s="62" t="s">
        <v>708</v>
      </c>
      <c r="C139" s="66"/>
      <c r="D139" s="72"/>
      <c r="E139" s="88"/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18650.372222222224</v>
      </c>
      <c r="F140" s="102">
        <f t="shared" ref="F140:F145" si="33">ROUND(E140*D140,2)</f>
        <v>100712.01</v>
      </c>
      <c r="G140" s="102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31141.773584905659</v>
      </c>
      <c r="F141" s="102">
        <f t="shared" si="33"/>
        <v>64152.05</v>
      </c>
      <c r="G141" s="102">
        <f t="shared" si="34"/>
        <v>76982.460000000006</v>
      </c>
    </row>
    <row r="142" spans="1:7" ht="15.6" x14ac:dyDescent="0.3">
      <c r="A142" s="87">
        <f t="shared" ref="A142:A144" si="35">A141+1</f>
        <v>106</v>
      </c>
      <c r="B142" s="244" t="s">
        <v>927</v>
      </c>
      <c r="C142" s="87" t="s">
        <v>239</v>
      </c>
      <c r="D142" s="227">
        <v>1.95</v>
      </c>
      <c r="E142" s="171">
        <v>31141.773584905659</v>
      </c>
      <c r="F142" s="103">
        <f t="shared" ref="F142" si="36">ROUND(E142*D142,2)</f>
        <v>60726.46</v>
      </c>
      <c r="G142" s="103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27">
        <v>1.65</v>
      </c>
      <c r="E143" s="172">
        <v>31141.773584905663</v>
      </c>
      <c r="F143" s="102">
        <f t="shared" si="33"/>
        <v>51383.93</v>
      </c>
      <c r="G143" s="102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27">
        <v>20</v>
      </c>
      <c r="E144" s="188">
        <v>250</v>
      </c>
      <c r="F144" s="102">
        <f t="shared" si="33"/>
        <v>5000</v>
      </c>
      <c r="G144" s="102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27">
        <v>20</v>
      </c>
      <c r="E145" s="188">
        <v>50</v>
      </c>
      <c r="F145" s="102">
        <f t="shared" si="33"/>
        <v>1000</v>
      </c>
      <c r="G145" s="102">
        <f t="shared" si="34"/>
        <v>1200</v>
      </c>
    </row>
    <row r="146" spans="1:7" x14ac:dyDescent="0.3">
      <c r="A146" s="66"/>
      <c r="B146" s="187" t="s">
        <v>513</v>
      </c>
      <c r="C146" s="74"/>
      <c r="D146" s="228"/>
      <c r="E146" s="188"/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325</v>
      </c>
      <c r="F147" s="102">
        <f t="shared" ref="F147:F151" si="39">ROUND(E147*D147,2)</f>
        <v>25155</v>
      </c>
      <c r="G147" s="102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1776.64</v>
      </c>
      <c r="F148" s="102">
        <f t="shared" si="39"/>
        <v>2664.96</v>
      </c>
      <c r="G148" s="102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28">
        <v>80.099999999999994</v>
      </c>
      <c r="E149" s="172">
        <v>125</v>
      </c>
      <c r="F149" s="102">
        <f t="shared" si="39"/>
        <v>10012.5</v>
      </c>
      <c r="G149" s="102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28">
        <v>4.2</v>
      </c>
      <c r="E150" s="172">
        <v>898.85000000000014</v>
      </c>
      <c r="F150" s="102">
        <f t="shared" si="39"/>
        <v>3775.17</v>
      </c>
      <c r="G150" s="102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27">
        <v>8.64</v>
      </c>
      <c r="E151" s="188">
        <v>125</v>
      </c>
      <c r="F151" s="102">
        <f t="shared" si="39"/>
        <v>1080</v>
      </c>
      <c r="G151" s="102">
        <f t="shared" si="40"/>
        <v>1296</v>
      </c>
    </row>
    <row r="152" spans="1:7" x14ac:dyDescent="0.3">
      <c r="A152" s="66"/>
      <c r="B152" s="62" t="s">
        <v>513</v>
      </c>
      <c r="C152" s="74"/>
      <c r="D152" s="153"/>
      <c r="E152" s="188"/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325</v>
      </c>
      <c r="F153" s="102">
        <f t="shared" ref="F153:F159" si="42">ROUND(E153*D153,2)</f>
        <v>230197.5</v>
      </c>
      <c r="G153" s="102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1776.9307116104872</v>
      </c>
      <c r="F154" s="102">
        <f t="shared" si="42"/>
        <v>32926.53</v>
      </c>
      <c r="G154" s="102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125</v>
      </c>
      <c r="F155" s="102">
        <f t="shared" si="42"/>
        <v>63505</v>
      </c>
      <c r="G155" s="102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898.68666666666672</v>
      </c>
      <c r="F156" s="102">
        <f t="shared" si="42"/>
        <v>114133.21</v>
      </c>
      <c r="G156" s="102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325</v>
      </c>
      <c r="F157" s="102">
        <f t="shared" si="42"/>
        <v>47742.5</v>
      </c>
      <c r="G157" s="102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28">
        <f t="shared" ref="D158:D159" si="45">132.8+14.1</f>
        <v>146.9</v>
      </c>
      <c r="E158" s="172">
        <v>250</v>
      </c>
      <c r="F158" s="102">
        <f t="shared" si="42"/>
        <v>36725</v>
      </c>
      <c r="G158" s="102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28">
        <f t="shared" si="45"/>
        <v>146.9</v>
      </c>
      <c r="E159" s="172">
        <v>50</v>
      </c>
      <c r="F159" s="102">
        <f t="shared" si="42"/>
        <v>7345</v>
      </c>
      <c r="G159" s="102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88"/>
      <c r="F160" s="88"/>
      <c r="G160" s="128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6240</v>
      </c>
      <c r="F161" s="102">
        <f t="shared" ref="F161:F215" si="46">ROUND(E161*D161,2)</f>
        <v>68640</v>
      </c>
      <c r="G161" s="102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3">
        <v>43</v>
      </c>
      <c r="E162" s="172">
        <v>1560</v>
      </c>
      <c r="F162" s="102">
        <f t="shared" ref="F162:F169" si="49">ROUND(E162*D162,2)</f>
        <v>67080</v>
      </c>
      <c r="G162" s="102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3">
        <v>14</v>
      </c>
      <c r="E163" s="172">
        <v>1060</v>
      </c>
      <c r="F163" s="102">
        <f t="shared" si="49"/>
        <v>14840</v>
      </c>
      <c r="G163" s="102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27">
        <v>0.02</v>
      </c>
      <c r="E164" s="172">
        <v>127396</v>
      </c>
      <c r="F164" s="102">
        <f t="shared" si="49"/>
        <v>2547.92</v>
      </c>
      <c r="G164" s="102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27">
        <v>5.63</v>
      </c>
      <c r="E165" s="172">
        <v>5763.1974358974367</v>
      </c>
      <c r="F165" s="102">
        <f t="shared" si="49"/>
        <v>32446.799999999999</v>
      </c>
      <c r="G165" s="102">
        <f t="shared" si="50"/>
        <v>38936.160000000003</v>
      </c>
    </row>
    <row r="166" spans="1:8" ht="27.6" x14ac:dyDescent="0.3">
      <c r="A166" s="87">
        <f t="shared" si="48"/>
        <v>126</v>
      </c>
      <c r="B166" s="244" t="s">
        <v>928</v>
      </c>
      <c r="C166" s="87" t="s">
        <v>431</v>
      </c>
      <c r="D166" s="227">
        <v>171.64</v>
      </c>
      <c r="E166" s="171">
        <v>1007.6976744186048</v>
      </c>
      <c r="F166" s="103">
        <f t="shared" si="49"/>
        <v>172961.23</v>
      </c>
      <c r="G166" s="103">
        <f t="shared" si="50"/>
        <v>207553.48</v>
      </c>
    </row>
    <row r="167" spans="1:8" ht="27.6" x14ac:dyDescent="0.3">
      <c r="A167" s="87">
        <f t="shared" si="48"/>
        <v>127</v>
      </c>
      <c r="B167" s="244" t="s">
        <v>929</v>
      </c>
      <c r="C167" s="251" t="s">
        <v>431</v>
      </c>
      <c r="D167" s="227">
        <v>171.64</v>
      </c>
      <c r="E167" s="171">
        <v>152</v>
      </c>
      <c r="F167" s="103">
        <f t="shared" si="49"/>
        <v>26089.279999999999</v>
      </c>
      <c r="G167" s="103">
        <f t="shared" si="50"/>
        <v>31307.14</v>
      </c>
    </row>
    <row r="168" spans="1:8" ht="27.6" x14ac:dyDescent="0.3">
      <c r="A168" s="87">
        <f t="shared" si="48"/>
        <v>128</v>
      </c>
      <c r="B168" s="244" t="s">
        <v>930</v>
      </c>
      <c r="C168" s="87" t="s">
        <v>431</v>
      </c>
      <c r="D168" s="227">
        <v>171.64</v>
      </c>
      <c r="E168" s="171">
        <v>315.54000000000002</v>
      </c>
      <c r="F168" s="103">
        <f t="shared" si="49"/>
        <v>54159.29</v>
      </c>
      <c r="G168" s="103">
        <f t="shared" si="50"/>
        <v>64991.15</v>
      </c>
    </row>
    <row r="169" spans="1:8" ht="27.6" x14ac:dyDescent="0.3">
      <c r="A169" s="215">
        <f t="shared" si="48"/>
        <v>129</v>
      </c>
      <c r="B169" s="223" t="s">
        <v>1066</v>
      </c>
      <c r="C169" s="215" t="s">
        <v>193</v>
      </c>
      <c r="D169" s="224">
        <v>0.34</v>
      </c>
      <c r="E169" s="219">
        <v>30352.94</v>
      </c>
      <c r="F169" s="220">
        <f t="shared" si="49"/>
        <v>10320</v>
      </c>
      <c r="G169" s="220">
        <f t="shared" si="50"/>
        <v>12384</v>
      </c>
      <c r="H169" s="211"/>
    </row>
    <row r="170" spans="1:8" ht="27.6" x14ac:dyDescent="0.3">
      <c r="A170" s="215">
        <f t="shared" si="48"/>
        <v>130</v>
      </c>
      <c r="B170" s="223" t="s">
        <v>931</v>
      </c>
      <c r="C170" s="215" t="s">
        <v>193</v>
      </c>
      <c r="D170" s="224">
        <v>0.62</v>
      </c>
      <c r="E170" s="219">
        <v>30352.94</v>
      </c>
      <c r="F170" s="220">
        <f t="shared" ref="F170:F174" si="51">ROUND(E170*D170,2)</f>
        <v>18818.82</v>
      </c>
      <c r="G170" s="220">
        <f t="shared" ref="G170:G174" si="52">ROUND(F170*1.2,2)</f>
        <v>22582.58</v>
      </c>
    </row>
    <row r="171" spans="1:8" ht="27.6" x14ac:dyDescent="0.3">
      <c r="A171" s="87">
        <f t="shared" si="48"/>
        <v>131</v>
      </c>
      <c r="B171" s="244" t="s">
        <v>928</v>
      </c>
      <c r="C171" s="87" t="s">
        <v>431</v>
      </c>
      <c r="D171" s="227">
        <v>0.8</v>
      </c>
      <c r="E171" s="171">
        <v>1007.6976744186048</v>
      </c>
      <c r="F171" s="103">
        <f t="shared" si="51"/>
        <v>806.16</v>
      </c>
      <c r="G171" s="103">
        <f t="shared" si="52"/>
        <v>967.39</v>
      </c>
    </row>
    <row r="172" spans="1:8" ht="27.6" x14ac:dyDescent="0.3">
      <c r="A172" s="87">
        <f t="shared" si="48"/>
        <v>132</v>
      </c>
      <c r="B172" s="244" t="s">
        <v>929</v>
      </c>
      <c r="C172" s="251" t="s">
        <v>431</v>
      </c>
      <c r="D172" s="227">
        <v>3.8</v>
      </c>
      <c r="E172" s="171">
        <v>152</v>
      </c>
      <c r="F172" s="103">
        <f t="shared" si="51"/>
        <v>577.6</v>
      </c>
      <c r="G172" s="103">
        <f t="shared" si="52"/>
        <v>693.12</v>
      </c>
    </row>
    <row r="173" spans="1:8" ht="27.6" x14ac:dyDescent="0.3">
      <c r="A173" s="87">
        <f t="shared" si="48"/>
        <v>133</v>
      </c>
      <c r="B173" s="244" t="s">
        <v>930</v>
      </c>
      <c r="C173" s="87" t="s">
        <v>431</v>
      </c>
      <c r="D173" s="227">
        <v>3.8</v>
      </c>
      <c r="E173" s="171">
        <v>315.54000000000002</v>
      </c>
      <c r="F173" s="103">
        <f t="shared" si="51"/>
        <v>1199.05</v>
      </c>
      <c r="G173" s="103">
        <f t="shared" si="52"/>
        <v>1438.86</v>
      </c>
    </row>
    <row r="174" spans="1:8" ht="15.6" x14ac:dyDescent="0.3">
      <c r="A174" s="87">
        <f t="shared" si="48"/>
        <v>134</v>
      </c>
      <c r="B174" s="244" t="s">
        <v>932</v>
      </c>
      <c r="C174" s="87" t="s">
        <v>193</v>
      </c>
      <c r="D174" s="227">
        <v>1.5</v>
      </c>
      <c r="E174" s="171">
        <v>5761.0434782608691</v>
      </c>
      <c r="F174" s="103">
        <f t="shared" si="51"/>
        <v>8641.57</v>
      </c>
      <c r="G174" s="103">
        <f t="shared" si="52"/>
        <v>10369.879999999999</v>
      </c>
    </row>
    <row r="175" spans="1:8" ht="27.6" x14ac:dyDescent="0.3">
      <c r="A175" s="215">
        <f t="shared" si="48"/>
        <v>135</v>
      </c>
      <c r="B175" s="223" t="s">
        <v>933</v>
      </c>
      <c r="C175" s="215" t="s">
        <v>193</v>
      </c>
      <c r="D175" s="224">
        <v>0.16</v>
      </c>
      <c r="E175" s="219">
        <v>6943.75</v>
      </c>
      <c r="F175" s="220">
        <f t="shared" ref="F175" si="53">ROUND(E175*D175,2)</f>
        <v>1111</v>
      </c>
      <c r="G175" s="220">
        <f t="shared" ref="G175" si="54">ROUND(F175*1.2,2)</f>
        <v>1333.2</v>
      </c>
    </row>
    <row r="176" spans="1:8" ht="15.6" x14ac:dyDescent="0.3">
      <c r="A176" s="215">
        <f t="shared" si="48"/>
        <v>136</v>
      </c>
      <c r="B176" s="223" t="s">
        <v>934</v>
      </c>
      <c r="C176" s="215" t="s">
        <v>193</v>
      </c>
      <c r="D176" s="224">
        <v>0.6</v>
      </c>
      <c r="E176" s="219">
        <f>4166/0.6</f>
        <v>6943.3333333333339</v>
      </c>
      <c r="F176" s="220">
        <f t="shared" ref="F176:F185" si="55">ROUND(E176*D176,2)</f>
        <v>4166</v>
      </c>
      <c r="G176" s="220">
        <f t="shared" ref="G176:G183" si="56">ROUND(F176*1.2,2)</f>
        <v>4999.2</v>
      </c>
    </row>
    <row r="177" spans="1:8" ht="27.6" x14ac:dyDescent="0.3">
      <c r="A177" s="87">
        <f t="shared" si="48"/>
        <v>137</v>
      </c>
      <c r="B177" s="244" t="s">
        <v>928</v>
      </c>
      <c r="C177" s="87" t="s">
        <v>431</v>
      </c>
      <c r="D177" s="227">
        <v>4.5</v>
      </c>
      <c r="E177" s="171">
        <v>1007.6976744186048</v>
      </c>
      <c r="F177" s="103">
        <f t="shared" si="55"/>
        <v>4534.6400000000003</v>
      </c>
      <c r="G177" s="103">
        <f t="shared" si="56"/>
        <v>5441.57</v>
      </c>
    </row>
    <row r="178" spans="1:8" ht="27.6" x14ac:dyDescent="0.3">
      <c r="A178" s="87">
        <f t="shared" si="48"/>
        <v>138</v>
      </c>
      <c r="B178" s="244" t="s">
        <v>929</v>
      </c>
      <c r="C178" s="251" t="s">
        <v>431</v>
      </c>
      <c r="D178" s="227">
        <v>4.5</v>
      </c>
      <c r="E178" s="171">
        <v>152</v>
      </c>
      <c r="F178" s="103">
        <f t="shared" si="55"/>
        <v>684</v>
      </c>
      <c r="G178" s="103">
        <f t="shared" si="56"/>
        <v>820.8</v>
      </c>
    </row>
    <row r="179" spans="1:8" ht="27.6" x14ac:dyDescent="0.3">
      <c r="A179" s="87">
        <f t="shared" si="48"/>
        <v>139</v>
      </c>
      <c r="B179" s="244" t="s">
        <v>930</v>
      </c>
      <c r="C179" s="87" t="s">
        <v>431</v>
      </c>
      <c r="D179" s="227">
        <v>4.5</v>
      </c>
      <c r="E179" s="171">
        <v>315.54000000000002</v>
      </c>
      <c r="F179" s="103">
        <f t="shared" si="55"/>
        <v>1419.93</v>
      </c>
      <c r="G179" s="103">
        <f t="shared" si="56"/>
        <v>1703.92</v>
      </c>
    </row>
    <row r="180" spans="1:8" ht="15.6" x14ac:dyDescent="0.3">
      <c r="A180" s="215">
        <f t="shared" si="48"/>
        <v>140</v>
      </c>
      <c r="B180" s="223" t="s">
        <v>935</v>
      </c>
      <c r="C180" s="215" t="s">
        <v>193</v>
      </c>
      <c r="D180" s="224">
        <v>0.08</v>
      </c>
      <c r="E180" s="219">
        <f>2280/0.08</f>
        <v>28500</v>
      </c>
      <c r="F180" s="220">
        <f t="shared" si="55"/>
        <v>2280</v>
      </c>
      <c r="G180" s="220">
        <f t="shared" si="56"/>
        <v>2736</v>
      </c>
    </row>
    <row r="181" spans="1:8" ht="15.6" x14ac:dyDescent="0.3">
      <c r="A181" s="215">
        <f t="shared" si="48"/>
        <v>141</v>
      </c>
      <c r="B181" s="223" t="s">
        <v>939</v>
      </c>
      <c r="C181" s="215" t="s">
        <v>220</v>
      </c>
      <c r="D181" s="218">
        <v>1</v>
      </c>
      <c r="E181" s="219">
        <v>56237</v>
      </c>
      <c r="F181" s="220">
        <f t="shared" si="55"/>
        <v>56237</v>
      </c>
      <c r="G181" s="220">
        <f t="shared" si="56"/>
        <v>67484.399999999994</v>
      </c>
    </row>
    <row r="182" spans="1:8" ht="15.6" x14ac:dyDescent="0.3">
      <c r="A182" s="215">
        <f t="shared" si="48"/>
        <v>142</v>
      </c>
      <c r="B182" s="223" t="s">
        <v>1250</v>
      </c>
      <c r="C182" s="215" t="s">
        <v>254</v>
      </c>
      <c r="D182" s="224">
        <v>138.83000000000001</v>
      </c>
      <c r="E182" s="219">
        <f>3037/138.83</f>
        <v>21.8756752863214</v>
      </c>
      <c r="F182" s="220">
        <f t="shared" si="55"/>
        <v>3037</v>
      </c>
      <c r="G182" s="220">
        <f t="shared" si="56"/>
        <v>3644.4</v>
      </c>
    </row>
    <row r="183" spans="1:8" ht="15.6" x14ac:dyDescent="0.3">
      <c r="A183" s="215">
        <f t="shared" si="48"/>
        <v>143</v>
      </c>
      <c r="B183" s="223" t="s">
        <v>938</v>
      </c>
      <c r="C183" s="215" t="s">
        <v>254</v>
      </c>
      <c r="D183" s="224">
        <v>45</v>
      </c>
      <c r="E183" s="219">
        <v>115.24</v>
      </c>
      <c r="F183" s="220">
        <f t="shared" si="55"/>
        <v>5185.8</v>
      </c>
      <c r="G183" s="220">
        <f t="shared" si="56"/>
        <v>6222.96</v>
      </c>
    </row>
    <row r="184" spans="1:8" ht="15.6" x14ac:dyDescent="0.3">
      <c r="A184" s="87"/>
      <c r="B184" s="226" t="s">
        <v>941</v>
      </c>
      <c r="C184" s="87"/>
      <c r="D184" s="227"/>
      <c r="E184" s="171"/>
      <c r="F184" s="103"/>
      <c r="G184" s="103"/>
    </row>
    <row r="185" spans="1:8" ht="15.6" x14ac:dyDescent="0.3">
      <c r="A185" s="215">
        <f>A183+1</f>
        <v>144</v>
      </c>
      <c r="B185" s="223" t="s">
        <v>942</v>
      </c>
      <c r="C185" s="215" t="s">
        <v>193</v>
      </c>
      <c r="D185" s="224">
        <v>9.9</v>
      </c>
      <c r="E185" s="219">
        <v>13642.522222222222</v>
      </c>
      <c r="F185" s="220">
        <f t="shared" si="55"/>
        <v>135060.97</v>
      </c>
      <c r="G185" s="220">
        <f t="shared" ref="G185" si="57">ROUND(F185*1.2,2)</f>
        <v>162073.16</v>
      </c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1">
        <v>13272.15</v>
      </c>
      <c r="F186" s="103">
        <f t="shared" ref="F186:F191" si="58">ROUND(E186*D186,2)</f>
        <v>22562.66</v>
      </c>
      <c r="G186" s="103">
        <f t="shared" ref="G186:G191" si="59">ROUND(F186*1.2,2)</f>
        <v>27075.19</v>
      </c>
    </row>
    <row r="187" spans="1:8" ht="15.6" x14ac:dyDescent="0.3">
      <c r="A187" s="215">
        <f t="shared" ref="A187:A192" si="60">A186+1</f>
        <v>146</v>
      </c>
      <c r="B187" s="223" t="s">
        <v>1251</v>
      </c>
      <c r="C187" s="270" t="s">
        <v>220</v>
      </c>
      <c r="D187" s="242">
        <v>3</v>
      </c>
      <c r="E187" s="219">
        <v>3041</v>
      </c>
      <c r="F187" s="220">
        <f t="shared" si="58"/>
        <v>9123</v>
      </c>
      <c r="G187" s="220">
        <f t="shared" si="59"/>
        <v>10947.6</v>
      </c>
      <c r="H187" s="271" t="s">
        <v>1254</v>
      </c>
    </row>
    <row r="188" spans="1:8" ht="15.6" x14ac:dyDescent="0.3">
      <c r="A188" s="215">
        <f t="shared" si="60"/>
        <v>147</v>
      </c>
      <c r="B188" s="223" t="s">
        <v>1252</v>
      </c>
      <c r="C188" s="270" t="s">
        <v>220</v>
      </c>
      <c r="D188" s="242">
        <v>2</v>
      </c>
      <c r="E188" s="219">
        <v>1416</v>
      </c>
      <c r="F188" s="220">
        <f t="shared" si="58"/>
        <v>2832</v>
      </c>
      <c r="G188" s="220">
        <f t="shared" si="59"/>
        <v>3398.4</v>
      </c>
      <c r="H188" s="271" t="s">
        <v>1254</v>
      </c>
    </row>
    <row r="189" spans="1:8" ht="15.6" x14ac:dyDescent="0.3">
      <c r="A189" s="215">
        <f t="shared" si="60"/>
        <v>148</v>
      </c>
      <c r="B189" s="223" t="s">
        <v>1253</v>
      </c>
      <c r="C189" s="270" t="s">
        <v>220</v>
      </c>
      <c r="D189" s="242">
        <v>1</v>
      </c>
      <c r="E189" s="219">
        <v>1294</v>
      </c>
      <c r="F189" s="220">
        <f t="shared" si="58"/>
        <v>1294</v>
      </c>
      <c r="G189" s="220">
        <f t="shared" si="59"/>
        <v>1552.8</v>
      </c>
      <c r="H189" s="271" t="s">
        <v>1254</v>
      </c>
    </row>
    <row r="190" spans="1:8" ht="15.6" x14ac:dyDescent="0.3">
      <c r="A190" s="215">
        <f t="shared" si="60"/>
        <v>149</v>
      </c>
      <c r="B190" s="223" t="s">
        <v>944</v>
      </c>
      <c r="C190" s="215" t="s">
        <v>220</v>
      </c>
      <c r="D190" s="218">
        <v>2</v>
      </c>
      <c r="E190" s="219">
        <v>4289</v>
      </c>
      <c r="F190" s="220">
        <f t="shared" si="58"/>
        <v>8578</v>
      </c>
      <c r="G190" s="220">
        <f t="shared" si="59"/>
        <v>10293.6</v>
      </c>
    </row>
    <row r="191" spans="1:8" ht="15.6" x14ac:dyDescent="0.3">
      <c r="A191" s="215">
        <f t="shared" si="60"/>
        <v>150</v>
      </c>
      <c r="B191" s="223" t="s">
        <v>945</v>
      </c>
      <c r="C191" s="215" t="s">
        <v>220</v>
      </c>
      <c r="D191" s="218">
        <v>2</v>
      </c>
      <c r="E191" s="219">
        <v>2078</v>
      </c>
      <c r="F191" s="220">
        <f t="shared" si="58"/>
        <v>4156</v>
      </c>
      <c r="G191" s="220">
        <f t="shared" si="59"/>
        <v>4987.2</v>
      </c>
    </row>
    <row r="192" spans="1:8" ht="15.6" x14ac:dyDescent="0.3">
      <c r="A192" s="215">
        <f t="shared" si="60"/>
        <v>151</v>
      </c>
      <c r="B192" s="223" t="s">
        <v>946</v>
      </c>
      <c r="C192" s="215" t="s">
        <v>220</v>
      </c>
      <c r="D192" s="218">
        <v>2</v>
      </c>
      <c r="E192" s="219">
        <v>2078</v>
      </c>
      <c r="F192" s="220">
        <f t="shared" ref="F192" si="61">ROUND(E192*D192,2)</f>
        <v>4156</v>
      </c>
      <c r="G192" s="220">
        <f t="shared" ref="G192" si="62">ROUND(F192*1.2,2)</f>
        <v>4987.2</v>
      </c>
    </row>
    <row r="193" spans="1:8" ht="27.6" x14ac:dyDescent="0.3">
      <c r="A193" s="215">
        <f>A192+1</f>
        <v>152</v>
      </c>
      <c r="B193" s="223" t="s">
        <v>947</v>
      </c>
      <c r="C193" s="215" t="s">
        <v>220</v>
      </c>
      <c r="D193" s="218">
        <v>2</v>
      </c>
      <c r="E193" s="219">
        <v>5667</v>
      </c>
      <c r="F193" s="220">
        <f t="shared" ref="F193:F194" si="63">ROUND(E193*D193,2)</f>
        <v>11334</v>
      </c>
      <c r="G193" s="220">
        <f t="shared" ref="G193:G194" si="64">ROUND(F193*1.2,2)</f>
        <v>13600.8</v>
      </c>
    </row>
    <row r="194" spans="1:8" ht="27.6" x14ac:dyDescent="0.3">
      <c r="A194" s="215">
        <f t="shared" ref="A194:A196" si="65">A193+1</f>
        <v>153</v>
      </c>
      <c r="B194" s="223" t="s">
        <v>948</v>
      </c>
      <c r="C194" s="215" t="s">
        <v>220</v>
      </c>
      <c r="D194" s="218">
        <v>2</v>
      </c>
      <c r="E194" s="219">
        <v>18703</v>
      </c>
      <c r="F194" s="220">
        <f t="shared" si="63"/>
        <v>37406</v>
      </c>
      <c r="G194" s="220">
        <f t="shared" si="64"/>
        <v>44887.199999999997</v>
      </c>
    </row>
    <row r="195" spans="1:8" ht="27.6" x14ac:dyDescent="0.3">
      <c r="A195" s="215">
        <f t="shared" si="65"/>
        <v>154</v>
      </c>
      <c r="B195" s="223" t="s">
        <v>949</v>
      </c>
      <c r="C195" s="215" t="s">
        <v>220</v>
      </c>
      <c r="D195" s="218">
        <v>2</v>
      </c>
      <c r="E195" s="219">
        <v>6960</v>
      </c>
      <c r="F195" s="220">
        <f t="shared" ref="F195" si="66">ROUND(E195*D195,2)</f>
        <v>13920</v>
      </c>
      <c r="G195" s="220">
        <f t="shared" ref="G195" si="67">ROUND(F195*1.2,2)</f>
        <v>16704</v>
      </c>
    </row>
    <row r="196" spans="1:8" ht="27.6" x14ac:dyDescent="0.3">
      <c r="A196" s="215">
        <f t="shared" si="65"/>
        <v>155</v>
      </c>
      <c r="B196" s="223" t="s">
        <v>950</v>
      </c>
      <c r="C196" s="215" t="s">
        <v>220</v>
      </c>
      <c r="D196" s="218">
        <v>2</v>
      </c>
      <c r="E196" s="219">
        <f>1258*2</f>
        <v>2516</v>
      </c>
      <c r="F196" s="220">
        <f t="shared" ref="F196" si="68">ROUND(E196*D196,2)</f>
        <v>5032</v>
      </c>
      <c r="G196" s="220">
        <f t="shared" ref="G196" si="69">ROUND(F196*1.2,2)</f>
        <v>6038.4</v>
      </c>
    </row>
    <row r="197" spans="1:8" ht="15.6" x14ac:dyDescent="0.3">
      <c r="A197" s="215">
        <f>A196+1</f>
        <v>156</v>
      </c>
      <c r="B197" s="223" t="s">
        <v>951</v>
      </c>
      <c r="C197" s="215" t="s">
        <v>239</v>
      </c>
      <c r="D197" s="229">
        <v>7.8E-2</v>
      </c>
      <c r="E197" s="219">
        <f>9795/0.078</f>
        <v>125576.92307692308</v>
      </c>
      <c r="F197" s="220">
        <f t="shared" ref="F197:F202" si="70">ROUND(E197*D197,2)</f>
        <v>9795</v>
      </c>
      <c r="G197" s="220">
        <f t="shared" ref="G197:G202" si="71">ROUND(F197*1.2,2)</f>
        <v>11754</v>
      </c>
    </row>
    <row r="198" spans="1:8" ht="27.6" x14ac:dyDescent="0.3">
      <c r="A198" s="87">
        <f t="shared" si="48"/>
        <v>157</v>
      </c>
      <c r="B198" s="244" t="s">
        <v>929</v>
      </c>
      <c r="C198" s="87" t="s">
        <v>431</v>
      </c>
      <c r="D198" s="227">
        <v>54.1</v>
      </c>
      <c r="E198" s="171">
        <v>152</v>
      </c>
      <c r="F198" s="103">
        <f t="shared" si="70"/>
        <v>8223.2000000000007</v>
      </c>
      <c r="G198" s="103">
        <f t="shared" si="71"/>
        <v>9867.84</v>
      </c>
    </row>
    <row r="199" spans="1:8" ht="27.6" x14ac:dyDescent="0.3">
      <c r="A199" s="87">
        <f t="shared" si="48"/>
        <v>158</v>
      </c>
      <c r="B199" s="244" t="s">
        <v>930</v>
      </c>
      <c r="C199" s="87" t="s">
        <v>431</v>
      </c>
      <c r="D199" s="227">
        <v>54.1</v>
      </c>
      <c r="E199" s="171">
        <v>315.54000000000002</v>
      </c>
      <c r="F199" s="103">
        <f t="shared" si="70"/>
        <v>17070.71</v>
      </c>
      <c r="G199" s="103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3">
        <v>2</v>
      </c>
      <c r="E200" s="172">
        <v>182</v>
      </c>
      <c r="F200" s="102">
        <f t="shared" si="70"/>
        <v>364</v>
      </c>
      <c r="G200" s="102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3">
        <v>2</v>
      </c>
      <c r="E201" s="172">
        <v>182</v>
      </c>
      <c r="F201" s="102">
        <f t="shared" si="70"/>
        <v>364</v>
      </c>
      <c r="G201" s="102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2">
        <v>13272.15</v>
      </c>
      <c r="F202" s="102">
        <f t="shared" si="70"/>
        <v>2654.43</v>
      </c>
      <c r="G202" s="102">
        <f t="shared" si="71"/>
        <v>3185.32</v>
      </c>
    </row>
    <row r="203" spans="1:8" ht="27.6" x14ac:dyDescent="0.3">
      <c r="A203" s="215">
        <f>A202+1</f>
        <v>162</v>
      </c>
      <c r="B203" s="223" t="s">
        <v>952</v>
      </c>
      <c r="C203" s="215" t="s">
        <v>193</v>
      </c>
      <c r="D203" s="229">
        <v>0.621</v>
      </c>
      <c r="E203" s="219">
        <f>52655/0.621</f>
        <v>84790.660225442829</v>
      </c>
      <c r="F203" s="220">
        <f t="shared" ref="F203:F205" si="72">ROUND(E203*D203,2)</f>
        <v>52655</v>
      </c>
      <c r="G203" s="220">
        <f t="shared" ref="G203:G205" si="73">ROUND(F203*1.2,2)</f>
        <v>63186</v>
      </c>
    </row>
    <row r="204" spans="1:8" ht="27.6" x14ac:dyDescent="0.3">
      <c r="A204" s="215">
        <f>A203+1</f>
        <v>163</v>
      </c>
      <c r="B204" s="223" t="s">
        <v>953</v>
      </c>
      <c r="C204" s="215" t="s">
        <v>955</v>
      </c>
      <c r="D204" s="224">
        <v>23.55</v>
      </c>
      <c r="E204" s="219">
        <v>626.07000000000005</v>
      </c>
      <c r="F204" s="220">
        <f t="shared" si="72"/>
        <v>14743.95</v>
      </c>
      <c r="G204" s="220">
        <f t="shared" si="73"/>
        <v>17692.740000000002</v>
      </c>
    </row>
    <row r="205" spans="1:8" ht="15.6" x14ac:dyDescent="0.3">
      <c r="A205" s="215">
        <f>A204+1</f>
        <v>164</v>
      </c>
      <c r="B205" s="223" t="s">
        <v>954</v>
      </c>
      <c r="C205" s="215" t="s">
        <v>431</v>
      </c>
      <c r="D205" s="224">
        <v>0.3</v>
      </c>
      <c r="E205" s="219">
        <f>102/0.3</f>
        <v>340</v>
      </c>
      <c r="F205" s="220">
        <f t="shared" si="72"/>
        <v>102</v>
      </c>
      <c r="G205" s="220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2"/>
      <c r="F206" s="102"/>
      <c r="G206" s="102"/>
    </row>
    <row r="207" spans="1:8" ht="43.2" x14ac:dyDescent="0.3">
      <c r="A207" s="66">
        <f>A205+1</f>
        <v>165</v>
      </c>
      <c r="B207" s="209" t="s">
        <v>956</v>
      </c>
      <c r="C207" s="66" t="s">
        <v>194</v>
      </c>
      <c r="D207" s="228">
        <v>115</v>
      </c>
      <c r="E207" s="172">
        <v>2290.1579999999999</v>
      </c>
      <c r="F207" s="102">
        <f t="shared" si="46"/>
        <v>263368.17</v>
      </c>
      <c r="G207" s="102">
        <f t="shared" si="47"/>
        <v>316041.8</v>
      </c>
      <c r="H207" s="241" t="s">
        <v>1075</v>
      </c>
    </row>
    <row r="208" spans="1:8" ht="15.6" x14ac:dyDescent="0.3">
      <c r="A208" s="66">
        <f>A207+1</f>
        <v>166</v>
      </c>
      <c r="B208" s="231" t="s">
        <v>1076</v>
      </c>
      <c r="C208" s="66" t="s">
        <v>220</v>
      </c>
      <c r="D208" s="72">
        <v>24</v>
      </c>
      <c r="E208" s="172">
        <v>9339.7969230769231</v>
      </c>
      <c r="F208" s="102">
        <f t="shared" si="46"/>
        <v>224155.13</v>
      </c>
      <c r="G208" s="102">
        <f t="shared" si="47"/>
        <v>268986.15999999997</v>
      </c>
      <c r="H208" s="230" t="s">
        <v>968</v>
      </c>
    </row>
    <row r="209" spans="1:8" ht="15.6" x14ac:dyDescent="0.3">
      <c r="A209" s="66">
        <f t="shared" ref="A209:A211" si="74">A208+1</f>
        <v>167</v>
      </c>
      <c r="B209" s="231" t="s">
        <v>1077</v>
      </c>
      <c r="C209" s="66" t="s">
        <v>220</v>
      </c>
      <c r="D209" s="72">
        <v>24</v>
      </c>
      <c r="E209" s="172">
        <v>1866.7559615384619</v>
      </c>
      <c r="F209" s="102">
        <f t="shared" si="46"/>
        <v>44802.14</v>
      </c>
      <c r="G209" s="102">
        <f t="shared" si="47"/>
        <v>53762.57</v>
      </c>
      <c r="H209" s="230" t="s">
        <v>968</v>
      </c>
    </row>
    <row r="210" spans="1:8" ht="19.5" customHeight="1" x14ac:dyDescent="0.3">
      <c r="A210" s="215">
        <f t="shared" si="74"/>
        <v>168</v>
      </c>
      <c r="B210" s="223" t="s">
        <v>1043</v>
      </c>
      <c r="C210" s="215" t="s">
        <v>217</v>
      </c>
      <c r="D210" s="225">
        <f>12+12</f>
        <v>24</v>
      </c>
      <c r="E210" s="219">
        <v>10778</v>
      </c>
      <c r="F210" s="220">
        <f t="shared" ref="F210" si="75">ROUND(E210*D210,2)</f>
        <v>258672</v>
      </c>
      <c r="G210" s="220">
        <f t="shared" ref="G210" si="76">ROUND(F210*1.2,2)</f>
        <v>310406.40000000002</v>
      </c>
      <c r="H210" s="271" t="s">
        <v>1265</v>
      </c>
    </row>
    <row r="211" spans="1:8" ht="41.4" x14ac:dyDescent="0.3">
      <c r="A211" s="215">
        <f t="shared" si="74"/>
        <v>169</v>
      </c>
      <c r="B211" s="223" t="s">
        <v>1255</v>
      </c>
      <c r="C211" s="215" t="s">
        <v>194</v>
      </c>
      <c r="D211" s="225">
        <v>11</v>
      </c>
      <c r="E211" s="219">
        <v>981.27272727272725</v>
      </c>
      <c r="F211" s="220">
        <f t="shared" ref="F211" si="77">ROUND(E211*D211,2)</f>
        <v>10794</v>
      </c>
      <c r="G211" s="220">
        <f t="shared" ref="G211" si="78">ROUND(F211*1.2,2)</f>
        <v>12952.8</v>
      </c>
    </row>
    <row r="212" spans="1:8" ht="27.6" x14ac:dyDescent="0.3">
      <c r="A212" s="215">
        <f>A211+1</f>
        <v>170</v>
      </c>
      <c r="B212" s="223" t="s">
        <v>957</v>
      </c>
      <c r="C212" s="215" t="s">
        <v>194</v>
      </c>
      <c r="D212" s="225">
        <v>10.5</v>
      </c>
      <c r="E212" s="219">
        <v>918.1</v>
      </c>
      <c r="F212" s="220">
        <f t="shared" ref="F212" si="79">ROUND(E212*D212,2)</f>
        <v>9640.0499999999993</v>
      </c>
      <c r="G212" s="220">
        <f t="shared" ref="G212" si="80">ROUND(F212*1.2,2)</f>
        <v>11568.06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1">
        <v>4680</v>
      </c>
      <c r="F213" s="103">
        <f t="shared" si="46"/>
        <v>74880</v>
      </c>
      <c r="G213" s="103">
        <f t="shared" si="47"/>
        <v>89856</v>
      </c>
      <c r="H213" s="259"/>
    </row>
    <row r="214" spans="1:8" ht="15.6" x14ac:dyDescent="0.3">
      <c r="A214" s="215">
        <f>A213+1</f>
        <v>172</v>
      </c>
      <c r="B214" s="223" t="s">
        <v>959</v>
      </c>
      <c r="C214" s="215" t="s">
        <v>220</v>
      </c>
      <c r="D214" s="218">
        <v>6</v>
      </c>
      <c r="E214" s="219">
        <v>1347.33</v>
      </c>
      <c r="F214" s="220">
        <f t="shared" si="46"/>
        <v>8083.98</v>
      </c>
      <c r="G214" s="220">
        <f t="shared" si="47"/>
        <v>9700.7800000000007</v>
      </c>
      <c r="H214" s="259"/>
    </row>
    <row r="215" spans="1:8" ht="15.6" x14ac:dyDescent="0.3">
      <c r="A215" s="215">
        <f>A214+1</f>
        <v>173</v>
      </c>
      <c r="B215" s="223" t="s">
        <v>960</v>
      </c>
      <c r="C215" s="215" t="s">
        <v>220</v>
      </c>
      <c r="D215" s="218">
        <v>8</v>
      </c>
      <c r="E215" s="219">
        <v>275.38</v>
      </c>
      <c r="F215" s="220">
        <f t="shared" si="46"/>
        <v>2203.04</v>
      </c>
      <c r="G215" s="220">
        <f t="shared" si="47"/>
        <v>2643.65</v>
      </c>
    </row>
    <row r="216" spans="1:8" ht="27.6" x14ac:dyDescent="0.3">
      <c r="A216" s="215">
        <f t="shared" ref="A216:A224" si="81">A215+1</f>
        <v>174</v>
      </c>
      <c r="B216" s="223" t="s">
        <v>961</v>
      </c>
      <c r="C216" s="215" t="s">
        <v>220</v>
      </c>
      <c r="D216" s="218">
        <v>4</v>
      </c>
      <c r="E216" s="284">
        <v>13305</v>
      </c>
      <c r="F216" s="220">
        <f t="shared" ref="F216:F225" si="82">ROUND(E216*D216,2)</f>
        <v>53220</v>
      </c>
      <c r="G216" s="220">
        <f t="shared" ref="G216:G225" si="83">ROUND(F216*1.2,2)</f>
        <v>63864</v>
      </c>
    </row>
    <row r="217" spans="1:8" ht="27.6" x14ac:dyDescent="0.3">
      <c r="A217" s="215">
        <f t="shared" si="81"/>
        <v>175</v>
      </c>
      <c r="B217" s="223" t="s">
        <v>962</v>
      </c>
      <c r="C217" s="215" t="s">
        <v>220</v>
      </c>
      <c r="D217" s="218">
        <v>2</v>
      </c>
      <c r="E217" s="284">
        <v>7683</v>
      </c>
      <c r="F217" s="220">
        <f t="shared" si="82"/>
        <v>15366</v>
      </c>
      <c r="G217" s="220">
        <f t="shared" si="83"/>
        <v>18439.2</v>
      </c>
    </row>
    <row r="218" spans="1:8" ht="27.6" x14ac:dyDescent="0.3">
      <c r="A218" s="215">
        <f t="shared" si="81"/>
        <v>176</v>
      </c>
      <c r="B218" s="223" t="s">
        <v>963</v>
      </c>
      <c r="C218" s="215" t="s">
        <v>220</v>
      </c>
      <c r="D218" s="218">
        <v>4</v>
      </c>
      <c r="E218" s="284">
        <v>4797</v>
      </c>
      <c r="F218" s="220">
        <f t="shared" si="82"/>
        <v>19188</v>
      </c>
      <c r="G218" s="220">
        <f t="shared" si="83"/>
        <v>23025.599999999999</v>
      </c>
    </row>
    <row r="219" spans="1:8" ht="15.6" x14ac:dyDescent="0.3">
      <c r="A219" s="215">
        <f t="shared" si="81"/>
        <v>177</v>
      </c>
      <c r="B219" s="223" t="s">
        <v>964</v>
      </c>
      <c r="C219" s="215" t="s">
        <v>220</v>
      </c>
      <c r="D219" s="218">
        <v>2</v>
      </c>
      <c r="E219" s="219">
        <v>1529</v>
      </c>
      <c r="F219" s="220">
        <f t="shared" si="82"/>
        <v>3058</v>
      </c>
      <c r="G219" s="220">
        <f t="shared" si="83"/>
        <v>3669.6</v>
      </c>
    </row>
    <row r="220" spans="1:8" ht="15.6" x14ac:dyDescent="0.3">
      <c r="A220" s="215">
        <f t="shared" si="81"/>
        <v>178</v>
      </c>
      <c r="B220" s="223" t="s">
        <v>965</v>
      </c>
      <c r="C220" s="215" t="s">
        <v>194</v>
      </c>
      <c r="D220" s="225">
        <v>2.2999999999999998</v>
      </c>
      <c r="E220" s="219">
        <f>1596/D220</f>
        <v>693.91304347826087</v>
      </c>
      <c r="F220" s="220">
        <f t="shared" si="82"/>
        <v>1596</v>
      </c>
      <c r="G220" s="220">
        <f t="shared" si="83"/>
        <v>1915.2</v>
      </c>
    </row>
    <row r="221" spans="1:8" ht="15.6" x14ac:dyDescent="0.3">
      <c r="A221" s="215">
        <f t="shared" si="81"/>
        <v>179</v>
      </c>
      <c r="B221" s="223" t="s">
        <v>966</v>
      </c>
      <c r="C221" s="215" t="s">
        <v>220</v>
      </c>
      <c r="D221" s="218">
        <v>1</v>
      </c>
      <c r="E221" s="219">
        <v>3453</v>
      </c>
      <c r="F221" s="220">
        <f t="shared" si="82"/>
        <v>3453</v>
      </c>
      <c r="G221" s="220">
        <f t="shared" si="83"/>
        <v>4143.6000000000004</v>
      </c>
    </row>
    <row r="222" spans="1:8" ht="15.6" x14ac:dyDescent="0.3">
      <c r="A222" s="215">
        <f t="shared" si="81"/>
        <v>180</v>
      </c>
      <c r="B222" s="223" t="s">
        <v>967</v>
      </c>
      <c r="C222" s="215" t="s">
        <v>220</v>
      </c>
      <c r="D222" s="218">
        <v>4</v>
      </c>
      <c r="E222" s="219">
        <f>3211</f>
        <v>3211</v>
      </c>
      <c r="F222" s="220">
        <f t="shared" si="82"/>
        <v>12844</v>
      </c>
      <c r="G222" s="220">
        <f t="shared" si="83"/>
        <v>15412.8</v>
      </c>
      <c r="H222" s="271" t="s">
        <v>1257</v>
      </c>
    </row>
    <row r="223" spans="1:8" ht="15.6" x14ac:dyDescent="0.3">
      <c r="A223" s="215">
        <f t="shared" si="81"/>
        <v>181</v>
      </c>
      <c r="B223" s="223" t="s">
        <v>1036</v>
      </c>
      <c r="C223" s="215" t="s">
        <v>217</v>
      </c>
      <c r="D223" s="218">
        <v>4</v>
      </c>
      <c r="E223" s="219">
        <v>425</v>
      </c>
      <c r="F223" s="220">
        <f t="shared" ref="F223" si="84">ROUND(E223*D223,2)</f>
        <v>1700</v>
      </c>
      <c r="G223" s="220">
        <f t="shared" ref="G223" si="85">ROUND(F223*1.2,2)</f>
        <v>2040</v>
      </c>
      <c r="H223" s="271" t="s">
        <v>1258</v>
      </c>
    </row>
    <row r="224" spans="1:8" ht="15.6" x14ac:dyDescent="0.3">
      <c r="A224" s="87">
        <f t="shared" si="81"/>
        <v>182</v>
      </c>
      <c r="B224" s="244" t="s">
        <v>969</v>
      </c>
      <c r="C224" s="87" t="s">
        <v>193</v>
      </c>
      <c r="D224" s="228">
        <f>0.31+0.34+0.27+0.403</f>
        <v>1.323</v>
      </c>
      <c r="E224" s="171">
        <v>18174</v>
      </c>
      <c r="F224" s="103">
        <f t="shared" si="82"/>
        <v>24044.2</v>
      </c>
      <c r="G224" s="103">
        <f t="shared" si="83"/>
        <v>28853.040000000001</v>
      </c>
    </row>
    <row r="225" spans="1:8" ht="15.6" x14ac:dyDescent="0.3">
      <c r="A225" s="215">
        <f>A224+1</f>
        <v>183</v>
      </c>
      <c r="B225" s="223" t="s">
        <v>946</v>
      </c>
      <c r="C225" s="215" t="s">
        <v>220</v>
      </c>
      <c r="D225" s="218">
        <v>1</v>
      </c>
      <c r="E225" s="219">
        <v>2078</v>
      </c>
      <c r="F225" s="220">
        <f t="shared" si="82"/>
        <v>2078</v>
      </c>
      <c r="G225" s="220">
        <f t="shared" si="83"/>
        <v>2493.6</v>
      </c>
    </row>
    <row r="226" spans="1:8" ht="15.6" x14ac:dyDescent="0.3">
      <c r="A226" s="215">
        <f>A225+1</f>
        <v>184</v>
      </c>
      <c r="B226" s="223" t="s">
        <v>976</v>
      </c>
      <c r="C226" s="215" t="s">
        <v>193</v>
      </c>
      <c r="D226" s="224">
        <v>0.28000000000000003</v>
      </c>
      <c r="E226" s="219">
        <f>4703/D226</f>
        <v>16796.428571428569</v>
      </c>
      <c r="F226" s="220">
        <f t="shared" ref="F226:F232" si="86">ROUND(E226*D226,2)</f>
        <v>4703</v>
      </c>
      <c r="G226" s="220">
        <f t="shared" ref="G226:G232" si="87">ROUND(F226*1.2,2)</f>
        <v>5643.6</v>
      </c>
    </row>
    <row r="227" spans="1:8" ht="15.6" x14ac:dyDescent="0.3">
      <c r="A227" s="215">
        <f t="shared" ref="A227:A235" si="88">A226+1</f>
        <v>185</v>
      </c>
      <c r="B227" s="223" t="s">
        <v>977</v>
      </c>
      <c r="C227" s="215" t="s">
        <v>193</v>
      </c>
      <c r="D227" s="224">
        <v>0.05</v>
      </c>
      <c r="E227" s="219">
        <f>1324/D227</f>
        <v>26480</v>
      </c>
      <c r="F227" s="220">
        <f t="shared" si="86"/>
        <v>1324</v>
      </c>
      <c r="G227" s="220">
        <f t="shared" si="87"/>
        <v>1588.8</v>
      </c>
      <c r="H227" s="271" t="s">
        <v>1259</v>
      </c>
    </row>
    <row r="228" spans="1:8" ht="15.6" x14ac:dyDescent="0.3">
      <c r="A228" s="215">
        <f t="shared" si="88"/>
        <v>186</v>
      </c>
      <c r="B228" s="223" t="s">
        <v>978</v>
      </c>
      <c r="C228" s="215" t="s">
        <v>193</v>
      </c>
      <c r="D228" s="225">
        <v>0.3</v>
      </c>
      <c r="E228" s="219">
        <v>1380</v>
      </c>
      <c r="F228" s="220">
        <f t="shared" si="86"/>
        <v>414</v>
      </c>
      <c r="G228" s="220">
        <f t="shared" si="87"/>
        <v>496.8</v>
      </c>
    </row>
    <row r="229" spans="1:8" ht="15.6" x14ac:dyDescent="0.3">
      <c r="A229" s="215">
        <f t="shared" si="88"/>
        <v>187</v>
      </c>
      <c r="B229" s="223" t="s">
        <v>979</v>
      </c>
      <c r="C229" s="215" t="s">
        <v>239</v>
      </c>
      <c r="D229" s="229">
        <v>0.123</v>
      </c>
      <c r="E229" s="219">
        <f>8639/D229</f>
        <v>70235.772357723574</v>
      </c>
      <c r="F229" s="220">
        <f t="shared" si="86"/>
        <v>8639</v>
      </c>
      <c r="G229" s="220">
        <f t="shared" si="87"/>
        <v>10366.799999999999</v>
      </c>
    </row>
    <row r="230" spans="1:8" ht="15.6" x14ac:dyDescent="0.3">
      <c r="A230" s="215">
        <f t="shared" si="88"/>
        <v>188</v>
      </c>
      <c r="B230" s="223" t="s">
        <v>981</v>
      </c>
      <c r="C230" s="215" t="s">
        <v>220</v>
      </c>
      <c r="D230" s="218">
        <v>3</v>
      </c>
      <c r="E230" s="219">
        <v>874</v>
      </c>
      <c r="F230" s="220">
        <f t="shared" si="86"/>
        <v>2622</v>
      </c>
      <c r="G230" s="220">
        <f t="shared" si="87"/>
        <v>3146.4</v>
      </c>
    </row>
    <row r="231" spans="1:8" ht="15.6" x14ac:dyDescent="0.3">
      <c r="A231" s="215">
        <f t="shared" si="88"/>
        <v>189</v>
      </c>
      <c r="B231" s="223" t="s">
        <v>975</v>
      </c>
      <c r="C231" s="215" t="s">
        <v>193</v>
      </c>
      <c r="D231" s="224">
        <v>0.02</v>
      </c>
      <c r="E231" s="219">
        <f>1391/D231</f>
        <v>69550</v>
      </c>
      <c r="F231" s="220">
        <f t="shared" si="86"/>
        <v>1391</v>
      </c>
      <c r="G231" s="220">
        <f t="shared" si="87"/>
        <v>1669.2</v>
      </c>
    </row>
    <row r="232" spans="1:8" ht="15.6" x14ac:dyDescent="0.3">
      <c r="A232" s="215">
        <f t="shared" si="88"/>
        <v>190</v>
      </c>
      <c r="B232" s="223" t="s">
        <v>1256</v>
      </c>
      <c r="C232" s="215" t="s">
        <v>193</v>
      </c>
      <c r="D232" s="229">
        <v>4.3890000000000002</v>
      </c>
      <c r="E232" s="219">
        <f>61720/D232</f>
        <v>14062.428799270903</v>
      </c>
      <c r="F232" s="220">
        <f t="shared" si="86"/>
        <v>61720</v>
      </c>
      <c r="G232" s="220">
        <f t="shared" si="87"/>
        <v>74064</v>
      </c>
    </row>
    <row r="233" spans="1:8" ht="15.6" x14ac:dyDescent="0.3">
      <c r="A233" s="87">
        <f t="shared" si="88"/>
        <v>191</v>
      </c>
      <c r="B233" s="244" t="s">
        <v>973</v>
      </c>
      <c r="C233" s="87" t="s">
        <v>431</v>
      </c>
      <c r="D233" s="227">
        <v>41.6</v>
      </c>
      <c r="E233" s="171">
        <v>152</v>
      </c>
      <c r="F233" s="103">
        <f t="shared" ref="F233:F235" si="89">ROUND(E233*D233,2)</f>
        <v>6323.2</v>
      </c>
      <c r="G233" s="103">
        <f t="shared" ref="G233:G235" si="90">ROUND(F233*1.2,2)</f>
        <v>7587.84</v>
      </c>
    </row>
    <row r="234" spans="1:8" ht="15.6" x14ac:dyDescent="0.3">
      <c r="A234" s="87">
        <f t="shared" si="88"/>
        <v>192</v>
      </c>
      <c r="B234" s="244" t="s">
        <v>974</v>
      </c>
      <c r="C234" s="87" t="s">
        <v>431</v>
      </c>
      <c r="D234" s="227">
        <v>41.6</v>
      </c>
      <c r="E234" s="171">
        <v>315.54000000000002</v>
      </c>
      <c r="F234" s="103">
        <f t="shared" si="89"/>
        <v>13126.46</v>
      </c>
      <c r="G234" s="103">
        <f t="shared" si="90"/>
        <v>15751.75</v>
      </c>
    </row>
    <row r="235" spans="1:8" ht="15.6" x14ac:dyDescent="0.3">
      <c r="A235" s="215">
        <f t="shared" si="88"/>
        <v>193</v>
      </c>
      <c r="B235" s="223" t="s">
        <v>980</v>
      </c>
      <c r="C235" s="215" t="s">
        <v>239</v>
      </c>
      <c r="D235" s="229">
        <v>0.13300000000000001</v>
      </c>
      <c r="E235" s="219">
        <f>9341/D235</f>
        <v>70233.082706766916</v>
      </c>
      <c r="F235" s="220">
        <f t="shared" si="89"/>
        <v>9341</v>
      </c>
      <c r="G235" s="220">
        <f t="shared" si="90"/>
        <v>11209.2</v>
      </c>
    </row>
    <row r="236" spans="1:8" x14ac:dyDescent="0.3">
      <c r="A236" s="475" t="s">
        <v>716</v>
      </c>
      <c r="B236" s="476"/>
      <c r="C236" s="476"/>
      <c r="D236" s="476"/>
      <c r="E236" s="477"/>
      <c r="F236" s="158">
        <f>SUM(F7:F235)</f>
        <v>28478442.130000014</v>
      </c>
      <c r="G236" s="158">
        <f>SUM(G7:G235)</f>
        <v>34174130.570000008</v>
      </c>
    </row>
    <row r="237" spans="1:8" x14ac:dyDescent="0.3">
      <c r="A237" s="475" t="s">
        <v>717</v>
      </c>
      <c r="B237" s="476"/>
      <c r="C237" s="476"/>
      <c r="D237" s="476"/>
      <c r="E237" s="477"/>
      <c r="F237" s="212">
        <f>ROUND(F236*0.03,2)</f>
        <v>854353.26</v>
      </c>
      <c r="G237" s="212">
        <f>ROUND(G236*0.03,2)</f>
        <v>1025223.92</v>
      </c>
    </row>
    <row r="238" spans="1:8" x14ac:dyDescent="0.3">
      <c r="A238" s="475" t="s">
        <v>718</v>
      </c>
      <c r="B238" s="476"/>
      <c r="C238" s="476"/>
      <c r="D238" s="476"/>
      <c r="E238" s="477"/>
      <c r="F238" s="212">
        <f>F236+F237</f>
        <v>29332795.390000015</v>
      </c>
      <c r="G238" s="212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91" t="s">
        <v>698</v>
      </c>
      <c r="F1" s="552"/>
      <c r="G1" s="552"/>
    </row>
    <row r="2" spans="1:7" ht="14.55" customHeight="1" x14ac:dyDescent="0.3">
      <c r="A2" s="481"/>
      <c r="B2" s="484"/>
      <c r="C2" s="486"/>
      <c r="D2" s="486"/>
      <c r="E2" s="491"/>
      <c r="F2" s="552"/>
      <c r="G2" s="552"/>
    </row>
    <row r="3" spans="1:7" ht="27.6" x14ac:dyDescent="0.3">
      <c r="A3" s="482"/>
      <c r="B3" s="485"/>
      <c r="C3" s="486"/>
      <c r="D3" s="486"/>
      <c r="E3" s="59" t="s">
        <v>231</v>
      </c>
      <c r="F3" s="59" t="s">
        <v>410</v>
      </c>
      <c r="G3" s="61" t="s">
        <v>409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ht="20.25" customHeight="1" x14ac:dyDescent="0.3">
      <c r="A5" s="174"/>
      <c r="B5" s="478" t="s">
        <v>232</v>
      </c>
      <c r="C5" s="479"/>
      <c r="D5" s="479"/>
      <c r="E5" s="175"/>
      <c r="F5" s="176"/>
      <c r="G5" s="177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2">
        <v>1320</v>
      </c>
      <c r="F7" s="102">
        <f t="shared" ref="F7:F14" si="0">ROUND(E7*D7,2)</f>
        <v>288288</v>
      </c>
      <c r="G7" s="102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2">
        <v>1581</v>
      </c>
      <c r="F8" s="102">
        <f t="shared" si="0"/>
        <v>586234.80000000005</v>
      </c>
      <c r="G8" s="102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2">
        <v>4006</v>
      </c>
      <c r="F9" s="102">
        <f t="shared" si="0"/>
        <v>1350911.33</v>
      </c>
      <c r="G9" s="102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2">
        <v>4217</v>
      </c>
      <c r="F10" s="102">
        <f t="shared" si="0"/>
        <v>597000.68999999994</v>
      </c>
      <c r="G10" s="102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2">
        <v>6220</v>
      </c>
      <c r="F11" s="102">
        <f t="shared" si="0"/>
        <v>766117.4</v>
      </c>
      <c r="G11" s="102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2">
        <v>401</v>
      </c>
      <c r="F12" s="102">
        <f t="shared" si="0"/>
        <v>40100</v>
      </c>
      <c r="G12" s="102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2">
        <v>5060</v>
      </c>
      <c r="F13" s="102">
        <f t="shared" si="0"/>
        <v>29854</v>
      </c>
      <c r="G13" s="102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2">
        <v>33000</v>
      </c>
      <c r="F14" s="102">
        <f t="shared" si="0"/>
        <v>33000</v>
      </c>
      <c r="G14" s="102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3"/>
      <c r="F15" s="102"/>
      <c r="G15" s="102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2">
        <v>2635</v>
      </c>
      <c r="F16" s="102">
        <f t="shared" ref="F16:F21" si="3">ROUND(E16*D16,2)</f>
        <v>748340</v>
      </c>
      <c r="G16" s="102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2">
        <v>81171</v>
      </c>
      <c r="F17" s="102">
        <f t="shared" si="3"/>
        <v>1298736</v>
      </c>
      <c r="G17" s="102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2">
        <v>253000.00000000003</v>
      </c>
      <c r="F18" s="102">
        <f t="shared" si="3"/>
        <v>1022120</v>
      </c>
      <c r="G18" s="102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2">
        <v>79</v>
      </c>
      <c r="F19" s="102">
        <f t="shared" si="3"/>
        <v>45346</v>
      </c>
      <c r="G19" s="102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2">
        <v>71</v>
      </c>
      <c r="F20" s="102">
        <f t="shared" si="3"/>
        <v>40754</v>
      </c>
      <c r="G20" s="102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2">
        <v>330000</v>
      </c>
      <c r="F21" s="102">
        <f t="shared" si="3"/>
        <v>330000</v>
      </c>
      <c r="G21" s="102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3"/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182"/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2">
        <v>63</v>
      </c>
      <c r="F24" s="102">
        <f t="shared" ref="F24:F33" si="6">ROUND(E24*D24,2)</f>
        <v>8719.2000000000007</v>
      </c>
      <c r="G24" s="102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2">
        <v>68</v>
      </c>
      <c r="F25" s="102">
        <f t="shared" si="6"/>
        <v>5492.22</v>
      </c>
      <c r="G25" s="102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2">
        <v>70</v>
      </c>
      <c r="F26" s="102">
        <f t="shared" si="6"/>
        <v>1333.92</v>
      </c>
      <c r="G26" s="102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2">
        <v>70</v>
      </c>
      <c r="F27" s="102">
        <f t="shared" si="6"/>
        <v>963.2</v>
      </c>
      <c r="G27" s="102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2">
        <v>184</v>
      </c>
      <c r="F28" s="102">
        <f t="shared" si="6"/>
        <v>19930.88</v>
      </c>
      <c r="G28" s="102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2">
        <v>75</v>
      </c>
      <c r="F29" s="102">
        <f t="shared" si="6"/>
        <v>1812</v>
      </c>
      <c r="G29" s="102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2">
        <v>6114</v>
      </c>
      <c r="F30" s="102">
        <f t="shared" si="6"/>
        <v>44681.11</v>
      </c>
      <c r="G30" s="102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2">
        <v>5060</v>
      </c>
      <c r="F31" s="102">
        <f t="shared" si="6"/>
        <v>9909.5</v>
      </c>
      <c r="G31" s="102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2">
        <v>157</v>
      </c>
      <c r="F32" s="102">
        <f t="shared" si="6"/>
        <v>13504.51</v>
      </c>
      <c r="G32" s="102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2">
        <v>33000</v>
      </c>
      <c r="F33" s="102">
        <f t="shared" si="6"/>
        <v>33000</v>
      </c>
      <c r="G33" s="102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2"/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2">
        <v>63</v>
      </c>
      <c r="F35" s="102">
        <f t="shared" ref="F35:F41" si="9">ROUND(E35*D35,2)</f>
        <v>7916.83</v>
      </c>
      <c r="G35" s="102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2">
        <v>68</v>
      </c>
      <c r="F36" s="102">
        <f t="shared" si="9"/>
        <v>8323.2000000000007</v>
      </c>
      <c r="G36" s="102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2">
        <v>70</v>
      </c>
      <c r="F37" s="102">
        <f t="shared" si="9"/>
        <v>4778.4799999999996</v>
      </c>
      <c r="G37" s="102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2">
        <v>6114</v>
      </c>
      <c r="F38" s="102">
        <f t="shared" si="9"/>
        <v>22340.560000000001</v>
      </c>
      <c r="G38" s="102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2">
        <v>5060</v>
      </c>
      <c r="F39" s="102">
        <f t="shared" si="9"/>
        <v>9290.16</v>
      </c>
      <c r="G39" s="102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2">
        <v>157</v>
      </c>
      <c r="F40" s="102">
        <f t="shared" si="9"/>
        <v>9947.52</v>
      </c>
      <c r="G40" s="102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2">
        <v>5500</v>
      </c>
      <c r="F41" s="102">
        <f t="shared" si="9"/>
        <v>5500</v>
      </c>
      <c r="G41" s="102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2"/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2">
        <v>114</v>
      </c>
      <c r="F43" s="102">
        <f t="shared" ref="F43:F49" si="12">ROUND(E43*D43,2)</f>
        <v>9785.76</v>
      </c>
      <c r="G43" s="102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2">
        <v>89</v>
      </c>
      <c r="F44" s="102">
        <f t="shared" si="12"/>
        <v>8045.6</v>
      </c>
      <c r="G44" s="102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2">
        <v>89</v>
      </c>
      <c r="F45" s="102">
        <f t="shared" si="12"/>
        <v>7888.96</v>
      </c>
      <c r="G45" s="102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2">
        <v>89</v>
      </c>
      <c r="F46" s="102">
        <f t="shared" si="12"/>
        <v>2463.52</v>
      </c>
      <c r="G46" s="102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2">
        <v>89</v>
      </c>
      <c r="F47" s="102">
        <f t="shared" si="12"/>
        <v>1986.48</v>
      </c>
      <c r="G47" s="102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2">
        <v>69</v>
      </c>
      <c r="F48" s="102">
        <f t="shared" si="12"/>
        <v>943.92</v>
      </c>
      <c r="G48" s="102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2">
        <v>317</v>
      </c>
      <c r="F49" s="102">
        <f t="shared" si="12"/>
        <v>1521.6</v>
      </c>
      <c r="G49" s="102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2"/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182"/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2">
        <v>75</v>
      </c>
      <c r="F52" s="102">
        <f t="shared" ref="F52:F61" si="14">ROUND(E52*D52,2)</f>
        <v>1566</v>
      </c>
      <c r="G52" s="102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2">
        <v>112</v>
      </c>
      <c r="F53" s="102">
        <f t="shared" si="14"/>
        <v>198475.2</v>
      </c>
      <c r="G53" s="102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2">
        <v>94</v>
      </c>
      <c r="F54" s="102">
        <f t="shared" si="14"/>
        <v>23907.96</v>
      </c>
      <c r="G54" s="102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2">
        <v>89</v>
      </c>
      <c r="F55" s="102">
        <f t="shared" si="14"/>
        <v>17773.66</v>
      </c>
      <c r="G55" s="102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2">
        <v>89</v>
      </c>
      <c r="F56" s="102">
        <f t="shared" si="14"/>
        <v>978.11</v>
      </c>
      <c r="G56" s="102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2">
        <v>5271</v>
      </c>
      <c r="F57" s="102">
        <f t="shared" si="14"/>
        <v>4494.05</v>
      </c>
      <c r="G57" s="102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2">
        <v>8855</v>
      </c>
      <c r="F58" s="102">
        <f t="shared" si="14"/>
        <v>779.24</v>
      </c>
      <c r="G58" s="102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2">
        <v>157</v>
      </c>
      <c r="F59" s="102">
        <f t="shared" si="14"/>
        <v>1563.72</v>
      </c>
      <c r="G59" s="102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2">
        <v>174</v>
      </c>
      <c r="F60" s="102">
        <f t="shared" si="14"/>
        <v>1733.04</v>
      </c>
      <c r="G60" s="102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2">
        <v>6600.0000000000009</v>
      </c>
      <c r="F61" s="102">
        <f t="shared" si="14"/>
        <v>6600</v>
      </c>
      <c r="G61" s="102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2"/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2">
        <v>75</v>
      </c>
      <c r="F63" s="102">
        <f t="shared" ref="F63:F71" si="17">ROUND(E63*D63,2)</f>
        <v>65772</v>
      </c>
      <c r="G63" s="102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2">
        <v>75</v>
      </c>
      <c r="F64" s="102">
        <f t="shared" si="17"/>
        <v>55449</v>
      </c>
      <c r="G64" s="102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2">
        <v>89</v>
      </c>
      <c r="F65" s="102">
        <f t="shared" si="17"/>
        <v>3353.52</v>
      </c>
      <c r="G65" s="102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2">
        <v>89</v>
      </c>
      <c r="F66" s="102">
        <f t="shared" si="17"/>
        <v>3353.52</v>
      </c>
      <c r="G66" s="102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2">
        <v>89</v>
      </c>
      <c r="F67" s="102">
        <f t="shared" si="17"/>
        <v>11318.13</v>
      </c>
      <c r="G67" s="102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2">
        <v>127</v>
      </c>
      <c r="F68" s="102">
        <f t="shared" si="17"/>
        <v>278.38</v>
      </c>
      <c r="G68" s="102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2">
        <v>147</v>
      </c>
      <c r="F69" s="102">
        <f t="shared" si="17"/>
        <v>75.260000000000005</v>
      </c>
      <c r="G69" s="102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2">
        <v>197</v>
      </c>
      <c r="F70" s="102">
        <f t="shared" si="17"/>
        <v>40.98</v>
      </c>
      <c r="G70" s="102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2">
        <v>214</v>
      </c>
      <c r="F71" s="102">
        <f t="shared" si="17"/>
        <v>20.54</v>
      </c>
      <c r="G71" s="102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2"/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2">
        <v>75</v>
      </c>
      <c r="F73" s="102">
        <f t="shared" ref="F73:F84" si="20">ROUND(E73*D73,2)</f>
        <v>24534</v>
      </c>
      <c r="G73" s="102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2">
        <v>75</v>
      </c>
      <c r="F74" s="102">
        <f t="shared" si="20"/>
        <v>24636.38</v>
      </c>
      <c r="G74" s="102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2">
        <v>89</v>
      </c>
      <c r="F75" s="102">
        <f t="shared" si="20"/>
        <v>1676.76</v>
      </c>
      <c r="G75" s="102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2">
        <v>89</v>
      </c>
      <c r="F76" s="102">
        <f t="shared" si="20"/>
        <v>1676.76</v>
      </c>
      <c r="G76" s="102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2">
        <v>89</v>
      </c>
      <c r="F77" s="102">
        <f t="shared" si="20"/>
        <v>11318.13</v>
      </c>
      <c r="G77" s="102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2">
        <v>127</v>
      </c>
      <c r="F78" s="102">
        <f t="shared" si="20"/>
        <v>139.19</v>
      </c>
      <c r="G78" s="102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2">
        <v>147</v>
      </c>
      <c r="F79" s="102">
        <f t="shared" si="20"/>
        <v>37.630000000000003</v>
      </c>
      <c r="G79" s="102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2">
        <v>197</v>
      </c>
      <c r="F80" s="102">
        <f t="shared" si="20"/>
        <v>20.49</v>
      </c>
      <c r="G80" s="102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2">
        <v>214</v>
      </c>
      <c r="F81" s="102">
        <f t="shared" si="20"/>
        <v>10.27</v>
      </c>
      <c r="G81" s="102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2">
        <v>157</v>
      </c>
      <c r="F82" s="102">
        <f t="shared" si="20"/>
        <v>1836.9</v>
      </c>
      <c r="G82" s="102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2">
        <v>174</v>
      </c>
      <c r="F83" s="102">
        <f t="shared" si="20"/>
        <v>2035.8</v>
      </c>
      <c r="G83" s="102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2">
        <v>22000</v>
      </c>
      <c r="F84" s="102">
        <f t="shared" si="20"/>
        <v>22000</v>
      </c>
      <c r="G84" s="102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2"/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182"/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2">
        <v>70</v>
      </c>
      <c r="F87" s="102">
        <f t="shared" ref="F87:F93" si="23">ROUND(E87*D87,2)</f>
        <v>41.3</v>
      </c>
      <c r="G87" s="102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2">
        <v>75</v>
      </c>
      <c r="F88" s="102">
        <f t="shared" si="23"/>
        <v>204</v>
      </c>
      <c r="G88" s="102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2">
        <v>114</v>
      </c>
      <c r="F89" s="102">
        <f t="shared" si="23"/>
        <v>1436.4</v>
      </c>
      <c r="G89" s="102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2">
        <v>655</v>
      </c>
      <c r="F90" s="102">
        <f t="shared" si="23"/>
        <v>13296.5</v>
      </c>
      <c r="G90" s="102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2">
        <v>6114</v>
      </c>
      <c r="F91" s="102">
        <f t="shared" si="23"/>
        <v>3102.86</v>
      </c>
      <c r="G91" s="102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2">
        <v>5060</v>
      </c>
      <c r="F92" s="102">
        <f t="shared" si="23"/>
        <v>567.73</v>
      </c>
      <c r="G92" s="102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2">
        <v>3300.0000000000005</v>
      </c>
      <c r="F93" s="102">
        <f t="shared" si="23"/>
        <v>3300</v>
      </c>
      <c r="G93" s="102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2"/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2">
        <v>37079</v>
      </c>
      <c r="F95" s="102">
        <f t="shared" ref="F95:F114" si="26">ROUND(E95*D95,2)</f>
        <v>37079</v>
      </c>
      <c r="G95" s="102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2">
        <v>37079</v>
      </c>
      <c r="F96" s="102">
        <f t="shared" si="26"/>
        <v>37079</v>
      </c>
      <c r="G96" s="102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2">
        <v>37079</v>
      </c>
      <c r="F97" s="102">
        <f t="shared" si="26"/>
        <v>37079</v>
      </c>
      <c r="G97" s="102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2">
        <v>37079</v>
      </c>
      <c r="F98" s="102">
        <f t="shared" si="26"/>
        <v>37079</v>
      </c>
      <c r="G98" s="102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2">
        <v>36315</v>
      </c>
      <c r="F99" s="102">
        <f t="shared" si="26"/>
        <v>36315</v>
      </c>
      <c r="G99" s="102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2">
        <v>36315</v>
      </c>
      <c r="F100" s="102">
        <f t="shared" si="26"/>
        <v>36315</v>
      </c>
      <c r="G100" s="102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2">
        <v>36315</v>
      </c>
      <c r="F101" s="102">
        <f t="shared" si="26"/>
        <v>36315</v>
      </c>
      <c r="G101" s="102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2">
        <v>36315</v>
      </c>
      <c r="F102" s="102">
        <f t="shared" si="26"/>
        <v>36315</v>
      </c>
      <c r="G102" s="102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2">
        <v>36315</v>
      </c>
      <c r="F103" s="102">
        <f t="shared" si="26"/>
        <v>36315</v>
      </c>
      <c r="G103" s="102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2">
        <v>35552</v>
      </c>
      <c r="F104" s="102">
        <f t="shared" si="26"/>
        <v>35552</v>
      </c>
      <c r="G104" s="102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2">
        <v>35552</v>
      </c>
      <c r="F105" s="102">
        <f t="shared" si="26"/>
        <v>35552</v>
      </c>
      <c r="G105" s="102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2">
        <v>35552</v>
      </c>
      <c r="F106" s="102">
        <f t="shared" si="26"/>
        <v>35552</v>
      </c>
      <c r="G106" s="102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2">
        <v>9509</v>
      </c>
      <c r="F107" s="102">
        <f t="shared" si="26"/>
        <v>247234</v>
      </c>
      <c r="G107" s="102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2">
        <v>89</v>
      </c>
      <c r="F108" s="102">
        <f t="shared" si="26"/>
        <v>7120</v>
      </c>
      <c r="G108" s="102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2">
        <v>89</v>
      </c>
      <c r="F109" s="102">
        <f t="shared" si="26"/>
        <v>729.8</v>
      </c>
      <c r="G109" s="102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2">
        <v>4428</v>
      </c>
      <c r="F110" s="102">
        <f t="shared" si="26"/>
        <v>22271.95</v>
      </c>
      <c r="G110" s="102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2">
        <v>4428</v>
      </c>
      <c r="F111" s="102">
        <f t="shared" si="26"/>
        <v>20483.04</v>
      </c>
      <c r="G111" s="102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2">
        <v>182</v>
      </c>
      <c r="F112" s="102">
        <f t="shared" si="26"/>
        <v>500.86</v>
      </c>
      <c r="G112" s="102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2">
        <v>1376</v>
      </c>
      <c r="F113" s="102">
        <f t="shared" si="26"/>
        <v>1775.04</v>
      </c>
      <c r="G113" s="102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2">
        <v>660</v>
      </c>
      <c r="F114" s="102">
        <f t="shared" si="26"/>
        <v>1854.6</v>
      </c>
      <c r="G114" s="102">
        <f t="shared" si="27"/>
        <v>2225.52</v>
      </c>
    </row>
    <row r="115" spans="1:7" x14ac:dyDescent="0.3">
      <c r="A115" s="174"/>
      <c r="B115" s="478" t="s">
        <v>341</v>
      </c>
      <c r="C115" s="479"/>
      <c r="D115" s="479"/>
      <c r="E115" s="175"/>
      <c r="F115" s="176"/>
      <c r="G115" s="177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2">
        <v>2635</v>
      </c>
      <c r="F117" s="102">
        <f t="shared" ref="F117:F143" si="29">ROUND(E117*D117,2)</f>
        <v>19393.599999999999</v>
      </c>
      <c r="G117" s="102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2">
        <v>12650.000000000002</v>
      </c>
      <c r="F118" s="102">
        <f t="shared" si="29"/>
        <v>328900</v>
      </c>
      <c r="G118" s="102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2">
        <v>4006</v>
      </c>
      <c r="F119" s="102">
        <f t="shared" si="29"/>
        <v>108162</v>
      </c>
      <c r="G119" s="102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2">
        <v>5587</v>
      </c>
      <c r="F120" s="102">
        <f t="shared" si="29"/>
        <v>14163.05</v>
      </c>
      <c r="G120" s="102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2">
        <v>15</v>
      </c>
      <c r="F121" s="102">
        <f t="shared" si="29"/>
        <v>9690</v>
      </c>
      <c r="G121" s="102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2">
        <v>4428</v>
      </c>
      <c r="F122" s="102">
        <f t="shared" si="29"/>
        <v>1806.62</v>
      </c>
      <c r="G122" s="102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2">
        <v>440</v>
      </c>
      <c r="F123" s="102">
        <f t="shared" si="29"/>
        <v>4048.14</v>
      </c>
      <c r="G123" s="102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2">
        <v>41</v>
      </c>
      <c r="F124" s="102">
        <f t="shared" si="29"/>
        <v>4968.97</v>
      </c>
      <c r="G124" s="102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2">
        <v>5693</v>
      </c>
      <c r="F125" s="102">
        <f t="shared" si="29"/>
        <v>82.97</v>
      </c>
      <c r="G125" s="102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2">
        <v>5500</v>
      </c>
      <c r="F126" s="102">
        <f t="shared" si="29"/>
        <v>5500</v>
      </c>
      <c r="G126" s="102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2"/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2">
        <v>89</v>
      </c>
      <c r="F128" s="102">
        <f t="shared" si="29"/>
        <v>29821.23</v>
      </c>
      <c r="G128" s="102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2">
        <v>89</v>
      </c>
      <c r="F129" s="102">
        <f t="shared" si="29"/>
        <v>24215.57</v>
      </c>
      <c r="G129" s="102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2">
        <v>89</v>
      </c>
      <c r="F130" s="102">
        <f t="shared" si="29"/>
        <v>32626.69</v>
      </c>
      <c r="G130" s="102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2">
        <v>89</v>
      </c>
      <c r="F131" s="102">
        <f t="shared" si="29"/>
        <v>5244.95</v>
      </c>
      <c r="G131" s="102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2">
        <v>89</v>
      </c>
      <c r="F132" s="102">
        <f t="shared" si="29"/>
        <v>5350.32</v>
      </c>
      <c r="G132" s="102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2">
        <v>89</v>
      </c>
      <c r="F133" s="102">
        <f t="shared" si="29"/>
        <v>65895.600000000006</v>
      </c>
      <c r="G133" s="102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2">
        <v>89</v>
      </c>
      <c r="F134" s="102">
        <f t="shared" si="29"/>
        <v>6654.71</v>
      </c>
      <c r="G134" s="102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2">
        <v>89</v>
      </c>
      <c r="F135" s="102">
        <f t="shared" si="29"/>
        <v>12440.06</v>
      </c>
      <c r="G135" s="102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2">
        <v>89</v>
      </c>
      <c r="F136" s="102">
        <f t="shared" si="29"/>
        <v>25055.279999999999</v>
      </c>
      <c r="G136" s="102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2">
        <v>89</v>
      </c>
      <c r="F137" s="102">
        <f t="shared" si="29"/>
        <v>12217.03</v>
      </c>
      <c r="G137" s="102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2">
        <v>70</v>
      </c>
      <c r="F138" s="102">
        <f t="shared" si="29"/>
        <v>1226.6099999999999</v>
      </c>
      <c r="G138" s="102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2">
        <v>6114</v>
      </c>
      <c r="F139" s="102">
        <f t="shared" si="29"/>
        <v>159486.75</v>
      </c>
      <c r="G139" s="102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2">
        <v>5060</v>
      </c>
      <c r="F140" s="102">
        <f t="shared" si="29"/>
        <v>37676.76</v>
      </c>
      <c r="G140" s="102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2">
        <v>440</v>
      </c>
      <c r="F141" s="102">
        <f t="shared" si="29"/>
        <v>18948.16</v>
      </c>
      <c r="G141" s="102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2">
        <v>41</v>
      </c>
      <c r="F142" s="102">
        <f t="shared" si="29"/>
        <v>26484.36</v>
      </c>
      <c r="G142" s="102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2">
        <v>55000.000000000007</v>
      </c>
      <c r="F143" s="102">
        <f t="shared" si="29"/>
        <v>55000</v>
      </c>
      <c r="G143" s="102">
        <f t="shared" si="30"/>
        <v>66000</v>
      </c>
    </row>
    <row r="144" spans="1:7" x14ac:dyDescent="0.3">
      <c r="A144" s="178"/>
      <c r="B144" s="478" t="s">
        <v>364</v>
      </c>
      <c r="C144" s="479"/>
      <c r="D144" s="479"/>
      <c r="E144" s="179"/>
      <c r="F144" s="180"/>
      <c r="G144" s="181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2">
        <v>1581</v>
      </c>
      <c r="F146" s="102">
        <f t="shared" ref="F146:F150" si="32">ROUND(E146*D146,2)</f>
        <v>444261</v>
      </c>
      <c r="G146" s="102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2">
        <v>4006</v>
      </c>
      <c r="F147" s="102">
        <f t="shared" si="32"/>
        <v>567650.19999999995</v>
      </c>
      <c r="G147" s="102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2">
        <v>4428</v>
      </c>
      <c r="F148" s="102">
        <f t="shared" si="32"/>
        <v>316602</v>
      </c>
      <c r="G148" s="102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2">
        <v>4638</v>
      </c>
      <c r="F149" s="102">
        <f t="shared" si="32"/>
        <v>486062.4</v>
      </c>
      <c r="G149" s="102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2">
        <v>26354</v>
      </c>
      <c r="F150" s="102">
        <f t="shared" si="32"/>
        <v>36895.599999999999</v>
      </c>
      <c r="G150" s="102">
        <f t="shared" si="33"/>
        <v>44274.720000000001</v>
      </c>
    </row>
    <row r="151" spans="1:8" ht="15.6" x14ac:dyDescent="0.3">
      <c r="A151" s="215"/>
      <c r="B151" s="216" t="s">
        <v>922</v>
      </c>
      <c r="C151" s="217"/>
      <c r="D151" s="218"/>
      <c r="E151" s="219"/>
      <c r="F151" s="220"/>
      <c r="G151" s="220"/>
      <c r="H151" s="52"/>
    </row>
    <row r="152" spans="1:8" ht="15.6" x14ac:dyDescent="0.3">
      <c r="A152" s="215">
        <f>A150+1</f>
        <v>122</v>
      </c>
      <c r="B152" s="221" t="s">
        <v>925</v>
      </c>
      <c r="C152" s="215" t="s">
        <v>220</v>
      </c>
      <c r="D152" s="218">
        <v>3</v>
      </c>
      <c r="E152" s="219"/>
      <c r="F152" s="220">
        <f t="shared" ref="F152:F153" si="35">ROUND(E152*D152,2)</f>
        <v>0</v>
      </c>
      <c r="G152" s="220">
        <f t="shared" ref="G152:G153" si="36">ROUND(F152*1.2,2)</f>
        <v>0</v>
      </c>
      <c r="H152" s="52"/>
    </row>
    <row r="153" spans="1:8" ht="15.6" x14ac:dyDescent="0.3">
      <c r="A153" s="215">
        <f>A152+1</f>
        <v>123</v>
      </c>
      <c r="B153" s="221" t="s">
        <v>926</v>
      </c>
      <c r="C153" s="215" t="s">
        <v>220</v>
      </c>
      <c r="D153" s="218">
        <v>3</v>
      </c>
      <c r="E153" s="219"/>
      <c r="F153" s="220">
        <f t="shared" si="35"/>
        <v>0</v>
      </c>
      <c r="G153" s="220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2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2">
        <v>486</v>
      </c>
      <c r="F155" s="102">
        <f t="shared" ref="F155:F158" si="37">ROUND(E155*D155,2)</f>
        <v>631.79999999999995</v>
      </c>
      <c r="G155" s="102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2">
        <v>648</v>
      </c>
      <c r="F156" s="102">
        <f t="shared" si="37"/>
        <v>648</v>
      </c>
      <c r="G156" s="102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2">
        <v>1265</v>
      </c>
      <c r="F157" s="102">
        <f t="shared" si="37"/>
        <v>1138.5</v>
      </c>
      <c r="G157" s="102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2">
        <v>22000</v>
      </c>
      <c r="F158" s="102">
        <f t="shared" si="37"/>
        <v>22000</v>
      </c>
      <c r="G158" s="102">
        <f t="shared" si="38"/>
        <v>26400</v>
      </c>
    </row>
    <row r="159" spans="1:8" ht="22.5" customHeight="1" x14ac:dyDescent="0.3">
      <c r="A159" s="174"/>
      <c r="B159" s="478" t="s">
        <v>375</v>
      </c>
      <c r="C159" s="479"/>
      <c r="D159" s="479"/>
      <c r="E159" s="175"/>
      <c r="F159" s="176"/>
      <c r="G159" s="177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2">
        <v>4301</v>
      </c>
      <c r="F160" s="102">
        <f t="shared" ref="F160:F182" si="40">ROUND(E160*D160,2)</f>
        <v>124729</v>
      </c>
      <c r="G160" s="102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2">
        <v>7337.0000000000009</v>
      </c>
      <c r="F161" s="102">
        <f t="shared" si="40"/>
        <v>200079.99</v>
      </c>
      <c r="G161" s="102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2">
        <v>10753</v>
      </c>
      <c r="F162" s="102">
        <f t="shared" si="40"/>
        <v>10753</v>
      </c>
      <c r="G162" s="102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2">
        <v>11385.000000000002</v>
      </c>
      <c r="F163" s="102">
        <f t="shared" si="40"/>
        <v>11385</v>
      </c>
      <c r="G163" s="102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2">
        <v>10247</v>
      </c>
      <c r="F164" s="102">
        <f t="shared" si="40"/>
        <v>10247</v>
      </c>
      <c r="G164" s="102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2">
        <v>11006</v>
      </c>
      <c r="F165" s="102">
        <f t="shared" si="40"/>
        <v>33018</v>
      </c>
      <c r="G165" s="102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2">
        <v>6199</v>
      </c>
      <c r="F166" s="102">
        <f t="shared" si="40"/>
        <v>6199</v>
      </c>
      <c r="G166" s="102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2">
        <v>15180.000000000002</v>
      </c>
      <c r="F167" s="102">
        <f t="shared" si="40"/>
        <v>15180</v>
      </c>
      <c r="G167" s="102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2">
        <v>3669</v>
      </c>
      <c r="F168" s="102">
        <f t="shared" si="40"/>
        <v>3669</v>
      </c>
      <c r="G168" s="102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2">
        <v>702</v>
      </c>
      <c r="F169" s="102">
        <f t="shared" si="40"/>
        <v>11323.26</v>
      </c>
      <c r="G169" s="102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2">
        <v>249</v>
      </c>
      <c r="F170" s="102">
        <f t="shared" si="40"/>
        <v>12450</v>
      </c>
      <c r="G170" s="102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2">
        <v>312</v>
      </c>
      <c r="F171" s="102">
        <f t="shared" si="40"/>
        <v>23400</v>
      </c>
      <c r="G171" s="102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2">
        <v>6114</v>
      </c>
      <c r="F172" s="102">
        <f t="shared" si="40"/>
        <v>21719.99</v>
      </c>
      <c r="G172" s="102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2">
        <v>1265</v>
      </c>
      <c r="F173" s="102">
        <f t="shared" si="40"/>
        <v>16698</v>
      </c>
      <c r="G173" s="102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2">
        <v>1368</v>
      </c>
      <c r="F174" s="102">
        <f t="shared" si="40"/>
        <v>1313.28</v>
      </c>
      <c r="G174" s="102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2">
        <v>85</v>
      </c>
      <c r="F175" s="102">
        <f t="shared" si="40"/>
        <v>1445</v>
      </c>
      <c r="G175" s="102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2">
        <v>85</v>
      </c>
      <c r="F176" s="102">
        <f t="shared" si="40"/>
        <v>340</v>
      </c>
      <c r="G176" s="102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2">
        <v>104</v>
      </c>
      <c r="F177" s="102">
        <f t="shared" si="40"/>
        <v>478.4</v>
      </c>
      <c r="G177" s="102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2">
        <v>95</v>
      </c>
      <c r="F178" s="102">
        <f t="shared" si="40"/>
        <v>267.89999999999998</v>
      </c>
      <c r="G178" s="102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2">
        <v>6072.0000000000009</v>
      </c>
      <c r="F179" s="102">
        <f t="shared" si="40"/>
        <v>11233.2</v>
      </c>
      <c r="G179" s="102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2">
        <v>5313</v>
      </c>
      <c r="F180" s="102">
        <f t="shared" si="40"/>
        <v>1540.77</v>
      </c>
      <c r="G180" s="102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2">
        <v>2425</v>
      </c>
      <c r="F181" s="102">
        <f t="shared" si="40"/>
        <v>533.5</v>
      </c>
      <c r="G181" s="102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2">
        <v>55000.000000000007</v>
      </c>
      <c r="F182" s="102">
        <f t="shared" si="40"/>
        <v>55000</v>
      </c>
      <c r="G182" s="102">
        <f t="shared" si="38"/>
        <v>66000</v>
      </c>
    </row>
    <row r="183" spans="1:10" ht="21.75" customHeight="1" x14ac:dyDescent="0.3">
      <c r="A183" s="174"/>
      <c r="B183" s="478" t="s">
        <v>399</v>
      </c>
      <c r="C183" s="479"/>
      <c r="D183" s="479"/>
      <c r="E183" s="175"/>
      <c r="F183" s="176"/>
      <c r="G183" s="177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172">
        <v>17695</v>
      </c>
      <c r="F185" s="102">
        <f t="shared" ref="F185:F189" si="42">ROUND(E185*D185,2)</f>
        <v>194645</v>
      </c>
      <c r="G185" s="102">
        <f t="shared" ref="G185:G189" si="43">ROUND(F185*1.2,2)</f>
        <v>233574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172">
        <v>5149</v>
      </c>
      <c r="F186" s="102">
        <f t="shared" si="42"/>
        <v>221407</v>
      </c>
      <c r="G186" s="102">
        <f t="shared" si="43"/>
        <v>265688.40000000002</v>
      </c>
      <c r="I186" s="236"/>
      <c r="J186" s="239"/>
    </row>
    <row r="187" spans="1:10" ht="19.5" customHeight="1" x14ac:dyDescent="0.3">
      <c r="A187" s="87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2">
        <v>2882</v>
      </c>
      <c r="F187" s="102">
        <f t="shared" si="42"/>
        <v>40348</v>
      </c>
      <c r="G187" s="102">
        <f t="shared" si="43"/>
        <v>48417.599999999999</v>
      </c>
      <c r="I187" s="236"/>
      <c r="J187" s="239"/>
    </row>
    <row r="188" spans="1:10" ht="19.5" customHeight="1" x14ac:dyDescent="0.3">
      <c r="A188" s="215">
        <f>A187+1</f>
        <v>154</v>
      </c>
      <c r="B188" s="223" t="s">
        <v>1063</v>
      </c>
      <c r="C188" s="215" t="s">
        <v>193</v>
      </c>
      <c r="D188" s="234">
        <v>0.02</v>
      </c>
      <c r="E188" s="219">
        <v>0</v>
      </c>
      <c r="F188" s="220">
        <f t="shared" si="42"/>
        <v>0</v>
      </c>
      <c r="G188" s="220">
        <f t="shared" si="43"/>
        <v>0</v>
      </c>
      <c r="I188" s="233"/>
      <c r="J188" s="239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171">
        <v>1368</v>
      </c>
      <c r="F189" s="103">
        <f t="shared" si="42"/>
        <v>7701.84</v>
      </c>
      <c r="G189" s="103">
        <f t="shared" si="43"/>
        <v>9242.2099999999991</v>
      </c>
      <c r="I189" s="233"/>
      <c r="J189" s="239"/>
    </row>
    <row r="190" spans="1:10" ht="19.5" customHeight="1" x14ac:dyDescent="0.3">
      <c r="A190" s="87">
        <f t="shared" ref="A190:A191" si="45">A189+1</f>
        <v>156</v>
      </c>
      <c r="B190" s="244" t="s">
        <v>1065</v>
      </c>
      <c r="C190" s="87" t="s">
        <v>387</v>
      </c>
      <c r="D190" s="238">
        <f>43*20/16</f>
        <v>53.75</v>
      </c>
      <c r="E190" s="171">
        <v>250</v>
      </c>
      <c r="F190" s="103">
        <f t="shared" ref="F190:F191" si="46">ROUND(E190*D190,2)</f>
        <v>13437.5</v>
      </c>
      <c r="G190" s="103">
        <f t="shared" ref="G190:G191" si="47">ROUND(F190*1.2,2)</f>
        <v>16125</v>
      </c>
      <c r="I190" s="233"/>
      <c r="J190" s="239"/>
    </row>
    <row r="191" spans="1:10" ht="19.5" customHeight="1" x14ac:dyDescent="0.3">
      <c r="A191" s="87">
        <f t="shared" si="45"/>
        <v>157</v>
      </c>
      <c r="B191" s="244" t="s">
        <v>1064</v>
      </c>
      <c r="C191" s="87" t="s">
        <v>254</v>
      </c>
      <c r="D191" s="260">
        <v>120.15</v>
      </c>
      <c r="E191" s="171">
        <v>312</v>
      </c>
      <c r="F191" s="103">
        <f t="shared" si="46"/>
        <v>37486.800000000003</v>
      </c>
      <c r="G191" s="103">
        <f t="shared" si="47"/>
        <v>44984.160000000003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171"/>
      <c r="F192" s="103"/>
      <c r="G192" s="103"/>
      <c r="I192" s="233"/>
    </row>
    <row r="193" spans="1:9" ht="19.5" customHeight="1" x14ac:dyDescent="0.3">
      <c r="A193" s="215">
        <f>A191+1</f>
        <v>158</v>
      </c>
      <c r="B193" s="223" t="s">
        <v>1000</v>
      </c>
      <c r="C193" s="215" t="s">
        <v>193</v>
      </c>
      <c r="D193" s="234">
        <v>0.62</v>
      </c>
      <c r="E193" s="219">
        <v>0</v>
      </c>
      <c r="F193" s="220">
        <f t="shared" ref="F193:F196" si="48">ROUND(E193*D193,2)</f>
        <v>0</v>
      </c>
      <c r="G193" s="220">
        <f t="shared" ref="G193:G196" si="49">ROUND(F193*1.2,2)</f>
        <v>0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171">
        <v>85</v>
      </c>
      <c r="F194" s="103">
        <f t="shared" si="48"/>
        <v>4505</v>
      </c>
      <c r="G194" s="103">
        <f t="shared" si="49"/>
        <v>5406</v>
      </c>
      <c r="I194" s="233"/>
    </row>
    <row r="195" spans="1:9" ht="19.5" customHeight="1" x14ac:dyDescent="0.3">
      <c r="A195" s="87">
        <f t="shared" ref="A195:A196" si="50">A194+1</f>
        <v>160</v>
      </c>
      <c r="B195" s="244" t="s">
        <v>1065</v>
      </c>
      <c r="C195" s="87" t="s">
        <v>387</v>
      </c>
      <c r="D195" s="260">
        <f>0.95*20/16</f>
        <v>1.1875</v>
      </c>
      <c r="E195" s="171">
        <v>250</v>
      </c>
      <c r="F195" s="103">
        <f t="shared" si="48"/>
        <v>296.88</v>
      </c>
      <c r="G195" s="103">
        <f t="shared" si="49"/>
        <v>356.26</v>
      </c>
      <c r="I195" s="233"/>
    </row>
    <row r="196" spans="1:9" ht="19.5" customHeight="1" x14ac:dyDescent="0.3">
      <c r="A196" s="87">
        <f t="shared" si="50"/>
        <v>161</v>
      </c>
      <c r="B196" s="244" t="s">
        <v>1064</v>
      </c>
      <c r="C196" s="87" t="s">
        <v>254</v>
      </c>
      <c r="D196" s="260">
        <v>2.7</v>
      </c>
      <c r="E196" s="171">
        <v>312</v>
      </c>
      <c r="F196" s="103">
        <f t="shared" si="48"/>
        <v>842.4</v>
      </c>
      <c r="G196" s="103">
        <f t="shared" si="49"/>
        <v>1010.88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171"/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171">
        <v>1368</v>
      </c>
      <c r="F198" s="103">
        <f t="shared" ref="F198:F199" si="51">ROUND(E198*D198,2)</f>
        <v>2052</v>
      </c>
      <c r="G198" s="103">
        <f t="shared" ref="G198:G199" si="52">ROUND(F198*1.2,2)</f>
        <v>2462.4</v>
      </c>
      <c r="I198" s="233"/>
    </row>
    <row r="199" spans="1:9" ht="19.5" customHeight="1" x14ac:dyDescent="0.3">
      <c r="A199" s="215">
        <f>A198+1</f>
        <v>163</v>
      </c>
      <c r="B199" s="223" t="s">
        <v>1069</v>
      </c>
      <c r="C199" s="215" t="s">
        <v>193</v>
      </c>
      <c r="D199" s="234">
        <f>0.16+0.6</f>
        <v>0.76</v>
      </c>
      <c r="E199" s="219">
        <v>0</v>
      </c>
      <c r="F199" s="220">
        <f t="shared" si="51"/>
        <v>0</v>
      </c>
      <c r="G199" s="220">
        <f t="shared" si="52"/>
        <v>0</v>
      </c>
      <c r="I199" s="233"/>
    </row>
    <row r="200" spans="1:9" ht="19.5" customHeight="1" x14ac:dyDescent="0.3">
      <c r="A200" s="87">
        <f t="shared" ref="A200:A207" si="53">A199+1</f>
        <v>164</v>
      </c>
      <c r="B200" s="244" t="s">
        <v>1070</v>
      </c>
      <c r="C200" s="87" t="s">
        <v>254</v>
      </c>
      <c r="D200" s="238">
        <v>31</v>
      </c>
      <c r="E200" s="171">
        <v>85</v>
      </c>
      <c r="F200" s="103">
        <f t="shared" ref="F200:F204" si="54">ROUND(E200*D200,2)</f>
        <v>2635</v>
      </c>
      <c r="G200" s="103">
        <f t="shared" ref="G200:G204" si="55">ROUND(F200*1.2,2)</f>
        <v>3162</v>
      </c>
      <c r="I200" s="233"/>
    </row>
    <row r="201" spans="1:9" ht="19.5" customHeight="1" x14ac:dyDescent="0.3">
      <c r="A201" s="87">
        <f t="shared" si="53"/>
        <v>165</v>
      </c>
      <c r="B201" s="244" t="s">
        <v>1071</v>
      </c>
      <c r="C201" s="87" t="s">
        <v>254</v>
      </c>
      <c r="D201" s="263">
        <v>5.0999999999999996</v>
      </c>
      <c r="E201" s="171">
        <v>85</v>
      </c>
      <c r="F201" s="103">
        <f t="shared" si="54"/>
        <v>433.5</v>
      </c>
      <c r="G201" s="103">
        <f t="shared" si="55"/>
        <v>520.20000000000005</v>
      </c>
      <c r="I201" s="233"/>
    </row>
    <row r="202" spans="1:9" ht="19.5" customHeight="1" x14ac:dyDescent="0.3">
      <c r="A202" s="87">
        <f t="shared" si="53"/>
        <v>166</v>
      </c>
      <c r="B202" s="244" t="s">
        <v>1065</v>
      </c>
      <c r="C202" s="87" t="s">
        <v>387</v>
      </c>
      <c r="D202" s="260">
        <f>1.13*20/16</f>
        <v>1.4124999999999999</v>
      </c>
      <c r="E202" s="171">
        <v>250</v>
      </c>
      <c r="F202" s="103">
        <f t="shared" si="54"/>
        <v>353.13</v>
      </c>
      <c r="G202" s="103">
        <f t="shared" si="55"/>
        <v>423.76</v>
      </c>
      <c r="I202" s="233"/>
    </row>
    <row r="203" spans="1:9" ht="19.5" customHeight="1" x14ac:dyDescent="0.3">
      <c r="A203" s="87">
        <f t="shared" si="53"/>
        <v>167</v>
      </c>
      <c r="B203" s="244" t="s">
        <v>1064</v>
      </c>
      <c r="C203" s="87" t="s">
        <v>254</v>
      </c>
      <c r="D203" s="260">
        <v>3.2</v>
      </c>
      <c r="E203" s="171">
        <v>312</v>
      </c>
      <c r="F203" s="103">
        <f t="shared" si="54"/>
        <v>998.4</v>
      </c>
      <c r="G203" s="103">
        <f t="shared" si="55"/>
        <v>1198.08</v>
      </c>
      <c r="I203" s="233"/>
    </row>
    <row r="204" spans="1:9" ht="15.75" customHeight="1" x14ac:dyDescent="0.3">
      <c r="A204" s="215">
        <f t="shared" si="53"/>
        <v>168</v>
      </c>
      <c r="B204" s="223" t="s">
        <v>1072</v>
      </c>
      <c r="C204" s="215" t="s">
        <v>193</v>
      </c>
      <c r="D204" s="234">
        <v>0.08</v>
      </c>
      <c r="E204" s="219">
        <v>0</v>
      </c>
      <c r="F204" s="220">
        <f t="shared" si="54"/>
        <v>0</v>
      </c>
      <c r="G204" s="220">
        <f t="shared" si="55"/>
        <v>0</v>
      </c>
      <c r="I204" s="233"/>
    </row>
    <row r="205" spans="1:9" ht="15.75" customHeight="1" x14ac:dyDescent="0.3">
      <c r="A205" s="215">
        <f t="shared" si="53"/>
        <v>169</v>
      </c>
      <c r="B205" s="223" t="s">
        <v>936</v>
      </c>
      <c r="C205" s="215" t="s">
        <v>220</v>
      </c>
      <c r="D205" s="232">
        <v>1</v>
      </c>
      <c r="E205" s="219">
        <v>0</v>
      </c>
      <c r="F205" s="220">
        <f t="shared" ref="F205:F207" si="56">ROUND(E205*D205,2)</f>
        <v>0</v>
      </c>
      <c r="G205" s="220">
        <f t="shared" ref="G205:G207" si="57">ROUND(F205*1.2,2)</f>
        <v>0</v>
      </c>
      <c r="I205" s="233"/>
    </row>
    <row r="206" spans="1:9" ht="15.75" customHeight="1" x14ac:dyDescent="0.3">
      <c r="A206" s="215">
        <f t="shared" si="53"/>
        <v>170</v>
      </c>
      <c r="B206" s="223" t="s">
        <v>937</v>
      </c>
      <c r="C206" s="215" t="s">
        <v>254</v>
      </c>
      <c r="D206" s="234">
        <v>138.83000000000001</v>
      </c>
      <c r="E206" s="219">
        <v>0</v>
      </c>
      <c r="F206" s="220">
        <f t="shared" si="56"/>
        <v>0</v>
      </c>
      <c r="G206" s="220">
        <f t="shared" si="57"/>
        <v>0</v>
      </c>
      <c r="I206" s="233"/>
    </row>
    <row r="207" spans="1:9" ht="15.75" customHeight="1" x14ac:dyDescent="0.3">
      <c r="A207" s="215">
        <f t="shared" si="53"/>
        <v>171</v>
      </c>
      <c r="B207" s="223" t="s">
        <v>1073</v>
      </c>
      <c r="C207" s="215" t="s">
        <v>254</v>
      </c>
      <c r="D207" s="232">
        <v>45</v>
      </c>
      <c r="E207" s="219">
        <v>0</v>
      </c>
      <c r="F207" s="220">
        <f t="shared" si="56"/>
        <v>0</v>
      </c>
      <c r="G207" s="220">
        <f t="shared" si="57"/>
        <v>0</v>
      </c>
      <c r="I207" s="233"/>
    </row>
    <row r="208" spans="1:9" ht="19.5" customHeight="1" x14ac:dyDescent="0.3">
      <c r="A208" s="87"/>
      <c r="B208" s="226" t="s">
        <v>1002</v>
      </c>
      <c r="C208" s="87"/>
      <c r="D208" s="262"/>
      <c r="E208" s="171"/>
      <c r="F208" s="103"/>
      <c r="G208" s="103"/>
      <c r="I208" s="236"/>
    </row>
    <row r="209" spans="1:9" ht="19.5" customHeight="1" x14ac:dyDescent="0.3">
      <c r="A209" s="215">
        <f>A188+1</f>
        <v>155</v>
      </c>
      <c r="B209" s="223" t="s">
        <v>1003</v>
      </c>
      <c r="C209" s="215" t="s">
        <v>220</v>
      </c>
      <c r="D209" s="232">
        <v>2</v>
      </c>
      <c r="E209" s="219">
        <v>0</v>
      </c>
      <c r="F209" s="220">
        <f t="shared" ref="F209:F210" si="58">ROUND(E209*D209,2)</f>
        <v>0</v>
      </c>
      <c r="G209" s="220">
        <f t="shared" ref="G209:G210" si="59">ROUND(F209*1.2,2)</f>
        <v>0</v>
      </c>
      <c r="I209" s="236"/>
    </row>
    <row r="210" spans="1:9" ht="19.5" customHeight="1" x14ac:dyDescent="0.3">
      <c r="A210" s="87">
        <f>A209+1</f>
        <v>156</v>
      </c>
      <c r="B210" s="244" t="s">
        <v>1004</v>
      </c>
      <c r="C210" s="87" t="s">
        <v>220</v>
      </c>
      <c r="D210" s="247" t="s">
        <v>760</v>
      </c>
      <c r="E210" s="246">
        <v>15180.000000000002</v>
      </c>
      <c r="F210" s="103">
        <f t="shared" si="58"/>
        <v>30360</v>
      </c>
      <c r="G210" s="103">
        <f t="shared" si="59"/>
        <v>36432</v>
      </c>
      <c r="I210" s="236"/>
    </row>
    <row r="211" spans="1:9" ht="19.5" customHeight="1" x14ac:dyDescent="0.3">
      <c r="A211" s="215">
        <f>A210+1</f>
        <v>157</v>
      </c>
      <c r="B211" s="223" t="s">
        <v>1005</v>
      </c>
      <c r="C211" s="215" t="s">
        <v>220</v>
      </c>
      <c r="D211" s="235" t="s">
        <v>760</v>
      </c>
      <c r="E211" s="219">
        <v>0</v>
      </c>
      <c r="F211" s="220">
        <f t="shared" ref="F211" si="60">ROUND(E211*D211,2)</f>
        <v>0</v>
      </c>
      <c r="G211" s="220">
        <f t="shared" ref="G211" si="61">ROUND(F211*1.2,2)</f>
        <v>0</v>
      </c>
      <c r="I211" s="236"/>
    </row>
    <row r="212" spans="1:9" ht="19.5" customHeight="1" x14ac:dyDescent="0.3">
      <c r="A212" s="215">
        <f>A211+1</f>
        <v>158</v>
      </c>
      <c r="B212" s="223" t="s">
        <v>1006</v>
      </c>
      <c r="C212" s="215" t="s">
        <v>220</v>
      </c>
      <c r="D212" s="235" t="s">
        <v>760</v>
      </c>
      <c r="E212" s="219">
        <v>0</v>
      </c>
      <c r="F212" s="220">
        <f t="shared" ref="F212" si="62">ROUND(E212*D212,2)</f>
        <v>0</v>
      </c>
      <c r="G212" s="220">
        <f t="shared" ref="G212" si="63">ROUND(F212*1.2,2)</f>
        <v>0</v>
      </c>
      <c r="I212" s="236"/>
    </row>
    <row r="213" spans="1:9" ht="19.5" customHeight="1" x14ac:dyDescent="0.3">
      <c r="A213" s="215">
        <f>A212+1</f>
        <v>159</v>
      </c>
      <c r="B213" s="223" t="s">
        <v>1007</v>
      </c>
      <c r="C213" s="215" t="s">
        <v>220</v>
      </c>
      <c r="D213" s="235" t="s">
        <v>760</v>
      </c>
      <c r="E213" s="219">
        <v>0</v>
      </c>
      <c r="F213" s="220">
        <f t="shared" ref="F213" si="64">ROUND(E213*D213,2)</f>
        <v>0</v>
      </c>
      <c r="G213" s="220">
        <f t="shared" ref="G213" si="65">ROUND(F213*1.2,2)</f>
        <v>0</v>
      </c>
      <c r="I213" s="236"/>
    </row>
    <row r="214" spans="1:9" ht="19.5" customHeight="1" x14ac:dyDescent="0.3">
      <c r="A214" s="215">
        <f>A213+1</f>
        <v>160</v>
      </c>
      <c r="B214" s="223" t="s">
        <v>1008</v>
      </c>
      <c r="C214" s="215" t="s">
        <v>220</v>
      </c>
      <c r="D214" s="235" t="s">
        <v>757</v>
      </c>
      <c r="E214" s="219">
        <v>0</v>
      </c>
      <c r="F214" s="220">
        <f t="shared" ref="F214" si="66">ROUND(E214*D214,2)</f>
        <v>0</v>
      </c>
      <c r="G214" s="220">
        <f t="shared" ref="G214" si="67">ROUND(F214*1.2,2)</f>
        <v>0</v>
      </c>
      <c r="I214" s="236"/>
    </row>
    <row r="215" spans="1:9" ht="19.5" customHeight="1" x14ac:dyDescent="0.3">
      <c r="A215" s="87"/>
      <c r="B215" s="261" t="s">
        <v>1011</v>
      </c>
      <c r="C215" s="87"/>
      <c r="D215" s="262"/>
      <c r="E215" s="171"/>
      <c r="F215" s="103"/>
      <c r="G215" s="103"/>
      <c r="H215" s="210"/>
      <c r="I215" s="233"/>
    </row>
    <row r="216" spans="1:9" ht="19.5" customHeight="1" x14ac:dyDescent="0.3">
      <c r="A216" s="215">
        <f>A214+1</f>
        <v>161</v>
      </c>
      <c r="B216" s="223" t="s">
        <v>1000</v>
      </c>
      <c r="C216" s="215" t="s">
        <v>193</v>
      </c>
      <c r="D216" s="234">
        <v>0.34</v>
      </c>
      <c r="E216" s="219">
        <v>0</v>
      </c>
      <c r="F216" s="220">
        <f t="shared" ref="F216:F222" si="68">ROUND(E216*D216,2)</f>
        <v>0</v>
      </c>
      <c r="G216" s="220">
        <f t="shared" ref="G216:G222" si="69">ROUND(F216*1.2,2)</f>
        <v>0</v>
      </c>
      <c r="I216" s="233"/>
    </row>
    <row r="217" spans="1:9" ht="19.5" customHeight="1" x14ac:dyDescent="0.3">
      <c r="A217" s="87">
        <f>A216+1</f>
        <v>162</v>
      </c>
      <c r="B217" s="244" t="s">
        <v>1015</v>
      </c>
      <c r="C217" s="87" t="s">
        <v>254</v>
      </c>
      <c r="D217" s="260">
        <v>30.1</v>
      </c>
      <c r="E217" s="171">
        <v>85</v>
      </c>
      <c r="F217" s="103">
        <f t="shared" si="68"/>
        <v>2558.5</v>
      </c>
      <c r="G217" s="103">
        <f t="shared" si="69"/>
        <v>3070.2</v>
      </c>
      <c r="I217" s="233"/>
    </row>
    <row r="218" spans="1:9" ht="19.5" customHeight="1" x14ac:dyDescent="0.3">
      <c r="A218" s="215">
        <f>A217+1</f>
        <v>163</v>
      </c>
      <c r="B218" s="223" t="s">
        <v>1010</v>
      </c>
      <c r="C218" s="215" t="s">
        <v>431</v>
      </c>
      <c r="D218" s="235" t="s">
        <v>1009</v>
      </c>
      <c r="E218" s="219">
        <v>0</v>
      </c>
      <c r="F218" s="220">
        <f t="shared" si="68"/>
        <v>0</v>
      </c>
      <c r="G218" s="220">
        <f t="shared" si="69"/>
        <v>0</v>
      </c>
      <c r="I218" s="236"/>
    </row>
    <row r="219" spans="1:9" ht="19.5" customHeight="1" x14ac:dyDescent="0.3">
      <c r="A219" s="87">
        <f>A217+1</f>
        <v>163</v>
      </c>
      <c r="B219" s="244" t="s">
        <v>1065</v>
      </c>
      <c r="C219" s="87" t="s">
        <v>387</v>
      </c>
      <c r="D219" s="260">
        <f>54.1*0.25</f>
        <v>13.525</v>
      </c>
      <c r="E219" s="171">
        <v>250</v>
      </c>
      <c r="F219" s="103">
        <f t="shared" si="68"/>
        <v>3381.25</v>
      </c>
      <c r="G219" s="103">
        <f t="shared" si="69"/>
        <v>4057.5</v>
      </c>
      <c r="H219" s="210"/>
      <c r="I219" s="233"/>
    </row>
    <row r="220" spans="1:9" ht="19.5" customHeight="1" x14ac:dyDescent="0.3">
      <c r="A220" s="87">
        <f t="shared" ref="A220:A223" si="70">A219+1</f>
        <v>164</v>
      </c>
      <c r="B220" s="244" t="s">
        <v>1064</v>
      </c>
      <c r="C220" s="87" t="s">
        <v>254</v>
      </c>
      <c r="D220" s="260">
        <f>0.7*54.1*2</f>
        <v>75.739999999999995</v>
      </c>
      <c r="E220" s="171">
        <v>312</v>
      </c>
      <c r="F220" s="103">
        <f t="shared" si="68"/>
        <v>23630.880000000001</v>
      </c>
      <c r="G220" s="103">
        <f t="shared" si="69"/>
        <v>28357.06</v>
      </c>
      <c r="I220" s="233"/>
    </row>
    <row r="221" spans="1:9" ht="15.6" x14ac:dyDescent="0.3">
      <c r="A221" s="87">
        <f t="shared" si="70"/>
        <v>165</v>
      </c>
      <c r="B221" s="244" t="s">
        <v>402</v>
      </c>
      <c r="C221" s="87" t="s">
        <v>254</v>
      </c>
      <c r="D221" s="153">
        <v>40</v>
      </c>
      <c r="E221" s="171">
        <v>1376</v>
      </c>
      <c r="F221" s="103">
        <f t="shared" si="68"/>
        <v>55040</v>
      </c>
      <c r="G221" s="103">
        <f t="shared" si="69"/>
        <v>66048</v>
      </c>
    </row>
    <row r="222" spans="1:9" ht="15.6" x14ac:dyDescent="0.3">
      <c r="A222" s="87">
        <f t="shared" si="70"/>
        <v>166</v>
      </c>
      <c r="B222" s="244" t="s">
        <v>403</v>
      </c>
      <c r="C222" s="87" t="s">
        <v>254</v>
      </c>
      <c r="D222" s="153">
        <v>80</v>
      </c>
      <c r="E222" s="171">
        <v>1518.0000000000002</v>
      </c>
      <c r="F222" s="103">
        <f t="shared" si="68"/>
        <v>121440</v>
      </c>
      <c r="G222" s="103">
        <f t="shared" si="69"/>
        <v>145728</v>
      </c>
    </row>
    <row r="223" spans="1:9" ht="15.6" x14ac:dyDescent="0.3">
      <c r="A223" s="215">
        <f t="shared" si="70"/>
        <v>167</v>
      </c>
      <c r="B223" s="223" t="s">
        <v>1074</v>
      </c>
      <c r="C223" s="215" t="s">
        <v>193</v>
      </c>
      <c r="D223" s="225">
        <v>0.2</v>
      </c>
      <c r="E223" s="219">
        <v>0</v>
      </c>
      <c r="F223" s="220">
        <f t="shared" ref="F223" si="71">ROUND(E223*D223,2)</f>
        <v>0</v>
      </c>
      <c r="G223" s="220">
        <f t="shared" ref="G223" si="72">ROUND(F223*1.2,2)</f>
        <v>0</v>
      </c>
    </row>
    <row r="224" spans="1:9" ht="19.5" customHeight="1" x14ac:dyDescent="0.3">
      <c r="A224" s="87"/>
      <c r="B224" s="261" t="s">
        <v>983</v>
      </c>
      <c r="C224" s="87"/>
      <c r="D224" s="262"/>
      <c r="E224" s="171"/>
      <c r="F224" s="103"/>
      <c r="G224" s="103"/>
      <c r="I224" s="233"/>
    </row>
    <row r="225" spans="1:9" ht="19.5" customHeight="1" x14ac:dyDescent="0.3">
      <c r="A225" s="215">
        <f>A188+1</f>
        <v>155</v>
      </c>
      <c r="B225" s="223" t="s">
        <v>1000</v>
      </c>
      <c r="C225" s="215" t="s">
        <v>193</v>
      </c>
      <c r="D225" s="234">
        <v>9.9</v>
      </c>
      <c r="E225" s="219">
        <v>0</v>
      </c>
      <c r="F225" s="220">
        <f t="shared" ref="F225:F226" si="73">ROUND(E225*D225,2)</f>
        <v>0</v>
      </c>
      <c r="G225" s="220">
        <f t="shared" ref="G225:G226" si="74">ROUND(F225*1.2,2)</f>
        <v>0</v>
      </c>
      <c r="I225" s="236"/>
    </row>
    <row r="226" spans="1:9" ht="19.5" customHeight="1" x14ac:dyDescent="0.3">
      <c r="A226" s="215">
        <f>A225+1</f>
        <v>156</v>
      </c>
      <c r="B226" s="223" t="s">
        <v>1001</v>
      </c>
      <c r="C226" s="215" t="s">
        <v>193</v>
      </c>
      <c r="D226" s="234">
        <v>1.7</v>
      </c>
      <c r="E226" s="219">
        <v>0</v>
      </c>
      <c r="F226" s="220">
        <f t="shared" si="73"/>
        <v>0</v>
      </c>
      <c r="G226" s="220">
        <f t="shared" si="74"/>
        <v>0</v>
      </c>
      <c r="I226" s="236"/>
    </row>
    <row r="227" spans="1:9" ht="19.5" customHeight="1" x14ac:dyDescent="0.3">
      <c r="A227" s="87">
        <f t="shared" ref="A227:A241" si="75">A226+1</f>
        <v>157</v>
      </c>
      <c r="B227" s="244" t="s">
        <v>984</v>
      </c>
      <c r="C227" s="87" t="s">
        <v>254</v>
      </c>
      <c r="D227" s="260">
        <f>5.8*62</f>
        <v>359.59999999999997</v>
      </c>
      <c r="E227" s="171">
        <v>85</v>
      </c>
      <c r="F227" s="103">
        <f t="shared" ref="F227" si="76">ROUND(E227*D227,2)</f>
        <v>30566</v>
      </c>
      <c r="G227" s="103">
        <f t="shared" ref="G227" si="77">ROUND(F227*1.2,2)</f>
        <v>36679.199999999997</v>
      </c>
      <c r="I227" s="236"/>
    </row>
    <row r="228" spans="1:9" ht="19.5" customHeight="1" x14ac:dyDescent="0.3">
      <c r="A228" s="87">
        <f t="shared" si="75"/>
        <v>158</v>
      </c>
      <c r="B228" s="244" t="s">
        <v>985</v>
      </c>
      <c r="C228" s="87" t="s">
        <v>254</v>
      </c>
      <c r="D228" s="260">
        <f>24*2.9</f>
        <v>69.599999999999994</v>
      </c>
      <c r="E228" s="171">
        <v>85</v>
      </c>
      <c r="F228" s="103">
        <f t="shared" ref="F228:F238" si="78">ROUND(E228*D228,2)</f>
        <v>5916</v>
      </c>
      <c r="G228" s="103">
        <f t="shared" ref="G228:G238" si="79">ROUND(F228*1.2,2)</f>
        <v>7099.2</v>
      </c>
      <c r="I228" s="236"/>
    </row>
    <row r="229" spans="1:9" ht="19.5" customHeight="1" x14ac:dyDescent="0.3">
      <c r="A229" s="87">
        <f t="shared" si="75"/>
        <v>159</v>
      </c>
      <c r="B229" s="244" t="s">
        <v>986</v>
      </c>
      <c r="C229" s="87" t="s">
        <v>254</v>
      </c>
      <c r="D229" s="260">
        <f>144*2.1</f>
        <v>302.40000000000003</v>
      </c>
      <c r="E229" s="171">
        <v>85</v>
      </c>
      <c r="F229" s="103">
        <f t="shared" si="78"/>
        <v>25704</v>
      </c>
      <c r="G229" s="103">
        <f t="shared" si="79"/>
        <v>30844.799999999999</v>
      </c>
      <c r="I229" s="236"/>
    </row>
    <row r="230" spans="1:9" ht="19.5" customHeight="1" x14ac:dyDescent="0.3">
      <c r="A230" s="87">
        <f t="shared" si="75"/>
        <v>160</v>
      </c>
      <c r="B230" s="244" t="s">
        <v>987</v>
      </c>
      <c r="C230" s="87" t="s">
        <v>254</v>
      </c>
      <c r="D230" s="260">
        <f>48*2.3</f>
        <v>110.39999999999999</v>
      </c>
      <c r="E230" s="171">
        <v>85</v>
      </c>
      <c r="F230" s="103">
        <f t="shared" si="78"/>
        <v>9384</v>
      </c>
      <c r="G230" s="103">
        <f t="shared" si="79"/>
        <v>11260.8</v>
      </c>
      <c r="I230" s="236"/>
    </row>
    <row r="231" spans="1:9" ht="19.5" customHeight="1" x14ac:dyDescent="0.3">
      <c r="A231" s="87">
        <f t="shared" si="75"/>
        <v>161</v>
      </c>
      <c r="B231" s="244" t="s">
        <v>988</v>
      </c>
      <c r="C231" s="87" t="s">
        <v>254</v>
      </c>
      <c r="D231" s="260">
        <f>36*0.5</f>
        <v>18</v>
      </c>
      <c r="E231" s="171">
        <v>85</v>
      </c>
      <c r="F231" s="103">
        <f t="shared" si="78"/>
        <v>1530</v>
      </c>
      <c r="G231" s="103">
        <f t="shared" si="79"/>
        <v>1836</v>
      </c>
      <c r="I231" s="236"/>
    </row>
    <row r="232" spans="1:9" ht="19.5" customHeight="1" x14ac:dyDescent="0.3">
      <c r="A232" s="87">
        <f t="shared" si="75"/>
        <v>162</v>
      </c>
      <c r="B232" s="244" t="s">
        <v>989</v>
      </c>
      <c r="C232" s="87" t="s">
        <v>254</v>
      </c>
      <c r="D232" s="260">
        <f>48*1.2</f>
        <v>57.599999999999994</v>
      </c>
      <c r="E232" s="171">
        <v>85</v>
      </c>
      <c r="F232" s="103">
        <f t="shared" si="78"/>
        <v>4896</v>
      </c>
      <c r="G232" s="103">
        <f t="shared" si="79"/>
        <v>5875.2</v>
      </c>
      <c r="I232" s="236"/>
    </row>
    <row r="233" spans="1:9" ht="19.5" customHeight="1" x14ac:dyDescent="0.3">
      <c r="A233" s="87">
        <f t="shared" si="75"/>
        <v>163</v>
      </c>
      <c r="B233" s="244" t="s">
        <v>990</v>
      </c>
      <c r="C233" s="87" t="s">
        <v>254</v>
      </c>
      <c r="D233" s="260">
        <f>144*1.8</f>
        <v>259.2</v>
      </c>
      <c r="E233" s="171">
        <v>85</v>
      </c>
      <c r="F233" s="103">
        <f t="shared" si="78"/>
        <v>22032</v>
      </c>
      <c r="G233" s="103">
        <f t="shared" si="79"/>
        <v>26438.400000000001</v>
      </c>
      <c r="I233" s="236"/>
    </row>
    <row r="234" spans="1:9" ht="19.5" customHeight="1" x14ac:dyDescent="0.3">
      <c r="A234" s="87">
        <f t="shared" si="75"/>
        <v>164</v>
      </c>
      <c r="B234" s="244" t="s">
        <v>991</v>
      </c>
      <c r="C234" s="87" t="s">
        <v>254</v>
      </c>
      <c r="D234" s="260">
        <f>48*1.2</f>
        <v>57.599999999999994</v>
      </c>
      <c r="E234" s="171">
        <v>85</v>
      </c>
      <c r="F234" s="103">
        <f t="shared" si="78"/>
        <v>4896</v>
      </c>
      <c r="G234" s="103">
        <f t="shared" si="79"/>
        <v>5875.2</v>
      </c>
      <c r="I234" s="236"/>
    </row>
    <row r="235" spans="1:9" ht="19.5" customHeight="1" x14ac:dyDescent="0.3">
      <c r="A235" s="87">
        <f t="shared" si="75"/>
        <v>165</v>
      </c>
      <c r="B235" s="244" t="s">
        <v>992</v>
      </c>
      <c r="C235" s="87" t="s">
        <v>254</v>
      </c>
      <c r="D235" s="260">
        <f>186*0.09</f>
        <v>16.739999999999998</v>
      </c>
      <c r="E235" s="171">
        <v>85</v>
      </c>
      <c r="F235" s="103">
        <f t="shared" si="78"/>
        <v>1422.9</v>
      </c>
      <c r="G235" s="103">
        <f t="shared" si="79"/>
        <v>1707.48</v>
      </c>
      <c r="I235" s="236"/>
    </row>
    <row r="236" spans="1:9" ht="19.5" customHeight="1" x14ac:dyDescent="0.3">
      <c r="A236" s="87">
        <f t="shared" si="75"/>
        <v>166</v>
      </c>
      <c r="B236" s="244" t="s">
        <v>993</v>
      </c>
      <c r="C236" s="87" t="s">
        <v>254</v>
      </c>
      <c r="D236" s="260">
        <f>80*3.8</f>
        <v>304</v>
      </c>
      <c r="E236" s="171">
        <v>85</v>
      </c>
      <c r="F236" s="103">
        <f t="shared" si="78"/>
        <v>25840</v>
      </c>
      <c r="G236" s="103">
        <f t="shared" si="79"/>
        <v>31008</v>
      </c>
      <c r="I236" s="236"/>
    </row>
    <row r="237" spans="1:9" ht="19.5" customHeight="1" x14ac:dyDescent="0.3">
      <c r="A237" s="87">
        <f t="shared" si="75"/>
        <v>167</v>
      </c>
      <c r="B237" s="244" t="s">
        <v>994</v>
      </c>
      <c r="C237" s="87" t="s">
        <v>254</v>
      </c>
      <c r="D237" s="260">
        <f>12*3.8</f>
        <v>45.599999999999994</v>
      </c>
      <c r="E237" s="171">
        <v>85</v>
      </c>
      <c r="F237" s="103">
        <f t="shared" si="78"/>
        <v>3876</v>
      </c>
      <c r="G237" s="103">
        <f t="shared" si="79"/>
        <v>4651.2</v>
      </c>
      <c r="I237" s="236"/>
    </row>
    <row r="238" spans="1:9" ht="19.5" customHeight="1" x14ac:dyDescent="0.3">
      <c r="A238" s="87">
        <f t="shared" si="75"/>
        <v>168</v>
      </c>
      <c r="B238" s="244" t="s">
        <v>995</v>
      </c>
      <c r="C238" s="87" t="s">
        <v>254</v>
      </c>
      <c r="D238" s="260">
        <f>12*1.3</f>
        <v>15.600000000000001</v>
      </c>
      <c r="E238" s="171">
        <v>85</v>
      </c>
      <c r="F238" s="103">
        <f t="shared" si="78"/>
        <v>1326</v>
      </c>
      <c r="G238" s="103">
        <f t="shared" si="79"/>
        <v>1591.2</v>
      </c>
      <c r="I238" s="236"/>
    </row>
    <row r="239" spans="1:9" ht="19.5" customHeight="1" x14ac:dyDescent="0.3">
      <c r="A239" s="215">
        <f t="shared" si="75"/>
        <v>169</v>
      </c>
      <c r="B239" s="223" t="s">
        <v>997</v>
      </c>
      <c r="C239" s="215" t="s">
        <v>254</v>
      </c>
      <c r="D239" s="234">
        <f>10.4*3</f>
        <v>31.200000000000003</v>
      </c>
      <c r="E239" s="219">
        <v>0</v>
      </c>
      <c r="F239" s="220">
        <f t="shared" ref="F239:F241" si="80">ROUND(E239*D239,2)</f>
        <v>0</v>
      </c>
      <c r="G239" s="220">
        <f t="shared" ref="G239:G241" si="81">ROUND(F239*1.2,2)</f>
        <v>0</v>
      </c>
      <c r="I239" s="236"/>
    </row>
    <row r="240" spans="1:9" ht="19.5" customHeight="1" x14ac:dyDescent="0.3">
      <c r="A240" s="215">
        <f t="shared" si="75"/>
        <v>170</v>
      </c>
      <c r="B240" s="223" t="s">
        <v>998</v>
      </c>
      <c r="C240" s="215" t="s">
        <v>254</v>
      </c>
      <c r="D240" s="234">
        <f>2.9*2</f>
        <v>5.8</v>
      </c>
      <c r="E240" s="219">
        <v>0</v>
      </c>
      <c r="F240" s="220">
        <f t="shared" si="80"/>
        <v>0</v>
      </c>
      <c r="G240" s="220">
        <f t="shared" si="81"/>
        <v>0</v>
      </c>
      <c r="I240" s="233"/>
    </row>
    <row r="241" spans="1:9" ht="19.5" customHeight="1" x14ac:dyDescent="0.3">
      <c r="A241" s="215">
        <f t="shared" si="75"/>
        <v>171</v>
      </c>
      <c r="B241" s="223" t="s">
        <v>999</v>
      </c>
      <c r="C241" s="215" t="s">
        <v>254</v>
      </c>
      <c r="D241" s="234">
        <v>1.6</v>
      </c>
      <c r="E241" s="219">
        <v>0</v>
      </c>
      <c r="F241" s="220">
        <f t="shared" si="80"/>
        <v>0</v>
      </c>
      <c r="G241" s="220">
        <f t="shared" si="81"/>
        <v>0</v>
      </c>
      <c r="I241" s="233"/>
    </row>
    <row r="242" spans="1:9" ht="19.5" customHeight="1" x14ac:dyDescent="0.3">
      <c r="A242" s="87"/>
      <c r="B242" s="261" t="s">
        <v>996</v>
      </c>
      <c r="C242" s="87"/>
      <c r="D242" s="262"/>
      <c r="E242" s="171"/>
      <c r="F242" s="103"/>
      <c r="G242" s="103"/>
      <c r="I242" s="236"/>
    </row>
    <row r="243" spans="1:9" ht="19.5" customHeight="1" x14ac:dyDescent="0.3">
      <c r="A243" s="87">
        <f>A241+1</f>
        <v>172</v>
      </c>
      <c r="B243" s="244" t="s">
        <v>1013</v>
      </c>
      <c r="C243" s="87" t="s">
        <v>254</v>
      </c>
      <c r="D243" s="260">
        <f>1.22*3</f>
        <v>3.66</v>
      </c>
      <c r="E243" s="171">
        <v>85</v>
      </c>
      <c r="F243" s="103">
        <f t="shared" ref="F243:F244" si="82">ROUND(E243*D243,2)</f>
        <v>311.10000000000002</v>
      </c>
      <c r="G243" s="103">
        <f t="shared" ref="G243:G244" si="83">ROUND(F243*1.2,2)</f>
        <v>373.32</v>
      </c>
      <c r="I243" s="236"/>
    </row>
    <row r="244" spans="1:9" ht="19.5" customHeight="1" x14ac:dyDescent="0.3">
      <c r="A244" s="87">
        <f>A243+1</f>
        <v>173</v>
      </c>
      <c r="B244" s="244" t="s">
        <v>1014</v>
      </c>
      <c r="C244" s="87" t="s">
        <v>254</v>
      </c>
      <c r="D244" s="260">
        <f>0.27*16</f>
        <v>4.32</v>
      </c>
      <c r="E244" s="171">
        <v>85</v>
      </c>
      <c r="F244" s="103">
        <f t="shared" si="82"/>
        <v>367.2</v>
      </c>
      <c r="G244" s="103">
        <f t="shared" si="83"/>
        <v>440.64</v>
      </c>
      <c r="I244" s="236"/>
    </row>
    <row r="245" spans="1:9" ht="19.5" customHeight="1" x14ac:dyDescent="0.3">
      <c r="A245" s="87"/>
      <c r="B245" s="261" t="s">
        <v>1016</v>
      </c>
      <c r="C245" s="87"/>
      <c r="D245" s="262"/>
      <c r="E245" s="171"/>
      <c r="F245" s="103"/>
      <c r="G245" s="103"/>
      <c r="I245" s="233"/>
    </row>
    <row r="246" spans="1:9" ht="19.5" customHeight="1" x14ac:dyDescent="0.3">
      <c r="A246" s="215">
        <f>A244+1</f>
        <v>174</v>
      </c>
      <c r="B246" s="223" t="s">
        <v>1017</v>
      </c>
      <c r="C246" s="215" t="s">
        <v>194</v>
      </c>
      <c r="D246" s="234">
        <v>23.55</v>
      </c>
      <c r="E246" s="219">
        <v>0</v>
      </c>
      <c r="F246" s="220">
        <f t="shared" ref="F246:F248" si="84">ROUND(E246*D246,2)</f>
        <v>0</v>
      </c>
      <c r="G246" s="220">
        <f t="shared" ref="G246:G248" si="85">ROUND(F246*1.2,2)</f>
        <v>0</v>
      </c>
      <c r="I246" s="233"/>
    </row>
    <row r="247" spans="1:9" ht="19.5" customHeight="1" x14ac:dyDescent="0.3">
      <c r="A247" s="87">
        <f>A246+1</f>
        <v>175</v>
      </c>
      <c r="B247" s="244" t="s">
        <v>1018</v>
      </c>
      <c r="C247" s="87" t="s">
        <v>193</v>
      </c>
      <c r="D247" s="264">
        <v>0.621</v>
      </c>
      <c r="E247" s="171">
        <v>5060</v>
      </c>
      <c r="F247" s="103">
        <f t="shared" si="84"/>
        <v>3142.26</v>
      </c>
      <c r="G247" s="103">
        <f t="shared" si="85"/>
        <v>3770.71</v>
      </c>
      <c r="I247" s="233"/>
    </row>
    <row r="248" spans="1:9" ht="19.5" customHeight="1" x14ac:dyDescent="0.3">
      <c r="A248" s="215">
        <f>A247+1</f>
        <v>176</v>
      </c>
      <c r="B248" s="223" t="s">
        <v>1019</v>
      </c>
      <c r="C248" s="215" t="s">
        <v>431</v>
      </c>
      <c r="D248" s="234">
        <f>0.3</f>
        <v>0.3</v>
      </c>
      <c r="E248" s="219">
        <v>0</v>
      </c>
      <c r="F248" s="220">
        <f t="shared" si="84"/>
        <v>0</v>
      </c>
      <c r="G248" s="220">
        <f t="shared" si="85"/>
        <v>0</v>
      </c>
      <c r="I248" s="233"/>
    </row>
    <row r="249" spans="1:9" ht="19.5" customHeight="1" x14ac:dyDescent="0.3">
      <c r="A249" s="87"/>
      <c r="B249" s="226" t="s">
        <v>1020</v>
      </c>
      <c r="C249" s="87"/>
      <c r="D249" s="262"/>
      <c r="E249" s="171"/>
      <c r="F249" s="103"/>
      <c r="G249" s="103"/>
      <c r="I249" s="233"/>
    </row>
    <row r="250" spans="1:9" ht="19.5" customHeight="1" x14ac:dyDescent="0.3">
      <c r="A250" s="215">
        <f>A248+1</f>
        <v>177</v>
      </c>
      <c r="B250" s="223" t="s">
        <v>1003</v>
      </c>
      <c r="C250" s="215" t="s">
        <v>220</v>
      </c>
      <c r="D250" s="232">
        <v>1</v>
      </c>
      <c r="E250" s="219">
        <v>0</v>
      </c>
      <c r="F250" s="220">
        <f t="shared" ref="F250" si="86">ROUND(E250*D250,2)</f>
        <v>0</v>
      </c>
      <c r="G250" s="220">
        <f t="shared" ref="G250" si="87">ROUND(F250*1.2,2)</f>
        <v>0</v>
      </c>
      <c r="I250" s="233"/>
    </row>
    <row r="251" spans="1:9" ht="19.5" customHeight="1" x14ac:dyDescent="0.3">
      <c r="A251" s="215">
        <f t="shared" ref="A251:A256" si="88">A250+1</f>
        <v>178</v>
      </c>
      <c r="B251" s="223" t="s">
        <v>1021</v>
      </c>
      <c r="C251" s="215" t="s">
        <v>220</v>
      </c>
      <c r="D251" s="232">
        <v>1</v>
      </c>
      <c r="E251" s="219">
        <v>0</v>
      </c>
      <c r="F251" s="220">
        <f t="shared" ref="F251" si="89">ROUND(E251*D251,2)</f>
        <v>0</v>
      </c>
      <c r="G251" s="220">
        <f t="shared" ref="G251" si="90">ROUND(F251*1.2,2)</f>
        <v>0</v>
      </c>
      <c r="I251" s="233"/>
    </row>
    <row r="252" spans="1:9" ht="19.5" customHeight="1" x14ac:dyDescent="0.3">
      <c r="A252" s="215">
        <f t="shared" si="88"/>
        <v>179</v>
      </c>
      <c r="B252" s="223" t="s">
        <v>1022</v>
      </c>
      <c r="C252" s="215" t="s">
        <v>220</v>
      </c>
      <c r="D252" s="232">
        <v>1</v>
      </c>
      <c r="E252" s="219">
        <v>0</v>
      </c>
      <c r="F252" s="220">
        <f t="shared" ref="F252" si="91">ROUND(E252*D252,2)</f>
        <v>0</v>
      </c>
      <c r="G252" s="220">
        <f t="shared" ref="G252" si="92">ROUND(F252*1.2,2)</f>
        <v>0</v>
      </c>
      <c r="I252" s="233"/>
    </row>
    <row r="253" spans="1:9" ht="19.5" customHeight="1" x14ac:dyDescent="0.3">
      <c r="A253" s="215">
        <f t="shared" si="88"/>
        <v>180</v>
      </c>
      <c r="B253" s="223" t="s">
        <v>1006</v>
      </c>
      <c r="C253" s="215" t="s">
        <v>220</v>
      </c>
      <c r="D253" s="232">
        <v>1</v>
      </c>
      <c r="E253" s="219">
        <v>0</v>
      </c>
      <c r="F253" s="220">
        <f t="shared" ref="F253" si="93">ROUND(E253*D253,2)</f>
        <v>0</v>
      </c>
      <c r="G253" s="220">
        <f t="shared" ref="G253" si="94">ROUND(F253*1.2,2)</f>
        <v>0</v>
      </c>
      <c r="I253" s="233"/>
    </row>
    <row r="254" spans="1:9" ht="19.5" customHeight="1" x14ac:dyDescent="0.3">
      <c r="A254" s="87">
        <f t="shared" si="88"/>
        <v>181</v>
      </c>
      <c r="B254" s="244" t="s">
        <v>1004</v>
      </c>
      <c r="C254" s="87" t="s">
        <v>220</v>
      </c>
      <c r="D254" s="238">
        <v>1</v>
      </c>
      <c r="E254" s="246">
        <v>15180.000000000002</v>
      </c>
      <c r="F254" s="103">
        <f t="shared" ref="F254" si="95">ROUND(E254*D254,2)</f>
        <v>15180</v>
      </c>
      <c r="G254" s="103">
        <f t="shared" ref="G254" si="96">ROUND(F254*1.2,2)</f>
        <v>18216</v>
      </c>
      <c r="I254" s="233"/>
    </row>
    <row r="255" spans="1:9" ht="19.5" customHeight="1" x14ac:dyDescent="0.3">
      <c r="A255" s="215">
        <f t="shared" si="88"/>
        <v>182</v>
      </c>
      <c r="B255" s="223" t="s">
        <v>1005</v>
      </c>
      <c r="C255" s="215" t="s">
        <v>220</v>
      </c>
      <c r="D255" s="232">
        <v>1</v>
      </c>
      <c r="E255" s="219">
        <v>0</v>
      </c>
      <c r="F255" s="220">
        <f t="shared" ref="F255:F260" si="97">ROUND(E255*D255,2)</f>
        <v>0</v>
      </c>
      <c r="G255" s="220">
        <f t="shared" ref="G255:G260" si="98">ROUND(F255*1.2,2)</f>
        <v>0</v>
      </c>
      <c r="I255" s="233"/>
    </row>
    <row r="256" spans="1:9" ht="19.5" customHeight="1" x14ac:dyDescent="0.3">
      <c r="A256" s="215">
        <f t="shared" si="88"/>
        <v>183</v>
      </c>
      <c r="B256" s="223" t="s">
        <v>1023</v>
      </c>
      <c r="C256" s="215" t="s">
        <v>254</v>
      </c>
      <c r="D256" s="232">
        <v>45</v>
      </c>
      <c r="E256" s="219">
        <v>0</v>
      </c>
      <c r="F256" s="220">
        <f t="shared" si="97"/>
        <v>0</v>
      </c>
      <c r="G256" s="220">
        <f t="shared" si="98"/>
        <v>0</v>
      </c>
      <c r="I256" s="233"/>
    </row>
    <row r="257" spans="1:9" ht="19.5" customHeight="1" x14ac:dyDescent="0.3">
      <c r="A257" s="215">
        <f t="shared" ref="A257:A266" si="99">A256+1</f>
        <v>184</v>
      </c>
      <c r="B257" s="223" t="s">
        <v>1024</v>
      </c>
      <c r="C257" s="215" t="s">
        <v>220</v>
      </c>
      <c r="D257" s="232">
        <v>3</v>
      </c>
      <c r="E257" s="219">
        <v>0</v>
      </c>
      <c r="F257" s="220">
        <f t="shared" si="97"/>
        <v>0</v>
      </c>
      <c r="G257" s="220">
        <f t="shared" si="98"/>
        <v>0</v>
      </c>
      <c r="I257" s="233"/>
    </row>
    <row r="258" spans="1:9" ht="19.5" customHeight="1" x14ac:dyDescent="0.3">
      <c r="A258" s="215">
        <f t="shared" si="99"/>
        <v>185</v>
      </c>
      <c r="B258" s="223" t="s">
        <v>970</v>
      </c>
      <c r="C258" s="215" t="s">
        <v>220</v>
      </c>
      <c r="D258" s="232">
        <v>4</v>
      </c>
      <c r="E258" s="219">
        <v>0</v>
      </c>
      <c r="F258" s="220">
        <f t="shared" si="97"/>
        <v>0</v>
      </c>
      <c r="G258" s="220">
        <f t="shared" si="98"/>
        <v>0</v>
      </c>
      <c r="I258" s="233"/>
    </row>
    <row r="259" spans="1:9" ht="19.5" customHeight="1" x14ac:dyDescent="0.3">
      <c r="A259" s="215">
        <f t="shared" si="99"/>
        <v>186</v>
      </c>
      <c r="B259" s="223" t="s">
        <v>1025</v>
      </c>
      <c r="C259" s="215" t="s">
        <v>193</v>
      </c>
      <c r="D259" s="234">
        <v>0.28000000000000003</v>
      </c>
      <c r="E259" s="219">
        <v>0</v>
      </c>
      <c r="F259" s="220">
        <f t="shared" si="97"/>
        <v>0</v>
      </c>
      <c r="G259" s="220">
        <f t="shared" si="98"/>
        <v>0</v>
      </c>
      <c r="I259" s="233"/>
    </row>
    <row r="260" spans="1:9" ht="19.5" customHeight="1" x14ac:dyDescent="0.3">
      <c r="A260" s="87">
        <f t="shared" si="99"/>
        <v>187</v>
      </c>
      <c r="B260" s="244" t="s">
        <v>1026</v>
      </c>
      <c r="C260" s="87" t="s">
        <v>193</v>
      </c>
      <c r="D260" s="260">
        <v>0.05</v>
      </c>
      <c r="E260" s="171">
        <v>6072</v>
      </c>
      <c r="F260" s="103">
        <f t="shared" si="97"/>
        <v>303.60000000000002</v>
      </c>
      <c r="G260" s="103">
        <f t="shared" si="98"/>
        <v>364.32</v>
      </c>
      <c r="I260" s="233"/>
    </row>
    <row r="261" spans="1:9" ht="19.5" customHeight="1" x14ac:dyDescent="0.3">
      <c r="A261" s="87">
        <f t="shared" si="99"/>
        <v>188</v>
      </c>
      <c r="B261" s="244" t="s">
        <v>161</v>
      </c>
      <c r="C261" s="87" t="s">
        <v>193</v>
      </c>
      <c r="D261" s="263">
        <v>0.3</v>
      </c>
      <c r="E261" s="171">
        <v>1320</v>
      </c>
      <c r="F261" s="103">
        <f t="shared" ref="F261:F262" si="100">ROUND(E261*D261,2)</f>
        <v>396</v>
      </c>
      <c r="G261" s="103">
        <f t="shared" ref="G261:G262" si="101">ROUND(F261*1.2,2)</f>
        <v>475.2</v>
      </c>
      <c r="I261" s="233"/>
    </row>
    <row r="262" spans="1:9" ht="19.5" customHeight="1" x14ac:dyDescent="0.3">
      <c r="A262" s="215">
        <f t="shared" si="99"/>
        <v>189</v>
      </c>
      <c r="B262" s="223" t="s">
        <v>971</v>
      </c>
      <c r="C262" s="215" t="s">
        <v>254</v>
      </c>
      <c r="D262" s="237">
        <v>122.7</v>
      </c>
      <c r="E262" s="219">
        <v>0</v>
      </c>
      <c r="F262" s="220">
        <f t="shared" si="100"/>
        <v>0</v>
      </c>
      <c r="G262" s="220">
        <f t="shared" si="101"/>
        <v>0</v>
      </c>
      <c r="I262" s="233"/>
    </row>
    <row r="263" spans="1:9" ht="19.5" customHeight="1" x14ac:dyDescent="0.3">
      <c r="A263" s="215">
        <f t="shared" si="99"/>
        <v>190</v>
      </c>
      <c r="B263" s="223" t="s">
        <v>1027</v>
      </c>
      <c r="C263" s="215" t="s">
        <v>220</v>
      </c>
      <c r="D263" s="232">
        <v>1</v>
      </c>
      <c r="E263" s="219">
        <v>0</v>
      </c>
      <c r="F263" s="220">
        <f t="shared" ref="F263:F266" si="102">ROUND(E263*D263,2)</f>
        <v>0</v>
      </c>
      <c r="G263" s="220">
        <f t="shared" ref="G263:G266" si="103">ROUND(F263*1.2,2)</f>
        <v>0</v>
      </c>
      <c r="I263" s="233"/>
    </row>
    <row r="264" spans="1:9" ht="19.5" customHeight="1" x14ac:dyDescent="0.3">
      <c r="A264" s="87">
        <f t="shared" si="99"/>
        <v>191</v>
      </c>
      <c r="B264" s="244" t="s">
        <v>1065</v>
      </c>
      <c r="C264" s="87" t="s">
        <v>387</v>
      </c>
      <c r="D264" s="260">
        <f>41.6*0.25</f>
        <v>10.4</v>
      </c>
      <c r="E264" s="171">
        <v>250</v>
      </c>
      <c r="F264" s="103">
        <f t="shared" si="102"/>
        <v>2600</v>
      </c>
      <c r="G264" s="103">
        <f t="shared" si="103"/>
        <v>3120</v>
      </c>
      <c r="I264" s="233"/>
    </row>
    <row r="265" spans="1:9" ht="19.5" customHeight="1" x14ac:dyDescent="0.3">
      <c r="A265" s="87">
        <f t="shared" si="99"/>
        <v>192</v>
      </c>
      <c r="B265" s="244" t="s">
        <v>1064</v>
      </c>
      <c r="C265" s="87" t="s">
        <v>254</v>
      </c>
      <c r="D265" s="260">
        <f>0.7*41.6*2</f>
        <v>58.239999999999995</v>
      </c>
      <c r="E265" s="171">
        <v>312</v>
      </c>
      <c r="F265" s="103">
        <f t="shared" si="102"/>
        <v>18170.88</v>
      </c>
      <c r="G265" s="103">
        <f t="shared" si="103"/>
        <v>21805.06</v>
      </c>
      <c r="I265" s="233"/>
    </row>
    <row r="266" spans="1:9" ht="19.5" customHeight="1" x14ac:dyDescent="0.3">
      <c r="A266" s="215">
        <f t="shared" si="99"/>
        <v>193</v>
      </c>
      <c r="B266" s="223" t="s">
        <v>972</v>
      </c>
      <c r="C266" s="215" t="s">
        <v>254</v>
      </c>
      <c r="D266" s="232">
        <v>133</v>
      </c>
      <c r="E266" s="219">
        <v>0</v>
      </c>
      <c r="F266" s="220">
        <f t="shared" si="102"/>
        <v>0</v>
      </c>
      <c r="G266" s="220">
        <f t="shared" si="103"/>
        <v>0</v>
      </c>
      <c r="I266" s="233"/>
    </row>
    <row r="267" spans="1:9" ht="19.5" customHeight="1" x14ac:dyDescent="0.3">
      <c r="A267" s="87"/>
      <c r="B267" s="226" t="s">
        <v>1054</v>
      </c>
      <c r="C267" s="87"/>
      <c r="D267" s="263"/>
      <c r="E267" s="171"/>
      <c r="F267" s="103"/>
      <c r="G267" s="103"/>
      <c r="I267" s="233"/>
    </row>
    <row r="268" spans="1:9" ht="19.5" customHeight="1" x14ac:dyDescent="0.3">
      <c r="A268" s="215">
        <f>A263+1</f>
        <v>191</v>
      </c>
      <c r="B268" s="223" t="s">
        <v>1028</v>
      </c>
      <c r="C268" s="215" t="s">
        <v>220</v>
      </c>
      <c r="D268" s="232">
        <f>1*4</f>
        <v>4</v>
      </c>
      <c r="E268" s="219">
        <v>0</v>
      </c>
      <c r="F268" s="220">
        <f t="shared" ref="F268" si="104">ROUND(E268*D268,2)</f>
        <v>0</v>
      </c>
      <c r="G268" s="220">
        <f t="shared" ref="G268" si="105">ROUND(F268*1.2,2)</f>
        <v>0</v>
      </c>
      <c r="I268" s="233"/>
    </row>
    <row r="269" spans="1:9" ht="19.5" customHeight="1" x14ac:dyDescent="0.3">
      <c r="A269" s="215">
        <f>A268+1</f>
        <v>192</v>
      </c>
      <c r="B269" s="223" t="s">
        <v>1029</v>
      </c>
      <c r="C269" s="215" t="s">
        <v>254</v>
      </c>
      <c r="D269" s="234">
        <f>0.66*4</f>
        <v>2.64</v>
      </c>
      <c r="E269" s="219">
        <v>0</v>
      </c>
      <c r="F269" s="220">
        <f t="shared" ref="F269:F271" si="106">ROUND(E269*D269,2)</f>
        <v>0</v>
      </c>
      <c r="G269" s="220">
        <f t="shared" ref="G269:G271" si="107">ROUND(F269*1.2,2)</f>
        <v>0</v>
      </c>
      <c r="I269" s="233"/>
    </row>
    <row r="270" spans="1:9" ht="19.5" customHeight="1" x14ac:dyDescent="0.3">
      <c r="A270" s="215">
        <f>A269+1</f>
        <v>193</v>
      </c>
      <c r="B270" s="223" t="s">
        <v>1030</v>
      </c>
      <c r="C270" s="215" t="s">
        <v>220</v>
      </c>
      <c r="D270" s="232">
        <f>1*4</f>
        <v>4</v>
      </c>
      <c r="E270" s="219">
        <v>0</v>
      </c>
      <c r="F270" s="220">
        <f t="shared" si="106"/>
        <v>0</v>
      </c>
      <c r="G270" s="220">
        <f t="shared" si="107"/>
        <v>0</v>
      </c>
      <c r="I270" s="233"/>
    </row>
    <row r="271" spans="1:9" ht="19.5" customHeight="1" x14ac:dyDescent="0.3">
      <c r="A271" s="215">
        <f>A270+1</f>
        <v>194</v>
      </c>
      <c r="B271" s="223" t="s">
        <v>1031</v>
      </c>
      <c r="C271" s="215" t="s">
        <v>194</v>
      </c>
      <c r="D271" s="237">
        <f>0.2*4</f>
        <v>0.8</v>
      </c>
      <c r="E271" s="219">
        <v>0</v>
      </c>
      <c r="F271" s="220">
        <f t="shared" si="106"/>
        <v>0</v>
      </c>
      <c r="G271" s="220">
        <f t="shared" si="107"/>
        <v>0</v>
      </c>
      <c r="I271" s="233"/>
    </row>
    <row r="272" spans="1:9" ht="19.5" customHeight="1" x14ac:dyDescent="0.3">
      <c r="A272" s="87">
        <f t="shared" ref="A272:A275" si="108">A271+1</f>
        <v>195</v>
      </c>
      <c r="B272" s="244" t="s">
        <v>1032</v>
      </c>
      <c r="C272" s="87" t="s">
        <v>254</v>
      </c>
      <c r="D272" s="264">
        <f>0.032*2*4</f>
        <v>0.25600000000000001</v>
      </c>
      <c r="E272" s="171">
        <v>127</v>
      </c>
      <c r="F272" s="103">
        <f t="shared" ref="F272:F275" si="109">ROUND(E272*D272,2)</f>
        <v>32.51</v>
      </c>
      <c r="G272" s="103">
        <f t="shared" ref="G272:G275" si="110">ROUND(F272*1.2,2)</f>
        <v>39.01</v>
      </c>
      <c r="I272" s="233"/>
    </row>
    <row r="273" spans="1:9" ht="19.5" customHeight="1" x14ac:dyDescent="0.3">
      <c r="A273" s="87">
        <f t="shared" si="108"/>
        <v>196</v>
      </c>
      <c r="B273" s="244" t="s">
        <v>1033</v>
      </c>
      <c r="C273" s="87" t="s">
        <v>254</v>
      </c>
      <c r="D273" s="264">
        <f>0.012*2*4</f>
        <v>9.6000000000000002E-2</v>
      </c>
      <c r="E273" s="171">
        <v>147</v>
      </c>
      <c r="F273" s="103">
        <f t="shared" si="109"/>
        <v>14.11</v>
      </c>
      <c r="G273" s="103">
        <f t="shared" si="110"/>
        <v>16.93</v>
      </c>
      <c r="I273" s="233"/>
    </row>
    <row r="274" spans="1:9" ht="19.5" customHeight="1" x14ac:dyDescent="0.3">
      <c r="A274" s="87">
        <f t="shared" si="108"/>
        <v>197</v>
      </c>
      <c r="B274" s="244" t="s">
        <v>1034</v>
      </c>
      <c r="C274" s="87" t="s">
        <v>254</v>
      </c>
      <c r="D274" s="264">
        <f>0.002*2*4</f>
        <v>1.6E-2</v>
      </c>
      <c r="E274" s="171">
        <v>197</v>
      </c>
      <c r="F274" s="103">
        <f t="shared" si="109"/>
        <v>3.15</v>
      </c>
      <c r="G274" s="103">
        <f t="shared" si="110"/>
        <v>3.78</v>
      </c>
      <c r="I274" s="233"/>
    </row>
    <row r="275" spans="1:9" ht="19.5" customHeight="1" x14ac:dyDescent="0.3">
      <c r="A275" s="87">
        <f t="shared" si="108"/>
        <v>198</v>
      </c>
      <c r="B275" s="244" t="s">
        <v>1035</v>
      </c>
      <c r="C275" s="87" t="s">
        <v>254</v>
      </c>
      <c r="D275" s="264">
        <f>0.004*2*4</f>
        <v>3.2000000000000001E-2</v>
      </c>
      <c r="E275" s="171">
        <v>197</v>
      </c>
      <c r="F275" s="103">
        <f t="shared" si="109"/>
        <v>6.3</v>
      </c>
      <c r="G275" s="103">
        <f t="shared" si="110"/>
        <v>7.56</v>
      </c>
      <c r="I275" s="233"/>
    </row>
    <row r="276" spans="1:9" ht="19.5" customHeight="1" x14ac:dyDescent="0.3">
      <c r="A276" s="87"/>
      <c r="B276" s="226" t="s">
        <v>404</v>
      </c>
      <c r="C276" s="87"/>
      <c r="D276" s="262"/>
      <c r="E276" s="171"/>
      <c r="F276" s="103"/>
      <c r="G276" s="103"/>
      <c r="I276" s="233"/>
    </row>
    <row r="277" spans="1:9" ht="24.75" customHeight="1" x14ac:dyDescent="0.3">
      <c r="A277" s="215">
        <f>A275+1</f>
        <v>199</v>
      </c>
      <c r="B277" s="223" t="s">
        <v>1046</v>
      </c>
      <c r="C277" s="215" t="s">
        <v>194</v>
      </c>
      <c r="D277" s="232">
        <v>115</v>
      </c>
      <c r="E277" s="219">
        <v>0</v>
      </c>
      <c r="F277" s="220">
        <f t="shared" ref="F277" si="111">ROUND(E277*D277,2)</f>
        <v>0</v>
      </c>
      <c r="G277" s="220">
        <f t="shared" ref="G277" si="112">ROUND(F277*1.2,2)</f>
        <v>0</v>
      </c>
      <c r="H277" s="240" t="s">
        <v>1199</v>
      </c>
      <c r="I277" s="233"/>
    </row>
    <row r="278" spans="1:9" ht="19.5" customHeight="1" x14ac:dyDescent="0.3">
      <c r="A278" s="215">
        <f>A277+1</f>
        <v>200</v>
      </c>
      <c r="B278" s="223" t="s">
        <v>1037</v>
      </c>
      <c r="C278" s="215" t="s">
        <v>194</v>
      </c>
      <c r="D278" s="232">
        <v>20</v>
      </c>
      <c r="E278" s="219">
        <v>0</v>
      </c>
      <c r="F278" s="220">
        <f t="shared" ref="F278" si="113">ROUND(E278*D278,2)</f>
        <v>0</v>
      </c>
      <c r="G278" s="220">
        <f t="shared" ref="G278" si="114">ROUND(F278*1.2,2)</f>
        <v>0</v>
      </c>
      <c r="I278" s="233"/>
    </row>
    <row r="279" spans="1:9" ht="19.5" customHeight="1" x14ac:dyDescent="0.3">
      <c r="A279" s="215">
        <f t="shared" ref="A279:A285" si="115">A278+1</f>
        <v>201</v>
      </c>
      <c r="B279" s="223" t="s">
        <v>1049</v>
      </c>
      <c r="C279" s="215" t="s">
        <v>194</v>
      </c>
      <c r="D279" s="232">
        <v>24</v>
      </c>
      <c r="E279" s="219">
        <v>0</v>
      </c>
      <c r="F279" s="220">
        <f t="shared" ref="F279" si="116">ROUND(E279*D279,2)</f>
        <v>0</v>
      </c>
      <c r="G279" s="220">
        <f t="shared" ref="G279" si="117">ROUND(F279*1.2,2)</f>
        <v>0</v>
      </c>
      <c r="I279" s="233"/>
    </row>
    <row r="280" spans="1:9" ht="19.5" customHeight="1" x14ac:dyDescent="0.3">
      <c r="A280" s="215">
        <f t="shared" si="115"/>
        <v>202</v>
      </c>
      <c r="B280" s="223" t="s">
        <v>1047</v>
      </c>
      <c r="C280" s="215" t="s">
        <v>194</v>
      </c>
      <c r="D280" s="232">
        <v>11</v>
      </c>
      <c r="E280" s="219">
        <v>0</v>
      </c>
      <c r="F280" s="220">
        <f t="shared" ref="F280" si="118">ROUND(E280*D280,2)</f>
        <v>0</v>
      </c>
      <c r="G280" s="220">
        <f t="shared" ref="G280" si="119">ROUND(F280*1.2,2)</f>
        <v>0</v>
      </c>
      <c r="I280" s="233"/>
    </row>
    <row r="281" spans="1:9" ht="19.5" customHeight="1" x14ac:dyDescent="0.3">
      <c r="A281" s="215">
        <f t="shared" si="115"/>
        <v>203</v>
      </c>
      <c r="B281" s="223" t="s">
        <v>1048</v>
      </c>
      <c r="C281" s="215" t="s">
        <v>194</v>
      </c>
      <c r="D281" s="237">
        <v>10.5</v>
      </c>
      <c r="E281" s="219">
        <v>0</v>
      </c>
      <c r="F281" s="220">
        <f t="shared" ref="F281:F282" si="120">ROUND(E281*D281,2)</f>
        <v>0</v>
      </c>
      <c r="G281" s="220">
        <f t="shared" ref="G281:G282" si="121">ROUND(F281*1.2,2)</f>
        <v>0</v>
      </c>
      <c r="H281" s="210"/>
      <c r="I281" s="233"/>
    </row>
    <row r="282" spans="1:9" ht="19.5" customHeight="1" x14ac:dyDescent="0.3">
      <c r="A282" s="215">
        <f t="shared" si="115"/>
        <v>204</v>
      </c>
      <c r="B282" s="223" t="s">
        <v>1050</v>
      </c>
      <c r="C282" s="215" t="s">
        <v>194</v>
      </c>
      <c r="D282" s="237">
        <v>2</v>
      </c>
      <c r="E282" s="219">
        <v>0</v>
      </c>
      <c r="F282" s="220">
        <f t="shared" si="120"/>
        <v>0</v>
      </c>
      <c r="G282" s="220">
        <f t="shared" si="121"/>
        <v>0</v>
      </c>
      <c r="H282" s="210"/>
      <c r="I282" s="233"/>
    </row>
    <row r="283" spans="1:9" ht="19.5" customHeight="1" x14ac:dyDescent="0.3">
      <c r="A283" s="215">
        <f t="shared" si="115"/>
        <v>205</v>
      </c>
      <c r="B283" s="223" t="s">
        <v>1038</v>
      </c>
      <c r="C283" s="215" t="s">
        <v>220</v>
      </c>
      <c r="D283" s="232">
        <f>4+12</f>
        <v>16</v>
      </c>
      <c r="E283" s="219">
        <v>0</v>
      </c>
      <c r="F283" s="220">
        <f t="shared" ref="F283:F284" si="122">ROUND(E283*D283,2)</f>
        <v>0</v>
      </c>
      <c r="G283" s="220">
        <f t="shared" ref="G283:G284" si="123">ROUND(F283*1.2,2)</f>
        <v>0</v>
      </c>
      <c r="H283" s="210"/>
      <c r="I283" s="233"/>
    </row>
    <row r="284" spans="1:9" ht="19.5" customHeight="1" x14ac:dyDescent="0.3">
      <c r="A284" s="215">
        <f t="shared" si="115"/>
        <v>206</v>
      </c>
      <c r="B284" s="223" t="s">
        <v>1051</v>
      </c>
      <c r="C284" s="215" t="s">
        <v>220</v>
      </c>
      <c r="D284" s="232">
        <v>6</v>
      </c>
      <c r="E284" s="219">
        <v>0</v>
      </c>
      <c r="F284" s="220">
        <f t="shared" si="122"/>
        <v>0</v>
      </c>
      <c r="G284" s="220">
        <f t="shared" si="123"/>
        <v>0</v>
      </c>
      <c r="H284" s="210"/>
      <c r="I284" s="233"/>
    </row>
    <row r="285" spans="1:9" ht="19.5" customHeight="1" x14ac:dyDescent="0.3">
      <c r="A285" s="215">
        <f t="shared" si="115"/>
        <v>207</v>
      </c>
      <c r="B285" s="223" t="s">
        <v>1039</v>
      </c>
      <c r="C285" s="215" t="s">
        <v>220</v>
      </c>
      <c r="D285" s="232">
        <f>4+4</f>
        <v>8</v>
      </c>
      <c r="E285" s="219">
        <v>0</v>
      </c>
      <c r="F285" s="220">
        <f t="shared" ref="F285" si="124">ROUND(E285*D285,2)</f>
        <v>0</v>
      </c>
      <c r="G285" s="220">
        <f t="shared" ref="G285" si="125">ROUND(F285*1.2,2)</f>
        <v>0</v>
      </c>
      <c r="H285" s="210"/>
      <c r="I285" s="233"/>
    </row>
    <row r="286" spans="1:9" ht="33" customHeight="1" x14ac:dyDescent="0.3">
      <c r="A286" s="215">
        <f t="shared" ref="A286:A300" si="126">A285+1</f>
        <v>208</v>
      </c>
      <c r="B286" s="223" t="s">
        <v>1040</v>
      </c>
      <c r="C286" s="215" t="s">
        <v>220</v>
      </c>
      <c r="D286" s="232">
        <f>2+2</f>
        <v>4</v>
      </c>
      <c r="E286" s="219">
        <v>0</v>
      </c>
      <c r="F286" s="220">
        <f t="shared" ref="F286" si="127">ROUND(E286*D286,2)</f>
        <v>0</v>
      </c>
      <c r="G286" s="220">
        <f t="shared" ref="G286" si="128">ROUND(F286*1.2,2)</f>
        <v>0</v>
      </c>
      <c r="I286" s="233"/>
    </row>
    <row r="287" spans="1:9" ht="33" customHeight="1" x14ac:dyDescent="0.3">
      <c r="A287" s="215">
        <f t="shared" si="126"/>
        <v>209</v>
      </c>
      <c r="B287" s="223" t="s">
        <v>1052</v>
      </c>
      <c r="C287" s="215" t="s">
        <v>220</v>
      </c>
      <c r="D287" s="232">
        <v>2</v>
      </c>
      <c r="E287" s="219">
        <v>0</v>
      </c>
      <c r="F287" s="220">
        <f t="shared" ref="F287" si="129">ROUND(E287*D287,2)</f>
        <v>0</v>
      </c>
      <c r="G287" s="220">
        <f t="shared" ref="G287" si="130">ROUND(F287*1.2,2)</f>
        <v>0</v>
      </c>
      <c r="I287" s="233"/>
    </row>
    <row r="288" spans="1:9" ht="30" customHeight="1" x14ac:dyDescent="0.3">
      <c r="A288" s="215">
        <f t="shared" si="126"/>
        <v>210</v>
      </c>
      <c r="B288" s="223" t="s">
        <v>1041</v>
      </c>
      <c r="C288" s="215" t="s">
        <v>220</v>
      </c>
      <c r="D288" s="232">
        <f>2+2</f>
        <v>4</v>
      </c>
      <c r="E288" s="219">
        <v>0</v>
      </c>
      <c r="F288" s="220">
        <f t="shared" ref="F288" si="131">ROUND(E288*D288,2)</f>
        <v>0</v>
      </c>
      <c r="G288" s="220">
        <f t="shared" ref="G288" si="132">ROUND(F288*1.2,2)</f>
        <v>0</v>
      </c>
      <c r="I288" s="233"/>
    </row>
    <row r="289" spans="1:9" ht="15.75" customHeight="1" x14ac:dyDescent="0.3">
      <c r="A289" s="215">
        <f t="shared" si="126"/>
        <v>211</v>
      </c>
      <c r="B289" s="223" t="s">
        <v>1042</v>
      </c>
      <c r="C289" s="215" t="s">
        <v>220</v>
      </c>
      <c r="D289" s="232">
        <v>24</v>
      </c>
      <c r="E289" s="219">
        <v>0</v>
      </c>
      <c r="F289" s="220">
        <f t="shared" ref="F289:F293" si="133">ROUND(E289*D289,2)</f>
        <v>0</v>
      </c>
      <c r="G289" s="220">
        <f t="shared" ref="G289:G293" si="134">ROUND(F289*1.2,2)</f>
        <v>0</v>
      </c>
      <c r="H289" s="210"/>
      <c r="I289" s="233"/>
    </row>
    <row r="290" spans="1:9" ht="15.75" customHeight="1" x14ac:dyDescent="0.3">
      <c r="A290" s="215">
        <f t="shared" ref="A290:A292" si="135">A289+1</f>
        <v>212</v>
      </c>
      <c r="B290" s="223" t="s">
        <v>1053</v>
      </c>
      <c r="C290" s="215" t="s">
        <v>220</v>
      </c>
      <c r="D290" s="232">
        <v>2</v>
      </c>
      <c r="E290" s="219">
        <v>0</v>
      </c>
      <c r="F290" s="220">
        <f t="shared" ref="F290" si="136">ROUND(E290*D290,2)</f>
        <v>0</v>
      </c>
      <c r="G290" s="220">
        <f t="shared" ref="G290" si="137">ROUND(F290*1.2,2)</f>
        <v>0</v>
      </c>
      <c r="I290" s="233"/>
    </row>
    <row r="291" spans="1:9" ht="15.75" customHeight="1" x14ac:dyDescent="0.3">
      <c r="A291" s="215">
        <f t="shared" si="135"/>
        <v>213</v>
      </c>
      <c r="B291" s="223" t="s">
        <v>1055</v>
      </c>
      <c r="C291" s="215" t="s">
        <v>220</v>
      </c>
      <c r="D291" s="232">
        <v>2</v>
      </c>
      <c r="E291" s="219">
        <v>0</v>
      </c>
      <c r="F291" s="220">
        <f t="shared" ref="F291" si="138">ROUND(E291*D291,2)</f>
        <v>0</v>
      </c>
      <c r="G291" s="220">
        <f t="shared" ref="G291" si="139">ROUND(F291*1.2,2)</f>
        <v>0</v>
      </c>
      <c r="H291" s="210"/>
      <c r="I291" s="233"/>
    </row>
    <row r="292" spans="1:9" ht="15.75" customHeight="1" x14ac:dyDescent="0.3">
      <c r="A292" s="215">
        <f t="shared" si="135"/>
        <v>214</v>
      </c>
      <c r="B292" s="223" t="s">
        <v>1044</v>
      </c>
      <c r="C292" s="215" t="s">
        <v>220</v>
      </c>
      <c r="D292" s="232">
        <v>4</v>
      </c>
      <c r="E292" s="219">
        <v>0</v>
      </c>
      <c r="F292" s="220">
        <f t="shared" si="133"/>
        <v>0</v>
      </c>
      <c r="G292" s="220">
        <f t="shared" si="134"/>
        <v>0</v>
      </c>
      <c r="I292" s="233"/>
    </row>
    <row r="293" spans="1:9" ht="15.75" customHeight="1" x14ac:dyDescent="0.3">
      <c r="A293" s="215">
        <f t="shared" si="126"/>
        <v>215</v>
      </c>
      <c r="B293" s="223" t="s">
        <v>1045</v>
      </c>
      <c r="C293" s="215" t="s">
        <v>220</v>
      </c>
      <c r="D293" s="232">
        <v>1</v>
      </c>
      <c r="E293" s="219">
        <v>0</v>
      </c>
      <c r="F293" s="220">
        <f t="shared" si="133"/>
        <v>0</v>
      </c>
      <c r="G293" s="220">
        <f t="shared" si="134"/>
        <v>0</v>
      </c>
      <c r="I293" s="233"/>
    </row>
    <row r="294" spans="1:9" ht="15.75" customHeight="1" x14ac:dyDescent="0.3">
      <c r="A294" s="215">
        <f t="shared" si="126"/>
        <v>216</v>
      </c>
      <c r="B294" s="223" t="s">
        <v>1056</v>
      </c>
      <c r="C294" s="215" t="s">
        <v>194</v>
      </c>
      <c r="D294" s="237">
        <v>2.2999999999999998</v>
      </c>
      <c r="E294" s="219">
        <v>0</v>
      </c>
      <c r="F294" s="220">
        <f t="shared" ref="F294:F300" si="140">ROUND(E294*D294,2)</f>
        <v>0</v>
      </c>
      <c r="G294" s="220">
        <f t="shared" ref="G294:G300" si="141">ROUND(F294*1.2,2)</f>
        <v>0</v>
      </c>
      <c r="I294" s="233"/>
    </row>
    <row r="295" spans="1:9" ht="15.75" customHeight="1" x14ac:dyDescent="0.3">
      <c r="A295" s="215">
        <f t="shared" si="126"/>
        <v>217</v>
      </c>
      <c r="B295" s="223" t="s">
        <v>1057</v>
      </c>
      <c r="C295" s="215" t="s">
        <v>254</v>
      </c>
      <c r="D295" s="237">
        <v>3.5</v>
      </c>
      <c r="E295" s="219">
        <v>0</v>
      </c>
      <c r="F295" s="220">
        <f t="shared" si="140"/>
        <v>0</v>
      </c>
      <c r="G295" s="220">
        <f t="shared" si="141"/>
        <v>0</v>
      </c>
      <c r="I295" s="233"/>
    </row>
    <row r="296" spans="1:9" ht="15.75" customHeight="1" x14ac:dyDescent="0.3">
      <c r="A296" s="215">
        <f t="shared" si="126"/>
        <v>218</v>
      </c>
      <c r="B296" s="223" t="s">
        <v>1058</v>
      </c>
      <c r="C296" s="215" t="s">
        <v>220</v>
      </c>
      <c r="D296" s="232">
        <v>1</v>
      </c>
      <c r="E296" s="219">
        <v>0</v>
      </c>
      <c r="F296" s="220">
        <f t="shared" si="140"/>
        <v>0</v>
      </c>
      <c r="G296" s="220">
        <f t="shared" si="141"/>
        <v>0</v>
      </c>
      <c r="I296" s="233"/>
    </row>
    <row r="297" spans="1:9" ht="15.75" customHeight="1" x14ac:dyDescent="0.3">
      <c r="A297" s="215">
        <f t="shared" si="126"/>
        <v>219</v>
      </c>
      <c r="B297" s="223" t="s">
        <v>1059</v>
      </c>
      <c r="C297" s="215" t="s">
        <v>220</v>
      </c>
      <c r="D297" s="232">
        <v>4</v>
      </c>
      <c r="E297" s="219">
        <v>0</v>
      </c>
      <c r="F297" s="220">
        <f t="shared" si="140"/>
        <v>0</v>
      </c>
      <c r="G297" s="220">
        <f t="shared" si="141"/>
        <v>0</v>
      </c>
      <c r="I297" s="233"/>
    </row>
    <row r="298" spans="1:9" ht="15.75" customHeight="1" x14ac:dyDescent="0.3">
      <c r="A298" s="215">
        <f t="shared" si="126"/>
        <v>220</v>
      </c>
      <c r="B298" s="223" t="s">
        <v>1060</v>
      </c>
      <c r="C298" s="215" t="s">
        <v>431</v>
      </c>
      <c r="D298" s="234">
        <v>1.71</v>
      </c>
      <c r="E298" s="219">
        <v>0</v>
      </c>
      <c r="F298" s="220">
        <f t="shared" si="140"/>
        <v>0</v>
      </c>
      <c r="G298" s="220">
        <f t="shared" si="141"/>
        <v>0</v>
      </c>
      <c r="I298" s="233"/>
    </row>
    <row r="299" spans="1:9" ht="15.75" customHeight="1" x14ac:dyDescent="0.3">
      <c r="A299" s="215">
        <f t="shared" si="126"/>
        <v>221</v>
      </c>
      <c r="B299" s="223" t="s">
        <v>1061</v>
      </c>
      <c r="C299" s="215" t="s">
        <v>220</v>
      </c>
      <c r="D299" s="232">
        <v>1</v>
      </c>
      <c r="E299" s="219">
        <v>0</v>
      </c>
      <c r="F299" s="220">
        <f t="shared" si="140"/>
        <v>0</v>
      </c>
      <c r="G299" s="220">
        <f t="shared" si="141"/>
        <v>0</v>
      </c>
      <c r="I299" s="233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14">
        <v>110000.00000000001</v>
      </c>
      <c r="F300" s="102">
        <f t="shared" si="140"/>
        <v>110000</v>
      </c>
      <c r="G300" s="102">
        <f t="shared" si="141"/>
        <v>132000</v>
      </c>
    </row>
    <row r="301" spans="1:9" ht="22.5" customHeight="1" x14ac:dyDescent="0.3">
      <c r="A301" s="493" t="s">
        <v>408</v>
      </c>
      <c r="B301" s="493"/>
      <c r="C301" s="493"/>
      <c r="D301" s="493"/>
      <c r="E301" s="493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66F9-3FC7-42B4-8978-8F77A333EB7A}">
  <sheetPr>
    <tabColor rgb="FFFF0000"/>
  </sheetPr>
  <dimension ref="A1:F33"/>
  <sheetViews>
    <sheetView tabSelected="1" workbookViewId="0">
      <selection activeCell="C34" sqref="C34"/>
    </sheetView>
  </sheetViews>
  <sheetFormatPr defaultRowHeight="14.4" x14ac:dyDescent="0.3"/>
  <cols>
    <col min="1" max="1" width="34.77734375" style="572" customWidth="1"/>
    <col min="2" max="2" width="22.6640625" style="572" customWidth="1"/>
    <col min="3" max="3" width="24.88671875" style="572" customWidth="1"/>
    <col min="4" max="4" width="33.6640625" style="572" customWidth="1"/>
    <col min="5" max="5" width="15.44140625" style="572" customWidth="1"/>
    <col min="6" max="6" width="24.44140625" style="572" customWidth="1"/>
    <col min="7" max="16384" width="8.88671875" style="572"/>
  </cols>
  <sheetData>
    <row r="1" spans="1:6" ht="43.2" x14ac:dyDescent="0.3">
      <c r="A1" s="570" t="s">
        <v>1650</v>
      </c>
      <c r="B1" s="570">
        <v>1</v>
      </c>
      <c r="C1" s="571" t="s">
        <v>503</v>
      </c>
      <c r="D1" s="571">
        <f>E1</f>
        <v>4948.6400000000003</v>
      </c>
      <c r="E1" s="581">
        <v>4948.6400000000003</v>
      </c>
    </row>
    <row r="2" spans="1:6" x14ac:dyDescent="0.3">
      <c r="B2" s="572">
        <f>B1-1</f>
        <v>0</v>
      </c>
    </row>
    <row r="5" spans="1:6" x14ac:dyDescent="0.3">
      <c r="A5" s="46"/>
      <c r="B5" s="573" t="s">
        <v>1655</v>
      </c>
      <c r="C5" s="573" t="s">
        <v>1654</v>
      </c>
      <c r="D5" s="574" t="s">
        <v>1653</v>
      </c>
    </row>
    <row r="6" spans="1:6" x14ac:dyDescent="0.3">
      <c r="A6" s="575" t="s">
        <v>1651</v>
      </c>
      <c r="B6" s="575">
        <f>'СМР комм-ции 417'!G386</f>
        <v>143470833.65000007</v>
      </c>
      <c r="C6" s="576">
        <v>143470891.9300001</v>
      </c>
      <c r="D6" s="577">
        <f>C6-B6</f>
        <v>58.280000030994415</v>
      </c>
      <c r="F6" s="578">
        <v>143470891.9300001</v>
      </c>
    </row>
    <row r="7" spans="1:6" x14ac:dyDescent="0.3">
      <c r="A7" s="575" t="s">
        <v>1652</v>
      </c>
      <c r="B7" s="575">
        <f>'мат комм-ции 417'!G280</f>
        <v>66512688.640000008</v>
      </c>
      <c r="C7" s="576">
        <v>66512688.640000008</v>
      </c>
      <c r="D7" s="577">
        <f>C7-B7</f>
        <v>0</v>
      </c>
    </row>
    <row r="8" spans="1:6" x14ac:dyDescent="0.3">
      <c r="A8" s="46"/>
      <c r="B8" s="46"/>
      <c r="C8" s="46"/>
      <c r="D8" s="579">
        <f>D6+D7</f>
        <v>58.280000030994415</v>
      </c>
    </row>
    <row r="12" spans="1:6" x14ac:dyDescent="0.3">
      <c r="A12" s="578" t="s">
        <v>1651</v>
      </c>
      <c r="B12" s="578">
        <v>214997238.76999998</v>
      </c>
      <c r="C12" s="578">
        <v>176908683.89000002</v>
      </c>
      <c r="D12" s="580">
        <f>C12-B12</f>
        <v>-38088554.879999965</v>
      </c>
      <c r="F12" s="578">
        <v>214997238.76999998</v>
      </c>
    </row>
    <row r="13" spans="1:6" x14ac:dyDescent="0.3">
      <c r="A13" s="578" t="s">
        <v>1652</v>
      </c>
      <c r="B13" s="578">
        <v>51609432.74000001</v>
      </c>
      <c r="C13" s="578">
        <v>50459410.630000003</v>
      </c>
      <c r="D13" s="580">
        <f>C13-B13</f>
        <v>-1150022.1100000069</v>
      </c>
    </row>
    <row r="15" spans="1:6" x14ac:dyDescent="0.3">
      <c r="F15" s="572">
        <v>100312178.70999998</v>
      </c>
    </row>
    <row r="16" spans="1:6" x14ac:dyDescent="0.3">
      <c r="A16" s="584" t="s">
        <v>1661</v>
      </c>
      <c r="B16" s="584" t="s">
        <v>1659</v>
      </c>
      <c r="C16" s="584" t="s">
        <v>1660</v>
      </c>
      <c r="D16" s="584" t="s">
        <v>716</v>
      </c>
    </row>
    <row r="17" spans="1:4" x14ac:dyDescent="0.3">
      <c r="A17" s="585" t="s">
        <v>725</v>
      </c>
      <c r="B17" s="587">
        <f>'СМР трнсбрдр (2)'!G236</f>
        <v>79912767.229999989</v>
      </c>
      <c r="C17" s="587">
        <f>'мат трнсбрдр (2)'!G301</f>
        <v>31528295.329999987</v>
      </c>
      <c r="D17" s="588">
        <f>B17+C17</f>
        <v>111441062.55999997</v>
      </c>
    </row>
    <row r="18" spans="1:4" x14ac:dyDescent="0.3">
      <c r="A18" s="585" t="s">
        <v>1656</v>
      </c>
      <c r="B18" s="587">
        <f>'СМР 417 путь'!G35</f>
        <v>102123065.73999999</v>
      </c>
      <c r="C18" s="587">
        <f>'мат 417 путь'!G30</f>
        <v>188454247.16</v>
      </c>
      <c r="D18" s="588">
        <f t="shared" ref="D18:D24" si="0">B18+C18</f>
        <v>290577312.89999998</v>
      </c>
    </row>
    <row r="19" spans="1:4" x14ac:dyDescent="0.3">
      <c r="A19" s="585" t="s">
        <v>1657</v>
      </c>
      <c r="B19" s="587">
        <f>'СМР комм-ции 417'!G386</f>
        <v>143470833.65000007</v>
      </c>
      <c r="C19" s="587">
        <f>'мат комм-ции 417'!G280</f>
        <v>66512688.640000008</v>
      </c>
      <c r="D19" s="588">
        <f t="shared" si="0"/>
        <v>209983522.29000008</v>
      </c>
    </row>
    <row r="20" spans="1:4" x14ac:dyDescent="0.3">
      <c r="A20" s="585" t="s">
        <v>1340</v>
      </c>
      <c r="B20" s="587">
        <f>'СМР ГСН'!G42</f>
        <v>4535107.13</v>
      </c>
      <c r="C20" s="587">
        <f>'мат ГСН'!G32</f>
        <v>2927851.1699999995</v>
      </c>
      <c r="D20" s="588">
        <f t="shared" si="0"/>
        <v>7462958.2999999989</v>
      </c>
    </row>
    <row r="21" spans="1:4" x14ac:dyDescent="0.3">
      <c r="A21" s="585" t="s">
        <v>1658</v>
      </c>
      <c r="B21" s="587">
        <f>'СМР эстакада'!G100</f>
        <v>10672910.880000006</v>
      </c>
      <c r="C21" s="587">
        <f>'мат эстакада'!G87</f>
        <v>3474621.46</v>
      </c>
      <c r="D21" s="588">
        <f t="shared" si="0"/>
        <v>14147532.340000007</v>
      </c>
    </row>
    <row r="22" spans="1:4" x14ac:dyDescent="0.3">
      <c r="A22" s="585" t="s">
        <v>1341</v>
      </c>
      <c r="B22" s="587">
        <f>'СМР ТС2'!G89</f>
        <v>2967457.3099999996</v>
      </c>
      <c r="C22" s="587">
        <f>'мат ТС2'!G99</f>
        <v>1596757.52</v>
      </c>
      <c r="D22" s="588">
        <f t="shared" si="0"/>
        <v>4564214.83</v>
      </c>
    </row>
    <row r="23" spans="1:4" x14ac:dyDescent="0.3">
      <c r="A23" s="585" t="s">
        <v>1342</v>
      </c>
      <c r="B23" s="587">
        <f>'СМР ТС3'!G103</f>
        <v>6343551.3599999966</v>
      </c>
      <c r="C23" s="587">
        <f>'мат ТС3'!G93</f>
        <v>2527815.7100000009</v>
      </c>
      <c r="D23" s="588">
        <f t="shared" si="0"/>
        <v>8871367.0699999966</v>
      </c>
    </row>
    <row r="24" spans="1:4" x14ac:dyDescent="0.3">
      <c r="A24" s="586" t="s">
        <v>1662</v>
      </c>
      <c r="B24" s="587">
        <f>SUM(B17:B23)</f>
        <v>350025693.30000001</v>
      </c>
      <c r="C24" s="587">
        <f>SUM(C17:C23)</f>
        <v>297022276.98999995</v>
      </c>
      <c r="D24" s="588">
        <f t="shared" si="0"/>
        <v>647047970.28999996</v>
      </c>
    </row>
    <row r="33" spans="3:3" x14ac:dyDescent="0.3">
      <c r="C33" s="572">
        <v>456670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0" t="s">
        <v>5</v>
      </c>
      <c r="B2" s="471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73">
        <f>H33/2</f>
        <v>7942400</v>
      </c>
      <c r="H33" s="473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74"/>
      <c r="H34" s="474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72" t="s">
        <v>117</v>
      </c>
      <c r="B59" s="472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J42"/>
  <sheetViews>
    <sheetView zoomScaleNormal="100" zoomScaleSheetLayoutView="90" workbookViewId="0">
      <pane ySplit="2" topLeftCell="A27" activePane="bottomLeft" state="frozen"/>
      <selection activeCell="G69" sqref="G69"/>
      <selection pane="bottomLeft" activeCell="B41" sqref="B4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10" ht="14.4" customHeight="1" x14ac:dyDescent="0.3">
      <c r="A1" s="555" t="s">
        <v>226</v>
      </c>
      <c r="B1" s="480" t="s">
        <v>227</v>
      </c>
      <c r="C1" s="480" t="s">
        <v>228</v>
      </c>
      <c r="D1" s="480" t="s">
        <v>229</v>
      </c>
      <c r="E1" s="480" t="s">
        <v>440</v>
      </c>
      <c r="F1" s="506" t="s">
        <v>433</v>
      </c>
      <c r="G1" s="542" t="s">
        <v>409</v>
      </c>
    </row>
    <row r="2" spans="1:10" ht="31.2" customHeight="1" x14ac:dyDescent="0.3">
      <c r="A2" s="556"/>
      <c r="B2" s="482"/>
      <c r="C2" s="482"/>
      <c r="D2" s="482"/>
      <c r="E2" s="482"/>
      <c r="F2" s="506"/>
      <c r="G2" s="542"/>
      <c r="J2" s="382"/>
    </row>
    <row r="3" spans="1:10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x14ac:dyDescent="0.3">
      <c r="A4" s="537" t="s">
        <v>1330</v>
      </c>
      <c r="B4" s="537"/>
      <c r="C4" s="537"/>
      <c r="D4" s="537"/>
      <c r="E4" s="140"/>
      <c r="F4" s="140"/>
      <c r="G4" s="132"/>
      <c r="J4" s="382"/>
    </row>
    <row r="5" spans="1:10" x14ac:dyDescent="0.3">
      <c r="A5" s="553" t="s">
        <v>1329</v>
      </c>
      <c r="B5" s="553"/>
      <c r="C5" s="553"/>
      <c r="D5" s="553"/>
      <c r="E5" s="275"/>
      <c r="F5" s="275"/>
      <c r="G5" s="276"/>
    </row>
    <row r="6" spans="1:10" ht="21" customHeight="1" x14ac:dyDescent="0.3">
      <c r="A6" s="387">
        <v>1</v>
      </c>
      <c r="B6" s="388" t="s">
        <v>1283</v>
      </c>
      <c r="C6" s="389" t="s">
        <v>1284</v>
      </c>
      <c r="D6" s="390">
        <v>432.9</v>
      </c>
      <c r="E6" s="391">
        <v>1945.13184</v>
      </c>
      <c r="F6" s="289">
        <f t="shared" ref="F6:F21" si="0">ROUND(E6*D6,2)</f>
        <v>842047.57</v>
      </c>
      <c r="G6" s="289">
        <f>ROUND(F6*1.2,2)</f>
        <v>1010457.08</v>
      </c>
      <c r="H6" s="210" t="s">
        <v>1600</v>
      </c>
    </row>
    <row r="7" spans="1:10" ht="20.25" customHeight="1" x14ac:dyDescent="0.3">
      <c r="A7" s="387">
        <f>A6+1</f>
        <v>2</v>
      </c>
      <c r="B7" s="388" t="s">
        <v>1285</v>
      </c>
      <c r="C7" s="389" t="s">
        <v>220</v>
      </c>
      <c r="D7" s="392">
        <v>1</v>
      </c>
      <c r="E7" s="391">
        <v>3363.933888</v>
      </c>
      <c r="F7" s="289">
        <f t="shared" si="0"/>
        <v>3363.93</v>
      </c>
      <c r="G7" s="289">
        <f t="shared" ref="G7:G41" si="1">ROUND(F7*1.2,2)</f>
        <v>4036.72</v>
      </c>
    </row>
    <row r="8" spans="1:10" x14ac:dyDescent="0.3">
      <c r="A8" s="387">
        <f>A6+1</f>
        <v>2</v>
      </c>
      <c r="B8" s="388" t="s">
        <v>1601</v>
      </c>
      <c r="C8" s="389" t="s">
        <v>220</v>
      </c>
      <c r="D8" s="392">
        <v>1</v>
      </c>
      <c r="E8" s="391">
        <v>1896.5035439999999</v>
      </c>
      <c r="F8" s="289">
        <f t="shared" si="0"/>
        <v>1896.5</v>
      </c>
      <c r="G8" s="289">
        <f t="shared" si="1"/>
        <v>2275.8000000000002</v>
      </c>
    </row>
    <row r="9" spans="1:10" ht="27.6" x14ac:dyDescent="0.3">
      <c r="A9" s="387">
        <f>A7+1</f>
        <v>3</v>
      </c>
      <c r="B9" s="388" t="s">
        <v>1331</v>
      </c>
      <c r="C9" s="389" t="s">
        <v>220</v>
      </c>
      <c r="D9" s="392">
        <v>1</v>
      </c>
      <c r="E9" s="391">
        <v>11062.93734</v>
      </c>
      <c r="F9" s="289">
        <f t="shared" si="0"/>
        <v>11062.94</v>
      </c>
      <c r="G9" s="289">
        <f t="shared" si="1"/>
        <v>13275.53</v>
      </c>
    </row>
    <row r="10" spans="1:10" ht="27.6" x14ac:dyDescent="0.3">
      <c r="A10" s="387">
        <f t="shared" ref="A10:A41" si="2">A9+1</f>
        <v>4</v>
      </c>
      <c r="B10" s="388" t="s">
        <v>1286</v>
      </c>
      <c r="C10" s="389" t="s">
        <v>220</v>
      </c>
      <c r="D10" s="392">
        <v>1</v>
      </c>
      <c r="E10" s="391">
        <v>7381.4892839999993</v>
      </c>
      <c r="F10" s="289">
        <f t="shared" si="0"/>
        <v>7381.49</v>
      </c>
      <c r="G10" s="289">
        <f t="shared" si="1"/>
        <v>8857.7900000000009</v>
      </c>
    </row>
    <row r="11" spans="1:10" ht="27.6" x14ac:dyDescent="0.3">
      <c r="A11" s="387">
        <f t="shared" si="2"/>
        <v>5</v>
      </c>
      <c r="B11" s="388" t="s">
        <v>1287</v>
      </c>
      <c r="C11" s="389" t="s">
        <v>220</v>
      </c>
      <c r="D11" s="392">
        <v>2</v>
      </c>
      <c r="E11" s="391">
        <v>11583.546156</v>
      </c>
      <c r="F11" s="289">
        <f t="shared" si="0"/>
        <v>23167.09</v>
      </c>
      <c r="G11" s="289">
        <f t="shared" si="1"/>
        <v>27800.51</v>
      </c>
    </row>
    <row r="12" spans="1:10" ht="27.6" x14ac:dyDescent="0.3">
      <c r="A12" s="387">
        <f t="shared" si="2"/>
        <v>6</v>
      </c>
      <c r="B12" s="388" t="s">
        <v>1288</v>
      </c>
      <c r="C12" s="389" t="s">
        <v>220</v>
      </c>
      <c r="D12" s="392">
        <v>2</v>
      </c>
      <c r="E12" s="391">
        <v>11583.546156</v>
      </c>
      <c r="F12" s="289">
        <f t="shared" si="0"/>
        <v>23167.09</v>
      </c>
      <c r="G12" s="289">
        <f t="shared" si="1"/>
        <v>27800.51</v>
      </c>
    </row>
    <row r="13" spans="1:10" ht="27.6" x14ac:dyDescent="0.3">
      <c r="A13" s="387">
        <f t="shared" si="2"/>
        <v>7</v>
      </c>
      <c r="B13" s="388" t="s">
        <v>1289</v>
      </c>
      <c r="C13" s="389" t="s">
        <v>1284</v>
      </c>
      <c r="D13" s="392">
        <v>85</v>
      </c>
      <c r="E13" s="391">
        <v>1367.3132639999999</v>
      </c>
      <c r="F13" s="289">
        <f t="shared" si="0"/>
        <v>116221.63</v>
      </c>
      <c r="G13" s="289">
        <f t="shared" si="1"/>
        <v>139465.96</v>
      </c>
    </row>
    <row r="14" spans="1:10" ht="21.75" customHeight="1" x14ac:dyDescent="0.3">
      <c r="A14" s="387">
        <f t="shared" si="2"/>
        <v>8</v>
      </c>
      <c r="B14" s="388" t="s">
        <v>1290</v>
      </c>
      <c r="C14" s="389" t="s">
        <v>220</v>
      </c>
      <c r="D14" s="392">
        <v>32</v>
      </c>
      <c r="E14" s="391">
        <v>1367.3132639999999</v>
      </c>
      <c r="F14" s="289">
        <f t="shared" si="0"/>
        <v>43754.02</v>
      </c>
      <c r="G14" s="289">
        <f t="shared" si="1"/>
        <v>52504.82</v>
      </c>
    </row>
    <row r="15" spans="1:10" ht="21.75" customHeight="1" x14ac:dyDescent="0.3">
      <c r="A15" s="387">
        <f t="shared" si="2"/>
        <v>9</v>
      </c>
      <c r="B15" s="388" t="s">
        <v>1604</v>
      </c>
      <c r="C15" s="389" t="s">
        <v>254</v>
      </c>
      <c r="D15" s="392">
        <v>45</v>
      </c>
      <c r="E15" s="391">
        <v>441.05546640000006</v>
      </c>
      <c r="F15" s="289">
        <f t="shared" si="0"/>
        <v>19847.5</v>
      </c>
      <c r="G15" s="289">
        <f t="shared" si="1"/>
        <v>23817</v>
      </c>
    </row>
    <row r="16" spans="1:10" x14ac:dyDescent="0.3">
      <c r="A16" s="387">
        <f t="shared" si="2"/>
        <v>10</v>
      </c>
      <c r="B16" s="386" t="s">
        <v>1291</v>
      </c>
      <c r="C16" s="389" t="s">
        <v>1284</v>
      </c>
      <c r="D16" s="393">
        <v>427.9</v>
      </c>
      <c r="E16" s="391">
        <v>14.302440000000001</v>
      </c>
      <c r="F16" s="289">
        <f t="shared" si="0"/>
        <v>6120.01</v>
      </c>
      <c r="G16" s="289">
        <f t="shared" si="1"/>
        <v>7344.01</v>
      </c>
    </row>
    <row r="17" spans="1:8" ht="27.6" x14ac:dyDescent="0.3">
      <c r="A17" s="387">
        <f t="shared" si="2"/>
        <v>11</v>
      </c>
      <c r="B17" s="386" t="s">
        <v>1292</v>
      </c>
      <c r="C17" s="389" t="s">
        <v>220</v>
      </c>
      <c r="D17" s="387">
        <v>72</v>
      </c>
      <c r="E17" s="391">
        <v>9383.8308839999991</v>
      </c>
      <c r="F17" s="289">
        <f t="shared" si="0"/>
        <v>675635.82</v>
      </c>
      <c r="G17" s="289">
        <f t="shared" si="1"/>
        <v>810762.98</v>
      </c>
    </row>
    <row r="18" spans="1:8" ht="27.6" x14ac:dyDescent="0.3">
      <c r="A18" s="387">
        <f t="shared" si="2"/>
        <v>12</v>
      </c>
      <c r="B18" s="386" t="s">
        <v>1293</v>
      </c>
      <c r="C18" s="389" t="s">
        <v>220</v>
      </c>
      <c r="D18" s="387">
        <v>17</v>
      </c>
      <c r="E18" s="391">
        <v>15146.283960000001</v>
      </c>
      <c r="F18" s="289">
        <f t="shared" si="0"/>
        <v>257486.83</v>
      </c>
      <c r="G18" s="289">
        <f t="shared" si="1"/>
        <v>308984.2</v>
      </c>
    </row>
    <row r="19" spans="1:8" ht="27.6" x14ac:dyDescent="0.3">
      <c r="A19" s="387">
        <f t="shared" si="2"/>
        <v>13</v>
      </c>
      <c r="B19" s="386" t="s">
        <v>1294</v>
      </c>
      <c r="C19" s="389" t="s">
        <v>1284</v>
      </c>
      <c r="D19" s="387">
        <v>3</v>
      </c>
      <c r="E19" s="391">
        <v>6394.6209239999998</v>
      </c>
      <c r="F19" s="289">
        <f t="shared" si="0"/>
        <v>19183.86</v>
      </c>
      <c r="G19" s="289">
        <f t="shared" si="1"/>
        <v>23020.63</v>
      </c>
      <c r="H19" s="210" t="s">
        <v>1602</v>
      </c>
    </row>
    <row r="20" spans="1:8" x14ac:dyDescent="0.3">
      <c r="A20" s="387">
        <f t="shared" si="2"/>
        <v>14</v>
      </c>
      <c r="B20" s="386" t="s">
        <v>1295</v>
      </c>
      <c r="C20" s="389" t="s">
        <v>194</v>
      </c>
      <c r="D20" s="387">
        <v>560</v>
      </c>
      <c r="E20" s="391">
        <v>185.93172000000001</v>
      </c>
      <c r="F20" s="289">
        <f t="shared" si="0"/>
        <v>104121.76</v>
      </c>
      <c r="G20" s="289">
        <f t="shared" si="1"/>
        <v>124946.11</v>
      </c>
      <c r="H20" s="210" t="s">
        <v>1603</v>
      </c>
    </row>
    <row r="21" spans="1:8" x14ac:dyDescent="0.3">
      <c r="A21" s="387">
        <f t="shared" si="2"/>
        <v>15</v>
      </c>
      <c r="B21" s="386" t="s">
        <v>1332</v>
      </c>
      <c r="C21" s="389" t="s">
        <v>220</v>
      </c>
      <c r="D21" s="387">
        <v>3</v>
      </c>
      <c r="E21" s="391">
        <v>14727.222467999998</v>
      </c>
      <c r="F21" s="289">
        <f t="shared" si="0"/>
        <v>44181.67</v>
      </c>
      <c r="G21" s="289">
        <f t="shared" si="1"/>
        <v>53018</v>
      </c>
    </row>
    <row r="22" spans="1:8" x14ac:dyDescent="0.3">
      <c r="A22" s="554" t="s">
        <v>513</v>
      </c>
      <c r="B22" s="554" t="s">
        <v>1333</v>
      </c>
      <c r="C22" s="554"/>
      <c r="D22" s="554"/>
      <c r="E22" s="391">
        <v>0</v>
      </c>
      <c r="F22" s="391"/>
      <c r="G22" s="385"/>
    </row>
    <row r="23" spans="1:8" ht="27.6" x14ac:dyDescent="0.3">
      <c r="A23" s="387">
        <f>A21+1</f>
        <v>16</v>
      </c>
      <c r="B23" s="386" t="s">
        <v>1304</v>
      </c>
      <c r="C23" s="389" t="s">
        <v>193</v>
      </c>
      <c r="D23" s="393">
        <v>428.7</v>
      </c>
      <c r="E23" s="391">
        <v>464.82929999999999</v>
      </c>
      <c r="F23" s="289">
        <f t="shared" ref="F23:F36" si="3">ROUND(E23*D23,2)</f>
        <v>199272.32000000001</v>
      </c>
      <c r="G23" s="289">
        <f t="shared" si="1"/>
        <v>239126.78</v>
      </c>
    </row>
    <row r="24" spans="1:8" x14ac:dyDescent="0.3">
      <c r="A24" s="387">
        <f>A23+1</f>
        <v>17</v>
      </c>
      <c r="B24" s="386" t="s">
        <v>1305</v>
      </c>
      <c r="C24" s="389" t="s">
        <v>193</v>
      </c>
      <c r="D24" s="393">
        <v>32.200000000000003</v>
      </c>
      <c r="E24" s="391">
        <v>2541.5435879999995</v>
      </c>
      <c r="F24" s="289">
        <f t="shared" si="3"/>
        <v>81837.7</v>
      </c>
      <c r="G24" s="289">
        <f t="shared" si="1"/>
        <v>98205.24</v>
      </c>
    </row>
    <row r="25" spans="1:8" x14ac:dyDescent="0.3">
      <c r="A25" s="387">
        <f t="shared" si="2"/>
        <v>18</v>
      </c>
      <c r="B25" s="386" t="s">
        <v>1595</v>
      </c>
      <c r="C25" s="389" t="s">
        <v>220</v>
      </c>
      <c r="D25" s="387">
        <v>6</v>
      </c>
      <c r="E25" s="391">
        <v>314.65368000000001</v>
      </c>
      <c r="F25" s="289">
        <f t="shared" si="3"/>
        <v>1887.92</v>
      </c>
      <c r="G25" s="289">
        <f t="shared" si="1"/>
        <v>2265.5</v>
      </c>
    </row>
    <row r="26" spans="1:8" ht="27.6" x14ac:dyDescent="0.3">
      <c r="A26" s="387">
        <f t="shared" si="2"/>
        <v>19</v>
      </c>
      <c r="B26" s="386" t="s">
        <v>1306</v>
      </c>
      <c r="C26" s="389" t="s">
        <v>193</v>
      </c>
      <c r="D26" s="394">
        <v>21.43</v>
      </c>
      <c r="E26" s="391">
        <v>1972.306476</v>
      </c>
      <c r="F26" s="289">
        <f t="shared" si="3"/>
        <v>42266.53</v>
      </c>
      <c r="G26" s="289">
        <f t="shared" si="1"/>
        <v>50719.839999999997</v>
      </c>
    </row>
    <row r="27" spans="1:8" ht="27.6" x14ac:dyDescent="0.3">
      <c r="A27" s="387">
        <f t="shared" si="2"/>
        <v>20</v>
      </c>
      <c r="B27" s="386" t="s">
        <v>1307</v>
      </c>
      <c r="C27" s="389" t="s">
        <v>193</v>
      </c>
      <c r="D27" s="393">
        <v>42.9</v>
      </c>
      <c r="E27" s="391">
        <v>1972.306476</v>
      </c>
      <c r="F27" s="289">
        <f t="shared" si="3"/>
        <v>84611.95</v>
      </c>
      <c r="G27" s="289">
        <f t="shared" si="1"/>
        <v>101534.34</v>
      </c>
    </row>
    <row r="28" spans="1:8" x14ac:dyDescent="0.3">
      <c r="A28" s="387">
        <f t="shared" si="2"/>
        <v>21</v>
      </c>
      <c r="B28" s="386" t="s">
        <v>1334</v>
      </c>
      <c r="C28" s="389" t="s">
        <v>239</v>
      </c>
      <c r="D28" s="395">
        <v>141.63999999999999</v>
      </c>
      <c r="E28" s="391">
        <v>0</v>
      </c>
      <c r="F28" s="289">
        <f t="shared" si="3"/>
        <v>0</v>
      </c>
      <c r="G28" s="289">
        <f t="shared" si="1"/>
        <v>0</v>
      </c>
      <c r="H28" s="210" t="s">
        <v>1596</v>
      </c>
    </row>
    <row r="29" spans="1:8" x14ac:dyDescent="0.3">
      <c r="A29" s="387">
        <f t="shared" si="2"/>
        <v>22</v>
      </c>
      <c r="B29" s="386" t="s">
        <v>1336</v>
      </c>
      <c r="C29" s="389" t="s">
        <v>1335</v>
      </c>
      <c r="D29" s="396" t="s">
        <v>586</v>
      </c>
      <c r="E29" s="391">
        <v>1772.0723159999998</v>
      </c>
      <c r="F29" s="289">
        <f t="shared" si="3"/>
        <v>7088.29</v>
      </c>
      <c r="G29" s="289">
        <f t="shared" si="1"/>
        <v>8505.9500000000007</v>
      </c>
    </row>
    <row r="30" spans="1:8" ht="18" customHeight="1" x14ac:dyDescent="0.3">
      <c r="A30" s="387">
        <f t="shared" si="2"/>
        <v>23</v>
      </c>
      <c r="B30" s="386" t="s">
        <v>1308</v>
      </c>
      <c r="C30" s="389" t="s">
        <v>1284</v>
      </c>
      <c r="D30" s="387">
        <v>85</v>
      </c>
      <c r="E30" s="391">
        <v>1842.1542719999998</v>
      </c>
      <c r="F30" s="289">
        <f t="shared" si="3"/>
        <v>156583.10999999999</v>
      </c>
      <c r="G30" s="289">
        <f t="shared" si="1"/>
        <v>187899.73</v>
      </c>
    </row>
    <row r="31" spans="1:8" ht="18" customHeight="1" x14ac:dyDescent="0.3">
      <c r="A31" s="387"/>
      <c r="B31" s="386" t="s">
        <v>1597</v>
      </c>
      <c r="C31" s="389" t="s">
        <v>217</v>
      </c>
      <c r="D31" s="387">
        <v>4</v>
      </c>
      <c r="E31" s="391">
        <v>3708.6226919999999</v>
      </c>
      <c r="F31" s="289">
        <f t="shared" si="3"/>
        <v>14834.49</v>
      </c>
      <c r="G31" s="289">
        <f t="shared" si="1"/>
        <v>17801.39</v>
      </c>
      <c r="H31" s="210" t="s">
        <v>1598</v>
      </c>
    </row>
    <row r="32" spans="1:8" x14ac:dyDescent="0.3">
      <c r="A32" s="387">
        <f>A30+1</f>
        <v>24</v>
      </c>
      <c r="B32" s="386" t="s">
        <v>1309</v>
      </c>
      <c r="C32" s="389" t="s">
        <v>194</v>
      </c>
      <c r="D32" s="397">
        <f>433+3</f>
        <v>436</v>
      </c>
      <c r="E32" s="391">
        <v>429.07319999999999</v>
      </c>
      <c r="F32" s="289">
        <f t="shared" si="3"/>
        <v>187075.92</v>
      </c>
      <c r="G32" s="289">
        <f t="shared" si="1"/>
        <v>224491.1</v>
      </c>
    </row>
    <row r="33" spans="1:8" x14ac:dyDescent="0.3">
      <c r="A33" s="387">
        <f t="shared" si="2"/>
        <v>25</v>
      </c>
      <c r="B33" s="386" t="s">
        <v>1310</v>
      </c>
      <c r="C33" s="389" t="s">
        <v>193</v>
      </c>
      <c r="D33" s="393">
        <v>420.1</v>
      </c>
      <c r="E33" s="391">
        <v>178.78050000000002</v>
      </c>
      <c r="F33" s="289">
        <f t="shared" si="3"/>
        <v>75105.69</v>
      </c>
      <c r="G33" s="289">
        <f t="shared" si="1"/>
        <v>90126.83</v>
      </c>
    </row>
    <row r="34" spans="1:8" ht="27.6" x14ac:dyDescent="0.3">
      <c r="A34" s="387">
        <f t="shared" si="2"/>
        <v>26</v>
      </c>
      <c r="B34" s="386" t="s">
        <v>1311</v>
      </c>
      <c r="C34" s="389" t="s">
        <v>1312</v>
      </c>
      <c r="D34" s="387">
        <v>7</v>
      </c>
      <c r="E34" s="391">
        <v>29717.609831999995</v>
      </c>
      <c r="F34" s="289">
        <f t="shared" si="3"/>
        <v>208023.27</v>
      </c>
      <c r="G34" s="289">
        <f t="shared" si="1"/>
        <v>249627.92</v>
      </c>
    </row>
    <row r="35" spans="1:8" x14ac:dyDescent="0.3">
      <c r="A35" s="387">
        <f t="shared" si="2"/>
        <v>27</v>
      </c>
      <c r="B35" s="386" t="s">
        <v>1313</v>
      </c>
      <c r="C35" s="389" t="s">
        <v>194</v>
      </c>
      <c r="D35" s="387">
        <v>432</v>
      </c>
      <c r="E35" s="391">
        <v>97.392332749999994</v>
      </c>
      <c r="F35" s="289">
        <f t="shared" si="3"/>
        <v>42073.49</v>
      </c>
      <c r="G35" s="289">
        <f t="shared" si="1"/>
        <v>50488.19</v>
      </c>
    </row>
    <row r="36" spans="1:8" x14ac:dyDescent="0.3">
      <c r="A36" s="387">
        <f t="shared" si="2"/>
        <v>28</v>
      </c>
      <c r="B36" s="386" t="s">
        <v>1314</v>
      </c>
      <c r="C36" s="389" t="s">
        <v>194</v>
      </c>
      <c r="D36" s="387">
        <v>432</v>
      </c>
      <c r="E36" s="391">
        <v>143.02440000000001</v>
      </c>
      <c r="F36" s="289">
        <f t="shared" si="3"/>
        <v>61786.54</v>
      </c>
      <c r="G36" s="289">
        <f t="shared" si="1"/>
        <v>74143.850000000006</v>
      </c>
      <c r="H36" s="210"/>
    </row>
    <row r="37" spans="1:8" x14ac:dyDescent="0.3">
      <c r="A37" s="387"/>
      <c r="B37" s="398" t="s">
        <v>708</v>
      </c>
      <c r="C37" s="389"/>
      <c r="D37" s="387"/>
      <c r="E37" s="391">
        <v>0</v>
      </c>
      <c r="F37" s="391"/>
      <c r="G37" s="385"/>
    </row>
    <row r="38" spans="1:8" x14ac:dyDescent="0.3">
      <c r="A38" s="387">
        <f>A36+1</f>
        <v>29</v>
      </c>
      <c r="B38" s="386" t="s">
        <v>1315</v>
      </c>
      <c r="C38" s="389" t="s">
        <v>239</v>
      </c>
      <c r="D38" s="394">
        <v>0.16</v>
      </c>
      <c r="E38" s="391">
        <v>111210.410025</v>
      </c>
      <c r="F38" s="289">
        <f>ROUND(E38*D38,2)</f>
        <v>17793.669999999998</v>
      </c>
      <c r="G38" s="289">
        <f t="shared" si="1"/>
        <v>21352.400000000001</v>
      </c>
    </row>
    <row r="39" spans="1:8" x14ac:dyDescent="0.3">
      <c r="A39" s="387">
        <f t="shared" si="2"/>
        <v>30</v>
      </c>
      <c r="B39" s="386" t="s">
        <v>1337</v>
      </c>
      <c r="C39" s="389" t="s">
        <v>194</v>
      </c>
      <c r="D39" s="395">
        <v>312</v>
      </c>
      <c r="E39" s="391">
        <v>1158.49764</v>
      </c>
      <c r="F39" s="289">
        <f>ROUND(E39*D39,2)</f>
        <v>361451.26</v>
      </c>
      <c r="G39" s="289">
        <f t="shared" si="1"/>
        <v>433741.51</v>
      </c>
    </row>
    <row r="40" spans="1:8" x14ac:dyDescent="0.3">
      <c r="A40" s="387">
        <f t="shared" si="2"/>
        <v>31</v>
      </c>
      <c r="B40" s="386" t="s">
        <v>1316</v>
      </c>
      <c r="C40" s="389" t="s">
        <v>239</v>
      </c>
      <c r="D40" s="394">
        <v>0.35</v>
      </c>
      <c r="E40" s="391">
        <v>111211.68702857142</v>
      </c>
      <c r="F40" s="289">
        <f>ROUND(E40*D40,2)</f>
        <v>38924.089999999997</v>
      </c>
      <c r="G40" s="289">
        <f t="shared" si="1"/>
        <v>46708.91</v>
      </c>
    </row>
    <row r="41" spans="1:8" ht="27.6" x14ac:dyDescent="0.3">
      <c r="A41" s="387">
        <f t="shared" si="2"/>
        <v>32</v>
      </c>
      <c r="B41" s="386" t="s">
        <v>1649</v>
      </c>
      <c r="C41" s="389" t="s">
        <v>239</v>
      </c>
      <c r="D41" s="394">
        <v>0.18</v>
      </c>
      <c r="E41" s="391">
        <v>0</v>
      </c>
      <c r="F41" s="289">
        <f>ROUND(E41*D41,2)</f>
        <v>0</v>
      </c>
      <c r="G41" s="289">
        <f t="shared" si="1"/>
        <v>0</v>
      </c>
      <c r="H41" s="210" t="s">
        <v>1599</v>
      </c>
    </row>
    <row r="42" spans="1:8" s="1" customFormat="1" x14ac:dyDescent="0.3">
      <c r="A42" s="119"/>
      <c r="B42" s="541" t="s">
        <v>439</v>
      </c>
      <c r="C42" s="541"/>
      <c r="D42" s="541"/>
      <c r="E42" s="541"/>
      <c r="F42" s="145">
        <f>SUM(F4:F41)</f>
        <v>3779255.95</v>
      </c>
      <c r="G42" s="320">
        <f>SUM(G4:G41)</f>
        <v>4535107.13</v>
      </c>
    </row>
  </sheetData>
  <mergeCells count="11">
    <mergeCell ref="G1:G2"/>
    <mergeCell ref="A1:A2"/>
    <mergeCell ref="B1:B2"/>
    <mergeCell ref="C1:C2"/>
    <mergeCell ref="D1:D2"/>
    <mergeCell ref="E1:E2"/>
    <mergeCell ref="B42:E42"/>
    <mergeCell ref="A4:D4"/>
    <mergeCell ref="A5:D5"/>
    <mergeCell ref="A22:D22"/>
    <mergeCell ref="F1:F2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J35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F17" sqref="F17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10" ht="14.4" customHeight="1" x14ac:dyDescent="0.3">
      <c r="A1" s="536" t="s">
        <v>226</v>
      </c>
      <c r="B1" s="506" t="s">
        <v>227</v>
      </c>
      <c r="C1" s="506" t="s">
        <v>228</v>
      </c>
      <c r="D1" s="506" t="s">
        <v>229</v>
      </c>
      <c r="E1" s="563" t="s">
        <v>196</v>
      </c>
      <c r="F1" s="557" t="s">
        <v>197</v>
      </c>
      <c r="G1" s="560" t="s">
        <v>199</v>
      </c>
    </row>
    <row r="2" spans="1:10" x14ac:dyDescent="0.3">
      <c r="A2" s="536"/>
      <c r="B2" s="506"/>
      <c r="C2" s="506"/>
      <c r="D2" s="506"/>
      <c r="E2" s="564"/>
      <c r="F2" s="558"/>
      <c r="G2" s="561"/>
      <c r="J2" s="382"/>
    </row>
    <row r="3" spans="1:10" ht="27.6" customHeight="1" x14ac:dyDescent="0.3">
      <c r="A3" s="536"/>
      <c r="B3" s="506"/>
      <c r="C3" s="506"/>
      <c r="D3" s="506"/>
      <c r="E3" s="565"/>
      <c r="F3" s="559"/>
      <c r="G3" s="562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15" customHeight="1" x14ac:dyDescent="0.3">
      <c r="A5" s="537" t="s">
        <v>1330</v>
      </c>
      <c r="B5" s="537"/>
      <c r="C5" s="537"/>
      <c r="D5" s="537"/>
      <c r="E5" s="135"/>
      <c r="F5" s="135"/>
      <c r="G5" s="135"/>
    </row>
    <row r="6" spans="1:10" x14ac:dyDescent="0.3">
      <c r="A6" s="277"/>
      <c r="B6" s="277" t="s">
        <v>1267</v>
      </c>
      <c r="C6" s="277"/>
      <c r="D6" s="277"/>
      <c r="E6" s="99"/>
      <c r="F6" s="99"/>
      <c r="G6" s="99"/>
    </row>
    <row r="7" spans="1:10" x14ac:dyDescent="0.3">
      <c r="A7" s="119">
        <v>1</v>
      </c>
      <c r="B7" s="67" t="s">
        <v>1266</v>
      </c>
      <c r="C7" s="124" t="s">
        <v>220</v>
      </c>
      <c r="D7" s="119">
        <v>1</v>
      </c>
      <c r="E7" s="308">
        <v>47942.244000000006</v>
      </c>
      <c r="F7" s="289">
        <f>ROUND(E7*D7,2)</f>
        <v>47942.239999999998</v>
      </c>
      <c r="G7" s="289">
        <f>ROUND(F7*1.2,2)</f>
        <v>57530.69</v>
      </c>
    </row>
    <row r="8" spans="1:10" x14ac:dyDescent="0.3">
      <c r="A8" s="309"/>
      <c r="B8" s="309" t="s">
        <v>1268</v>
      </c>
      <c r="C8" s="309"/>
      <c r="D8" s="309"/>
      <c r="E8" s="308">
        <v>0</v>
      </c>
      <c r="F8" s="96"/>
      <c r="G8" s="96"/>
    </row>
    <row r="9" spans="1:10" x14ac:dyDescent="0.3">
      <c r="A9" s="119">
        <f>A7+1</f>
        <v>2</v>
      </c>
      <c r="B9" s="67" t="s">
        <v>1296</v>
      </c>
      <c r="C9" s="124" t="s">
        <v>194</v>
      </c>
      <c r="D9" s="119">
        <v>85</v>
      </c>
      <c r="E9" s="308">
        <v>8750.7483000000011</v>
      </c>
      <c r="F9" s="289">
        <f t="shared" ref="F9:F22" si="0">ROUND(E9*D9,2)</f>
        <v>743813.61</v>
      </c>
      <c r="G9" s="289">
        <f t="shared" ref="G9:G31" si="1">ROUND(F9*1.2,2)</f>
        <v>892576.33</v>
      </c>
    </row>
    <row r="10" spans="1:10" x14ac:dyDescent="0.3">
      <c r="A10" s="119">
        <f>A9+1</f>
        <v>3</v>
      </c>
      <c r="B10" s="67" t="s">
        <v>1297</v>
      </c>
      <c r="C10" s="124" t="s">
        <v>194</v>
      </c>
      <c r="D10" s="134">
        <v>432.9</v>
      </c>
      <c r="E10" s="308">
        <v>1902.2245200000002</v>
      </c>
      <c r="F10" s="289">
        <f t="shared" si="0"/>
        <v>823472.99</v>
      </c>
      <c r="G10" s="289">
        <f t="shared" si="1"/>
        <v>988167.59</v>
      </c>
    </row>
    <row r="11" spans="1:10" x14ac:dyDescent="0.3">
      <c r="A11" s="119">
        <f>A10+1</f>
        <v>4</v>
      </c>
      <c r="B11" s="131" t="s">
        <v>1269</v>
      </c>
      <c r="C11" s="124" t="s">
        <v>194</v>
      </c>
      <c r="D11" s="119">
        <v>3</v>
      </c>
      <c r="E11" s="308">
        <v>8960.8178100000005</v>
      </c>
      <c r="F11" s="289">
        <f t="shared" si="0"/>
        <v>26882.45</v>
      </c>
      <c r="G11" s="289">
        <f t="shared" si="1"/>
        <v>32258.94</v>
      </c>
    </row>
    <row r="12" spans="1:10" x14ac:dyDescent="0.3">
      <c r="A12" s="119">
        <f>A11+1</f>
        <v>5</v>
      </c>
      <c r="B12" s="139" t="s">
        <v>1298</v>
      </c>
      <c r="C12" s="124" t="s">
        <v>220</v>
      </c>
      <c r="D12" s="310">
        <v>1</v>
      </c>
      <c r="E12" s="308">
        <v>4124.0640000000003</v>
      </c>
      <c r="F12" s="289">
        <f t="shared" si="0"/>
        <v>4124.0600000000004</v>
      </c>
      <c r="G12" s="289">
        <f t="shared" si="1"/>
        <v>4948.87</v>
      </c>
    </row>
    <row r="13" spans="1:10" x14ac:dyDescent="0.3">
      <c r="A13" s="119">
        <f t="shared" ref="A13:A15" si="2">A12+1</f>
        <v>6</v>
      </c>
      <c r="B13" s="139" t="s">
        <v>1270</v>
      </c>
      <c r="C13" s="124" t="s">
        <v>220</v>
      </c>
      <c r="D13" s="310">
        <v>1</v>
      </c>
      <c r="E13" s="308">
        <v>3350.8020000000006</v>
      </c>
      <c r="F13" s="289">
        <f t="shared" si="0"/>
        <v>3350.8</v>
      </c>
      <c r="G13" s="289">
        <f t="shared" si="1"/>
        <v>4020.96</v>
      </c>
    </row>
    <row r="14" spans="1:10" x14ac:dyDescent="0.3">
      <c r="A14" s="119">
        <f t="shared" si="2"/>
        <v>7</v>
      </c>
      <c r="B14" s="131" t="s">
        <v>1299</v>
      </c>
      <c r="C14" s="124" t="s">
        <v>220</v>
      </c>
      <c r="D14" s="119">
        <v>2</v>
      </c>
      <c r="E14" s="308">
        <v>7429.7590500000006</v>
      </c>
      <c r="F14" s="289">
        <f t="shared" si="0"/>
        <v>14859.52</v>
      </c>
      <c r="G14" s="289">
        <f t="shared" si="1"/>
        <v>17831.419999999998</v>
      </c>
    </row>
    <row r="15" spans="1:10" x14ac:dyDescent="0.3">
      <c r="A15" s="119">
        <f t="shared" si="2"/>
        <v>8</v>
      </c>
      <c r="B15" s="131" t="s">
        <v>1300</v>
      </c>
      <c r="C15" s="124" t="s">
        <v>220</v>
      </c>
      <c r="D15" s="119">
        <v>2</v>
      </c>
      <c r="E15" s="308">
        <v>7217.1120000000001</v>
      </c>
      <c r="F15" s="289">
        <f t="shared" si="0"/>
        <v>14434.22</v>
      </c>
      <c r="G15" s="289">
        <f t="shared" si="1"/>
        <v>17321.060000000001</v>
      </c>
    </row>
    <row r="16" spans="1:10" x14ac:dyDescent="0.3">
      <c r="A16" s="119">
        <f t="shared" ref="A16" si="3">A14+1</f>
        <v>8</v>
      </c>
      <c r="B16" s="311" t="s">
        <v>1301</v>
      </c>
      <c r="C16" s="124" t="s">
        <v>220</v>
      </c>
      <c r="D16" s="119">
        <v>72</v>
      </c>
      <c r="E16" s="308">
        <v>4020.9624000000003</v>
      </c>
      <c r="F16" s="289">
        <f t="shared" si="0"/>
        <v>289509.28999999998</v>
      </c>
      <c r="G16" s="289">
        <f t="shared" si="1"/>
        <v>347411.15</v>
      </c>
    </row>
    <row r="17" spans="1:7" x14ac:dyDescent="0.3">
      <c r="A17" s="119">
        <f t="shared" ref="A17:A31" si="4">A16+1</f>
        <v>9</v>
      </c>
      <c r="B17" s="311" t="s">
        <v>1302</v>
      </c>
      <c r="C17" s="124" t="s">
        <v>220</v>
      </c>
      <c r="D17" s="119">
        <v>15</v>
      </c>
      <c r="E17" s="308">
        <v>11856.684000000001</v>
      </c>
      <c r="F17" s="289">
        <f t="shared" si="0"/>
        <v>177850.26</v>
      </c>
      <c r="G17" s="289">
        <f t="shared" si="1"/>
        <v>213420.31</v>
      </c>
    </row>
    <row r="18" spans="1:7" x14ac:dyDescent="0.3">
      <c r="A18" s="119">
        <f t="shared" si="4"/>
        <v>10</v>
      </c>
      <c r="B18" s="311" t="s">
        <v>1271</v>
      </c>
      <c r="C18" s="124" t="s">
        <v>220</v>
      </c>
      <c r="D18" s="119">
        <v>32</v>
      </c>
      <c r="E18" s="308">
        <v>1933.155</v>
      </c>
      <c r="F18" s="289">
        <f t="shared" si="0"/>
        <v>61860.959999999999</v>
      </c>
      <c r="G18" s="289">
        <f t="shared" si="1"/>
        <v>74233.149999999994</v>
      </c>
    </row>
    <row r="19" spans="1:7" x14ac:dyDescent="0.3">
      <c r="A19" s="119">
        <f t="shared" si="4"/>
        <v>11</v>
      </c>
      <c r="B19" s="311" t="s">
        <v>1272</v>
      </c>
      <c r="C19" s="124" t="s">
        <v>194</v>
      </c>
      <c r="D19" s="119">
        <v>427.9</v>
      </c>
      <c r="E19" s="308">
        <v>24.873261000000003</v>
      </c>
      <c r="F19" s="289">
        <f t="shared" si="0"/>
        <v>10643.27</v>
      </c>
      <c r="G19" s="289">
        <f t="shared" si="1"/>
        <v>12771.92</v>
      </c>
    </row>
    <row r="20" spans="1:7" x14ac:dyDescent="0.3">
      <c r="A20" s="119">
        <f t="shared" si="4"/>
        <v>12</v>
      </c>
      <c r="B20" s="311" t="s">
        <v>1273</v>
      </c>
      <c r="C20" s="124" t="s">
        <v>194</v>
      </c>
      <c r="D20" s="119">
        <v>560</v>
      </c>
      <c r="E20" s="308">
        <v>140.47593000000001</v>
      </c>
      <c r="F20" s="289">
        <f t="shared" si="0"/>
        <v>78666.52</v>
      </c>
      <c r="G20" s="289">
        <f t="shared" si="1"/>
        <v>94399.82</v>
      </c>
    </row>
    <row r="21" spans="1:7" x14ac:dyDescent="0.3">
      <c r="A21" s="119">
        <f t="shared" si="4"/>
        <v>13</v>
      </c>
      <c r="B21" s="311" t="s">
        <v>1277</v>
      </c>
      <c r="C21" s="124" t="s">
        <v>220</v>
      </c>
      <c r="D21" s="119">
        <v>6</v>
      </c>
      <c r="E21" s="308">
        <v>2964.1710000000003</v>
      </c>
      <c r="F21" s="289">
        <f t="shared" si="0"/>
        <v>17785.03</v>
      </c>
      <c r="G21" s="289">
        <f t="shared" si="1"/>
        <v>21342.04</v>
      </c>
    </row>
    <row r="22" spans="1:7" x14ac:dyDescent="0.3">
      <c r="A22" s="119">
        <f t="shared" si="4"/>
        <v>14</v>
      </c>
      <c r="B22" s="311" t="s">
        <v>1278</v>
      </c>
      <c r="C22" s="124" t="s">
        <v>1282</v>
      </c>
      <c r="D22" s="119">
        <v>327</v>
      </c>
      <c r="E22" s="308">
        <v>244.86630000000002</v>
      </c>
      <c r="F22" s="289">
        <f t="shared" si="0"/>
        <v>80071.28</v>
      </c>
      <c r="G22" s="289">
        <f t="shared" si="1"/>
        <v>96085.54</v>
      </c>
    </row>
    <row r="23" spans="1:7" x14ac:dyDescent="0.3">
      <c r="A23" s="309"/>
      <c r="B23" s="309" t="s">
        <v>1339</v>
      </c>
      <c r="C23" s="309"/>
      <c r="D23" s="309"/>
      <c r="E23" s="308">
        <v>0</v>
      </c>
      <c r="F23" s="96"/>
      <c r="G23" s="96"/>
    </row>
    <row r="24" spans="1:7" x14ac:dyDescent="0.3">
      <c r="A24" s="119">
        <f>A22+1</f>
        <v>15</v>
      </c>
      <c r="B24" s="311" t="s">
        <v>1303</v>
      </c>
      <c r="C24" s="124" t="s">
        <v>194</v>
      </c>
      <c r="D24" s="119">
        <v>8</v>
      </c>
      <c r="E24" s="308">
        <v>170.11764000000002</v>
      </c>
      <c r="F24" s="289">
        <f t="shared" ref="F24:F31" si="5">ROUND(E24*D24,2)</f>
        <v>1360.94</v>
      </c>
      <c r="G24" s="289">
        <f t="shared" si="1"/>
        <v>1633.13</v>
      </c>
    </row>
    <row r="25" spans="1:7" x14ac:dyDescent="0.3">
      <c r="A25" s="119">
        <f t="shared" si="4"/>
        <v>16</v>
      </c>
      <c r="B25" s="311" t="s">
        <v>1338</v>
      </c>
      <c r="C25" s="124" t="s">
        <v>220</v>
      </c>
      <c r="D25" s="119">
        <v>3</v>
      </c>
      <c r="E25" s="308">
        <v>11856.684000000001</v>
      </c>
      <c r="F25" s="289">
        <f t="shared" si="5"/>
        <v>35570.050000000003</v>
      </c>
      <c r="G25" s="289">
        <f t="shared" si="1"/>
        <v>42684.06</v>
      </c>
    </row>
    <row r="26" spans="1:7" x14ac:dyDescent="0.3">
      <c r="A26" s="119">
        <f t="shared" si="4"/>
        <v>17</v>
      </c>
      <c r="B26" s="311" t="s">
        <v>1274</v>
      </c>
      <c r="C26" s="124" t="s">
        <v>220</v>
      </c>
      <c r="D26" s="119">
        <v>3</v>
      </c>
      <c r="E26" s="308">
        <v>840.27804000000003</v>
      </c>
      <c r="F26" s="289">
        <f t="shared" si="5"/>
        <v>2520.83</v>
      </c>
      <c r="G26" s="289">
        <f t="shared" si="1"/>
        <v>3025</v>
      </c>
    </row>
    <row r="27" spans="1:7" x14ac:dyDescent="0.3">
      <c r="A27" s="119">
        <f t="shared" si="4"/>
        <v>18</v>
      </c>
      <c r="B27" s="311" t="s">
        <v>1281</v>
      </c>
      <c r="C27" s="124" t="s">
        <v>220</v>
      </c>
      <c r="D27" s="119">
        <v>6</v>
      </c>
      <c r="E27" s="308">
        <v>554.17110000000002</v>
      </c>
      <c r="F27" s="289">
        <f t="shared" si="5"/>
        <v>3325.03</v>
      </c>
      <c r="G27" s="289">
        <f t="shared" si="1"/>
        <v>3990.04</v>
      </c>
    </row>
    <row r="28" spans="1:7" x14ac:dyDescent="0.3">
      <c r="A28" s="119">
        <f t="shared" si="4"/>
        <v>19</v>
      </c>
      <c r="B28" s="311" t="s">
        <v>1280</v>
      </c>
      <c r="C28" s="124" t="s">
        <v>220</v>
      </c>
      <c r="D28" s="119">
        <v>3</v>
      </c>
      <c r="E28" s="308">
        <v>82.481280000000012</v>
      </c>
      <c r="F28" s="289">
        <f t="shared" si="5"/>
        <v>247.44</v>
      </c>
      <c r="G28" s="289">
        <f t="shared" si="1"/>
        <v>296.93</v>
      </c>
    </row>
    <row r="29" spans="1:7" x14ac:dyDescent="0.3">
      <c r="A29" s="119">
        <f t="shared" si="4"/>
        <v>20</v>
      </c>
      <c r="B29" s="311" t="s">
        <v>1279</v>
      </c>
      <c r="C29" s="124" t="s">
        <v>220</v>
      </c>
      <c r="D29" s="119">
        <v>3</v>
      </c>
      <c r="E29" s="308">
        <v>229.40106</v>
      </c>
      <c r="F29" s="289">
        <f t="shared" si="5"/>
        <v>688.2</v>
      </c>
      <c r="G29" s="289">
        <f t="shared" si="1"/>
        <v>825.84</v>
      </c>
    </row>
    <row r="30" spans="1:7" x14ac:dyDescent="0.3">
      <c r="A30" s="119">
        <f t="shared" si="4"/>
        <v>21</v>
      </c>
      <c r="B30" s="311" t="s">
        <v>1275</v>
      </c>
      <c r="C30" s="124" t="s">
        <v>220</v>
      </c>
      <c r="D30" s="119">
        <v>3</v>
      </c>
      <c r="E30" s="308">
        <v>170.11764000000002</v>
      </c>
      <c r="F30" s="289">
        <f t="shared" si="5"/>
        <v>510.35</v>
      </c>
      <c r="G30" s="289">
        <f t="shared" si="1"/>
        <v>612.41999999999996</v>
      </c>
    </row>
    <row r="31" spans="1:7" x14ac:dyDescent="0.3">
      <c r="A31" s="119">
        <f t="shared" si="4"/>
        <v>22</v>
      </c>
      <c r="B31" s="311" t="s">
        <v>1276</v>
      </c>
      <c r="C31" s="124" t="s">
        <v>220</v>
      </c>
      <c r="D31" s="119">
        <v>3</v>
      </c>
      <c r="E31" s="308">
        <v>128.87700000000001</v>
      </c>
      <c r="F31" s="289">
        <f t="shared" si="5"/>
        <v>386.63</v>
      </c>
      <c r="G31" s="289">
        <f t="shared" si="1"/>
        <v>463.96</v>
      </c>
    </row>
    <row r="32" spans="1:7" s="1" customFormat="1" ht="18.75" customHeight="1" x14ac:dyDescent="0.3">
      <c r="A32" s="100"/>
      <c r="B32" s="549" t="s">
        <v>716</v>
      </c>
      <c r="C32" s="550"/>
      <c r="D32" s="550"/>
      <c r="E32" s="551"/>
      <c r="F32" s="111">
        <f>SUM(F7:F31)</f>
        <v>2439875.9699999993</v>
      </c>
      <c r="G32" s="111">
        <f>SUM(G7:G31)</f>
        <v>2927851.1699999995</v>
      </c>
    </row>
    <row r="35" spans="7:7" x14ac:dyDescent="0.3">
      <c r="G35" s="26"/>
    </row>
  </sheetData>
  <mergeCells count="9">
    <mergeCell ref="F1:F3"/>
    <mergeCell ref="G1:G3"/>
    <mergeCell ref="B32:E32"/>
    <mergeCell ref="A1:A3"/>
    <mergeCell ref="B1:B3"/>
    <mergeCell ref="C1:C3"/>
    <mergeCell ref="D1:D3"/>
    <mergeCell ref="A5:D5"/>
    <mergeCell ref="E1:E3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J100"/>
  <sheetViews>
    <sheetView topLeftCell="A85" zoomScaleNormal="100" zoomScaleSheetLayoutView="80" workbookViewId="0">
      <selection activeCell="E101" sqref="E101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91" t="s">
        <v>441</v>
      </c>
      <c r="F1" s="489" t="s">
        <v>433</v>
      </c>
      <c r="G1" s="487" t="s">
        <v>409</v>
      </c>
    </row>
    <row r="2" spans="1:10" ht="14.55" customHeight="1" x14ac:dyDescent="0.3">
      <c r="A2" s="481"/>
      <c r="B2" s="484"/>
      <c r="C2" s="486"/>
      <c r="D2" s="486"/>
      <c r="E2" s="491"/>
      <c r="F2" s="489"/>
      <c r="G2" s="487"/>
      <c r="J2" s="382"/>
    </row>
    <row r="3" spans="1:10" ht="31.8" customHeight="1" x14ac:dyDescent="0.3">
      <c r="A3" s="482"/>
      <c r="B3" s="485"/>
      <c r="C3" s="486"/>
      <c r="D3" s="486"/>
      <c r="E3" s="492"/>
      <c r="F3" s="490"/>
      <c r="G3" s="488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78" t="s">
        <v>1511</v>
      </c>
      <c r="C5" s="479"/>
      <c r="D5" s="479"/>
      <c r="E5" s="175"/>
      <c r="F5" s="176"/>
      <c r="G5" s="176"/>
      <c r="H5" s="323">
        <f>SUM(G7:G54)</f>
        <v>7523168.3999999994</v>
      </c>
    </row>
    <row r="6" spans="1:10" ht="27.6" x14ac:dyDescent="0.3">
      <c r="A6" s="290"/>
      <c r="B6" s="384" t="s">
        <v>1512</v>
      </c>
      <c r="C6" s="399"/>
      <c r="D6" s="399"/>
      <c r="E6" s="400"/>
      <c r="F6" s="401"/>
      <c r="G6" s="385"/>
    </row>
    <row r="7" spans="1:10" ht="15.6" x14ac:dyDescent="0.3">
      <c r="A7" s="286"/>
      <c r="B7" s="402" t="s">
        <v>1513</v>
      </c>
      <c r="C7" s="324"/>
      <c r="D7" s="326"/>
      <c r="E7" s="296"/>
      <c r="F7" s="289"/>
      <c r="G7" s="289"/>
    </row>
    <row r="8" spans="1:10" ht="15.6" x14ac:dyDescent="0.3">
      <c r="A8" s="286">
        <v>1</v>
      </c>
      <c r="B8" s="403" t="s">
        <v>1616</v>
      </c>
      <c r="C8" s="324" t="s">
        <v>431</v>
      </c>
      <c r="D8" s="326">
        <v>280</v>
      </c>
      <c r="E8" s="296">
        <v>1132.9248772799999</v>
      </c>
      <c r="F8" s="289">
        <f t="shared" ref="F8:F15" si="0">ROUND(E8*D8,2)</f>
        <v>317218.96999999997</v>
      </c>
      <c r="G8" s="289">
        <f t="shared" ref="G8:G15" si="1">ROUND(F8*1.2,2)</f>
        <v>380662.76</v>
      </c>
    </row>
    <row r="9" spans="1:10" ht="15.6" x14ac:dyDescent="0.3">
      <c r="A9" s="290">
        <f>A8+1</f>
        <v>2</v>
      </c>
      <c r="B9" s="403" t="s">
        <v>1605</v>
      </c>
      <c r="C9" s="324" t="s">
        <v>239</v>
      </c>
      <c r="D9" s="326">
        <v>47.98</v>
      </c>
      <c r="E9" s="296">
        <v>4948.6442400000005</v>
      </c>
      <c r="F9" s="289">
        <f t="shared" si="0"/>
        <v>237435.95</v>
      </c>
      <c r="G9" s="289">
        <f t="shared" ref="G9" si="2">ROUND(F9*1.2,2)</f>
        <v>284923.14</v>
      </c>
    </row>
    <row r="10" spans="1:10" ht="15.6" x14ac:dyDescent="0.3">
      <c r="A10" s="290">
        <f>A9+1</f>
        <v>3</v>
      </c>
      <c r="B10" s="325" t="s">
        <v>1514</v>
      </c>
      <c r="C10" s="324" t="s">
        <v>193</v>
      </c>
      <c r="D10" s="326">
        <v>259.2</v>
      </c>
      <c r="E10" s="296">
        <v>464.82929999999999</v>
      </c>
      <c r="F10" s="289">
        <f t="shared" si="0"/>
        <v>120483.75</v>
      </c>
      <c r="G10" s="289">
        <f t="shared" si="1"/>
        <v>144580.5</v>
      </c>
    </row>
    <row r="11" spans="1:10" ht="15.6" x14ac:dyDescent="0.3">
      <c r="A11" s="286">
        <f>A10+1</f>
        <v>4</v>
      </c>
      <c r="B11" s="325" t="s">
        <v>444</v>
      </c>
      <c r="C11" s="324" t="s">
        <v>193</v>
      </c>
      <c r="D11" s="326">
        <v>4.54</v>
      </c>
      <c r="E11" s="296">
        <v>2541.5435879999995</v>
      </c>
      <c r="F11" s="289">
        <f t="shared" si="0"/>
        <v>11538.61</v>
      </c>
      <c r="G11" s="289">
        <f t="shared" si="1"/>
        <v>13846.33</v>
      </c>
    </row>
    <row r="12" spans="1:10" ht="15.6" x14ac:dyDescent="0.3">
      <c r="A12" s="286">
        <f t="shared" ref="A12:A15" si="3">A11+1</f>
        <v>5</v>
      </c>
      <c r="B12" s="325" t="s">
        <v>518</v>
      </c>
      <c r="C12" s="324" t="s">
        <v>239</v>
      </c>
      <c r="D12" s="383">
        <v>34.799999999999997</v>
      </c>
      <c r="E12" s="296">
        <v>464.82929999999999</v>
      </c>
      <c r="F12" s="289">
        <f t="shared" si="0"/>
        <v>16176.06</v>
      </c>
      <c r="G12" s="289">
        <f t="shared" si="1"/>
        <v>19411.27</v>
      </c>
    </row>
    <row r="13" spans="1:10" ht="15.6" x14ac:dyDescent="0.3">
      <c r="A13" s="466">
        <f t="shared" si="3"/>
        <v>6</v>
      </c>
      <c r="B13" s="325" t="s">
        <v>503</v>
      </c>
      <c r="C13" s="324" t="s">
        <v>239</v>
      </c>
      <c r="D13" s="383">
        <v>34.799999999999997</v>
      </c>
      <c r="E13" s="296">
        <f>'исключение-свод'!D1</f>
        <v>4948.6400000000003</v>
      </c>
      <c r="F13" s="289">
        <f t="shared" si="0"/>
        <v>172212.67</v>
      </c>
      <c r="G13" s="289">
        <f t="shared" si="1"/>
        <v>206655.2</v>
      </c>
    </row>
    <row r="14" spans="1:10" ht="15.6" x14ac:dyDescent="0.3">
      <c r="A14" s="286">
        <f t="shared" si="3"/>
        <v>7</v>
      </c>
      <c r="B14" s="325" t="s">
        <v>537</v>
      </c>
      <c r="C14" s="404" t="s">
        <v>193</v>
      </c>
      <c r="D14" s="326">
        <v>193.6</v>
      </c>
      <c r="E14" s="296">
        <v>464.82929999999999</v>
      </c>
      <c r="F14" s="289">
        <f t="shared" si="0"/>
        <v>89990.95</v>
      </c>
      <c r="G14" s="289">
        <f t="shared" si="1"/>
        <v>107989.14</v>
      </c>
    </row>
    <row r="15" spans="1:10" ht="15.6" x14ac:dyDescent="0.3">
      <c r="A15" s="286">
        <f t="shared" si="3"/>
        <v>8</v>
      </c>
      <c r="B15" s="325" t="s">
        <v>691</v>
      </c>
      <c r="C15" s="324" t="s">
        <v>193</v>
      </c>
      <c r="D15" s="326">
        <v>48.4</v>
      </c>
      <c r="E15" s="296">
        <v>1285.789356</v>
      </c>
      <c r="F15" s="289">
        <f t="shared" si="0"/>
        <v>62232.2</v>
      </c>
      <c r="G15" s="289">
        <f t="shared" si="1"/>
        <v>74678.64</v>
      </c>
    </row>
    <row r="16" spans="1:10" ht="15.6" x14ac:dyDescent="0.3">
      <c r="A16" s="286"/>
      <c r="B16" s="402" t="s">
        <v>1347</v>
      </c>
      <c r="C16" s="324"/>
      <c r="D16" s="405"/>
      <c r="E16" s="296">
        <v>0</v>
      </c>
      <c r="F16" s="289"/>
      <c r="G16" s="289"/>
    </row>
    <row r="17" spans="1:7" ht="27.6" x14ac:dyDescent="0.3">
      <c r="A17" s="290">
        <f>A15+1</f>
        <v>9</v>
      </c>
      <c r="B17" s="325" t="s">
        <v>1515</v>
      </c>
      <c r="C17" s="324" t="s">
        <v>193</v>
      </c>
      <c r="D17" s="326">
        <v>21.2</v>
      </c>
      <c r="E17" s="296">
        <v>12458.855484</v>
      </c>
      <c r="F17" s="289">
        <f>ROUND(E17*D17,2)</f>
        <v>264127.74</v>
      </c>
      <c r="G17" s="289">
        <f t="shared" ref="G17:G21" si="4">ROUND(F17*1.2,2)</f>
        <v>316953.28999999998</v>
      </c>
    </row>
    <row r="18" spans="1:7" ht="27.6" x14ac:dyDescent="0.3">
      <c r="A18" s="286">
        <f>A17+1</f>
        <v>10</v>
      </c>
      <c r="B18" s="325" t="s">
        <v>1516</v>
      </c>
      <c r="C18" s="324" t="s">
        <v>193</v>
      </c>
      <c r="D18" s="326">
        <v>4.05</v>
      </c>
      <c r="E18" s="296">
        <v>3970.3573439999996</v>
      </c>
      <c r="F18" s="289">
        <f>ROUND(E18*D18,2)</f>
        <v>16079.95</v>
      </c>
      <c r="G18" s="289">
        <f t="shared" si="4"/>
        <v>19295.939999999999</v>
      </c>
    </row>
    <row r="19" spans="1:7" ht="27.6" x14ac:dyDescent="0.3">
      <c r="A19" s="286">
        <f t="shared" ref="A19:A21" si="5">A18+1</f>
        <v>11</v>
      </c>
      <c r="B19" s="325" t="s">
        <v>1517</v>
      </c>
      <c r="C19" s="324" t="s">
        <v>1518</v>
      </c>
      <c r="D19" s="326">
        <v>81.91</v>
      </c>
      <c r="E19" s="296">
        <v>1441.2535526511631</v>
      </c>
      <c r="F19" s="289">
        <f>ROUND(E19*D19,2)</f>
        <v>118053.08</v>
      </c>
      <c r="G19" s="289">
        <f t="shared" si="4"/>
        <v>141663.70000000001</v>
      </c>
    </row>
    <row r="20" spans="1:7" ht="27.6" x14ac:dyDescent="0.3">
      <c r="A20" s="286">
        <f t="shared" si="5"/>
        <v>12</v>
      </c>
      <c r="B20" s="325" t="s">
        <v>929</v>
      </c>
      <c r="C20" s="404" t="s">
        <v>431</v>
      </c>
      <c r="D20" s="326">
        <v>81.91</v>
      </c>
      <c r="E20" s="296">
        <v>217.397088</v>
      </c>
      <c r="F20" s="289">
        <f>ROUND(E20*D20,2)</f>
        <v>17807</v>
      </c>
      <c r="G20" s="289">
        <f t="shared" si="4"/>
        <v>21368.400000000001</v>
      </c>
    </row>
    <row r="21" spans="1:7" ht="27.6" x14ac:dyDescent="0.3">
      <c r="A21" s="286">
        <f t="shared" si="5"/>
        <v>13</v>
      </c>
      <c r="B21" s="325" t="s">
        <v>930</v>
      </c>
      <c r="C21" s="324" t="s">
        <v>431</v>
      </c>
      <c r="D21" s="326">
        <v>81.91</v>
      </c>
      <c r="E21" s="296">
        <v>451.29919176000004</v>
      </c>
      <c r="F21" s="289">
        <f>ROUND(E21*D21,2)</f>
        <v>36965.919999999998</v>
      </c>
      <c r="G21" s="289">
        <f t="shared" si="4"/>
        <v>44359.1</v>
      </c>
    </row>
    <row r="22" spans="1:7" ht="15.6" x14ac:dyDescent="0.3">
      <c r="A22" s="290"/>
      <c r="B22" s="402" t="s">
        <v>1519</v>
      </c>
      <c r="C22" s="324"/>
      <c r="D22" s="406"/>
      <c r="E22" s="296">
        <v>0</v>
      </c>
      <c r="F22" s="289"/>
      <c r="G22" s="289"/>
    </row>
    <row r="23" spans="1:7" ht="15.6" x14ac:dyDescent="0.3">
      <c r="A23" s="286">
        <f>A21+1</f>
        <v>14</v>
      </c>
      <c r="B23" s="325" t="s">
        <v>1520</v>
      </c>
      <c r="C23" s="324" t="s">
        <v>220</v>
      </c>
      <c r="D23" s="407">
        <v>2</v>
      </c>
      <c r="E23" s="296">
        <v>218418.28221599999</v>
      </c>
      <c r="F23" s="289">
        <f t="shared" ref="F23:F32" si="6">ROUND(E23*D23,2)</f>
        <v>436836.56</v>
      </c>
      <c r="G23" s="289">
        <f t="shared" ref="G23:G32" si="7">ROUND(F23*1.2,2)</f>
        <v>524203.87</v>
      </c>
    </row>
    <row r="24" spans="1:7" ht="18" customHeight="1" x14ac:dyDescent="0.3">
      <c r="A24" s="286">
        <f>A23+1</f>
        <v>15</v>
      </c>
      <c r="B24" s="325" t="s">
        <v>1521</v>
      </c>
      <c r="C24" s="324" t="s">
        <v>220</v>
      </c>
      <c r="D24" s="407">
        <v>2</v>
      </c>
      <c r="E24" s="296">
        <v>223364.06596799998</v>
      </c>
      <c r="F24" s="289">
        <f t="shared" si="6"/>
        <v>446728.13</v>
      </c>
      <c r="G24" s="289">
        <f t="shared" si="7"/>
        <v>536073.76</v>
      </c>
    </row>
    <row r="25" spans="1:7" ht="15.6" x14ac:dyDescent="0.3">
      <c r="A25" s="286">
        <f t="shared" ref="A25:A32" si="8">A24+1</f>
        <v>16</v>
      </c>
      <c r="B25" s="325" t="s">
        <v>1522</v>
      </c>
      <c r="C25" s="324" t="s">
        <v>220</v>
      </c>
      <c r="D25" s="407">
        <v>1</v>
      </c>
      <c r="E25" s="296">
        <v>278587.21705199999</v>
      </c>
      <c r="F25" s="289">
        <f t="shared" si="6"/>
        <v>278587.21999999997</v>
      </c>
      <c r="G25" s="289">
        <f t="shared" si="7"/>
        <v>334304.65999999997</v>
      </c>
    </row>
    <row r="26" spans="1:7" ht="27.6" x14ac:dyDescent="0.3">
      <c r="A26" s="286">
        <f t="shared" si="8"/>
        <v>17</v>
      </c>
      <c r="B26" s="325" t="s">
        <v>1523</v>
      </c>
      <c r="C26" s="324" t="s">
        <v>220</v>
      </c>
      <c r="D26" s="407">
        <v>1</v>
      </c>
      <c r="E26" s="296">
        <v>320773.69407599996</v>
      </c>
      <c r="F26" s="289">
        <f t="shared" si="6"/>
        <v>320773.69</v>
      </c>
      <c r="G26" s="289">
        <f t="shared" si="7"/>
        <v>384928.43</v>
      </c>
    </row>
    <row r="27" spans="1:7" ht="27.6" x14ac:dyDescent="0.3">
      <c r="A27" s="286">
        <f t="shared" si="8"/>
        <v>18</v>
      </c>
      <c r="B27" s="325" t="s">
        <v>1524</v>
      </c>
      <c r="C27" s="324" t="s">
        <v>220</v>
      </c>
      <c r="D27" s="407">
        <v>1</v>
      </c>
      <c r="E27" s="296">
        <v>195517.21528799998</v>
      </c>
      <c r="F27" s="289">
        <f t="shared" si="6"/>
        <v>195517.22</v>
      </c>
      <c r="G27" s="289">
        <f t="shared" si="7"/>
        <v>234620.66</v>
      </c>
    </row>
    <row r="28" spans="1:7" ht="15.6" x14ac:dyDescent="0.3">
      <c r="A28" s="286">
        <f t="shared" si="8"/>
        <v>19</v>
      </c>
      <c r="B28" s="325" t="s">
        <v>1525</v>
      </c>
      <c r="C28" s="324" t="s">
        <v>239</v>
      </c>
      <c r="D28" s="408">
        <v>0.379</v>
      </c>
      <c r="E28" s="296">
        <v>69281.925055408967</v>
      </c>
      <c r="F28" s="289">
        <f t="shared" si="6"/>
        <v>26257.85</v>
      </c>
      <c r="G28" s="289">
        <f t="shared" si="7"/>
        <v>31509.42</v>
      </c>
    </row>
    <row r="29" spans="1:7" ht="15.6" x14ac:dyDescent="0.3">
      <c r="A29" s="286">
        <f t="shared" si="8"/>
        <v>20</v>
      </c>
      <c r="B29" s="325" t="s">
        <v>1526</v>
      </c>
      <c r="C29" s="324" t="s">
        <v>220</v>
      </c>
      <c r="D29" s="407">
        <v>5</v>
      </c>
      <c r="E29" s="296">
        <v>7537.9579775999991</v>
      </c>
      <c r="F29" s="289">
        <f t="shared" si="6"/>
        <v>37689.79</v>
      </c>
      <c r="G29" s="289">
        <f t="shared" si="7"/>
        <v>45227.75</v>
      </c>
    </row>
    <row r="30" spans="1:7" ht="27.6" x14ac:dyDescent="0.3">
      <c r="A30" s="286">
        <f t="shared" si="8"/>
        <v>21</v>
      </c>
      <c r="B30" s="325" t="s">
        <v>547</v>
      </c>
      <c r="C30" s="324" t="s">
        <v>431</v>
      </c>
      <c r="D30" s="328">
        <v>37</v>
      </c>
      <c r="E30" s="296">
        <v>260.30440800000002</v>
      </c>
      <c r="F30" s="289">
        <f t="shared" si="6"/>
        <v>9631.26</v>
      </c>
      <c r="G30" s="289">
        <f t="shared" si="7"/>
        <v>11557.51</v>
      </c>
    </row>
    <row r="31" spans="1:7" ht="15.6" x14ac:dyDescent="0.3">
      <c r="A31" s="286">
        <f t="shared" si="8"/>
        <v>22</v>
      </c>
      <c r="B31" s="325" t="s">
        <v>548</v>
      </c>
      <c r="C31" s="324" t="s">
        <v>431</v>
      </c>
      <c r="D31" s="328">
        <v>37</v>
      </c>
      <c r="E31" s="296">
        <v>260.30440800000002</v>
      </c>
      <c r="F31" s="289">
        <f t="shared" si="6"/>
        <v>9631.26</v>
      </c>
      <c r="G31" s="289">
        <f t="shared" si="7"/>
        <v>11557.51</v>
      </c>
    </row>
    <row r="32" spans="1:7" ht="27.6" x14ac:dyDescent="0.3">
      <c r="A32" s="286">
        <f t="shared" si="8"/>
        <v>23</v>
      </c>
      <c r="B32" s="325" t="s">
        <v>929</v>
      </c>
      <c r="C32" s="324" t="s">
        <v>431</v>
      </c>
      <c r="D32" s="328">
        <v>37</v>
      </c>
      <c r="E32" s="296">
        <v>217.397088</v>
      </c>
      <c r="F32" s="289">
        <f t="shared" si="6"/>
        <v>8043.69</v>
      </c>
      <c r="G32" s="289">
        <f t="shared" si="7"/>
        <v>9652.43</v>
      </c>
    </row>
    <row r="33" spans="1:7" ht="27.6" x14ac:dyDescent="0.3">
      <c r="A33" s="286"/>
      <c r="B33" s="402" t="s">
        <v>1527</v>
      </c>
      <c r="C33" s="324"/>
      <c r="D33" s="326"/>
      <c r="E33" s="296">
        <v>0</v>
      </c>
      <c r="F33" s="289"/>
      <c r="G33" s="289"/>
    </row>
    <row r="34" spans="1:7" ht="18.75" customHeight="1" x14ac:dyDescent="0.3">
      <c r="A34" s="286"/>
      <c r="B34" s="384" t="s">
        <v>1528</v>
      </c>
      <c r="C34" s="324"/>
      <c r="D34" s="406"/>
      <c r="E34" s="296">
        <v>0</v>
      </c>
      <c r="F34" s="289"/>
      <c r="G34" s="289"/>
    </row>
    <row r="35" spans="1:7" ht="15.6" x14ac:dyDescent="0.3">
      <c r="A35" s="290">
        <f>A32+1</f>
        <v>24</v>
      </c>
      <c r="B35" s="325" t="s">
        <v>1616</v>
      </c>
      <c r="C35" s="324" t="s">
        <v>431</v>
      </c>
      <c r="D35" s="407">
        <v>280</v>
      </c>
      <c r="E35" s="296">
        <v>1132.9248772799999</v>
      </c>
      <c r="F35" s="289">
        <f t="shared" ref="F35:F42" si="9">ROUND(E35*D35,2)</f>
        <v>317218.96999999997</v>
      </c>
      <c r="G35" s="289">
        <f t="shared" ref="G35" si="10">ROUND(F35*1.2,2)</f>
        <v>380662.76</v>
      </c>
    </row>
    <row r="36" spans="1:7" ht="15.6" x14ac:dyDescent="0.3">
      <c r="A36" s="290">
        <f>A35+1</f>
        <v>25</v>
      </c>
      <c r="B36" s="403" t="s">
        <v>1605</v>
      </c>
      <c r="C36" s="324" t="s">
        <v>239</v>
      </c>
      <c r="D36" s="326">
        <v>47.98</v>
      </c>
      <c r="E36" s="296">
        <v>4948.6442400000005</v>
      </c>
      <c r="F36" s="289">
        <f t="shared" si="9"/>
        <v>237435.95</v>
      </c>
      <c r="G36" s="289">
        <f t="shared" ref="G36:G42" si="11">ROUND(F36*1.2,2)</f>
        <v>284923.14</v>
      </c>
    </row>
    <row r="37" spans="1:7" ht="15.6" x14ac:dyDescent="0.3">
      <c r="A37" s="290">
        <f>A35+1</f>
        <v>25</v>
      </c>
      <c r="B37" s="325" t="s">
        <v>1514</v>
      </c>
      <c r="C37" s="324" t="s">
        <v>193</v>
      </c>
      <c r="D37" s="409">
        <v>259.2</v>
      </c>
      <c r="E37" s="296">
        <v>464.82929999999999</v>
      </c>
      <c r="F37" s="289">
        <f t="shared" si="9"/>
        <v>120483.75</v>
      </c>
      <c r="G37" s="289">
        <f t="shared" si="11"/>
        <v>144580.5</v>
      </c>
    </row>
    <row r="38" spans="1:7" ht="15.6" x14ac:dyDescent="0.3">
      <c r="A38" s="290">
        <f t="shared" ref="A38:A42" si="12">A37+1</f>
        <v>26</v>
      </c>
      <c r="B38" s="325" t="s">
        <v>444</v>
      </c>
      <c r="C38" s="324" t="s">
        <v>193</v>
      </c>
      <c r="D38" s="410">
        <v>4.54</v>
      </c>
      <c r="E38" s="296">
        <v>2541.5435879999995</v>
      </c>
      <c r="F38" s="289">
        <f t="shared" si="9"/>
        <v>11538.61</v>
      </c>
      <c r="G38" s="289">
        <f t="shared" si="11"/>
        <v>13846.33</v>
      </c>
    </row>
    <row r="39" spans="1:7" ht="15.6" x14ac:dyDescent="0.3">
      <c r="A39" s="290">
        <f t="shared" si="12"/>
        <v>27</v>
      </c>
      <c r="B39" s="325" t="s">
        <v>518</v>
      </c>
      <c r="C39" s="324" t="s">
        <v>239</v>
      </c>
      <c r="D39" s="383">
        <v>34.799999999999997</v>
      </c>
      <c r="E39" s="296">
        <v>464.82929999999999</v>
      </c>
      <c r="F39" s="289">
        <f t="shared" si="9"/>
        <v>16176.06</v>
      </c>
      <c r="G39" s="289">
        <f t="shared" si="11"/>
        <v>19411.27</v>
      </c>
    </row>
    <row r="40" spans="1:7" ht="15.6" x14ac:dyDescent="0.3">
      <c r="A40" s="583">
        <f t="shared" si="12"/>
        <v>28</v>
      </c>
      <c r="B40" s="325" t="s">
        <v>503</v>
      </c>
      <c r="C40" s="324" t="s">
        <v>239</v>
      </c>
      <c r="D40" s="383">
        <v>34.799999999999997</v>
      </c>
      <c r="E40" s="296">
        <f>'исключение-свод'!D1</f>
        <v>4948.6400000000003</v>
      </c>
      <c r="F40" s="289">
        <f t="shared" si="9"/>
        <v>172212.67</v>
      </c>
      <c r="G40" s="289">
        <f t="shared" si="11"/>
        <v>206655.2</v>
      </c>
    </row>
    <row r="41" spans="1:7" ht="15.6" x14ac:dyDescent="0.3">
      <c r="A41" s="290">
        <f t="shared" si="12"/>
        <v>29</v>
      </c>
      <c r="B41" s="325" t="s">
        <v>537</v>
      </c>
      <c r="C41" s="324" t="s">
        <v>193</v>
      </c>
      <c r="D41" s="410">
        <v>228.41</v>
      </c>
      <c r="E41" s="296">
        <v>464.82929999999999</v>
      </c>
      <c r="F41" s="289">
        <f t="shared" si="9"/>
        <v>106171.66</v>
      </c>
      <c r="G41" s="289">
        <f t="shared" si="11"/>
        <v>127405.99</v>
      </c>
    </row>
    <row r="42" spans="1:7" ht="15.6" x14ac:dyDescent="0.3">
      <c r="A42" s="290">
        <f t="shared" si="12"/>
        <v>30</v>
      </c>
      <c r="B42" s="325" t="s">
        <v>691</v>
      </c>
      <c r="C42" s="324" t="s">
        <v>193</v>
      </c>
      <c r="D42" s="409">
        <v>57.1</v>
      </c>
      <c r="E42" s="296">
        <v>1285.789356</v>
      </c>
      <c r="F42" s="289">
        <f t="shared" si="9"/>
        <v>73418.570000000007</v>
      </c>
      <c r="G42" s="289">
        <f t="shared" si="11"/>
        <v>88102.28</v>
      </c>
    </row>
    <row r="43" spans="1:7" ht="15.6" x14ac:dyDescent="0.3">
      <c r="A43" s="290"/>
      <c r="B43" s="402" t="s">
        <v>1529</v>
      </c>
      <c r="C43" s="324"/>
      <c r="D43" s="406"/>
      <c r="E43" s="296">
        <v>0</v>
      </c>
      <c r="F43" s="289"/>
      <c r="G43" s="289"/>
    </row>
    <row r="44" spans="1:7" ht="15.6" x14ac:dyDescent="0.3">
      <c r="A44" s="286">
        <f>A42+1</f>
        <v>31</v>
      </c>
      <c r="B44" s="325" t="s">
        <v>1530</v>
      </c>
      <c r="C44" s="324" t="s">
        <v>193</v>
      </c>
      <c r="D44" s="409">
        <v>21.2</v>
      </c>
      <c r="E44" s="296">
        <v>9592.6465079999998</v>
      </c>
      <c r="F44" s="289">
        <f>ROUND(E44*D44,2)</f>
        <v>203364.11</v>
      </c>
      <c r="G44" s="289">
        <f t="shared" ref="G44" si="13">ROUND(F44*1.2,2)</f>
        <v>244036.93</v>
      </c>
    </row>
    <row r="45" spans="1:7" ht="15.6" x14ac:dyDescent="0.3">
      <c r="A45" s="286"/>
      <c r="B45" s="402" t="s">
        <v>1531</v>
      </c>
      <c r="C45" s="324"/>
      <c r="D45" s="406"/>
      <c r="E45" s="296">
        <v>0</v>
      </c>
      <c r="F45" s="289"/>
      <c r="G45" s="289"/>
    </row>
    <row r="46" spans="1:7" ht="15.6" x14ac:dyDescent="0.3">
      <c r="A46" s="290">
        <f>A44+1</f>
        <v>32</v>
      </c>
      <c r="B46" s="325" t="s">
        <v>1532</v>
      </c>
      <c r="C46" s="324" t="s">
        <v>220</v>
      </c>
      <c r="D46" s="411" t="s">
        <v>586</v>
      </c>
      <c r="E46" s="296">
        <v>104872.6413</v>
      </c>
      <c r="F46" s="289">
        <f t="shared" ref="F46:F54" si="14">ROUND(E46*D46,2)</f>
        <v>419490.57</v>
      </c>
      <c r="G46" s="289">
        <f t="shared" ref="G46:G54" si="15">ROUND(F46*1.2,2)</f>
        <v>503388.68</v>
      </c>
    </row>
    <row r="47" spans="1:7" ht="27.6" x14ac:dyDescent="0.3">
      <c r="A47" s="286">
        <f>A46+1</f>
        <v>33</v>
      </c>
      <c r="B47" s="325" t="s">
        <v>1533</v>
      </c>
      <c r="C47" s="324" t="s">
        <v>220</v>
      </c>
      <c r="D47" s="411" t="s">
        <v>776</v>
      </c>
      <c r="E47" s="296">
        <v>12344.435963999998</v>
      </c>
      <c r="F47" s="289">
        <f t="shared" si="14"/>
        <v>74066.62</v>
      </c>
      <c r="G47" s="289">
        <f t="shared" si="15"/>
        <v>88879.94</v>
      </c>
    </row>
    <row r="48" spans="1:7" ht="15.6" x14ac:dyDescent="0.3">
      <c r="A48" s="286">
        <f t="shared" ref="A48:A54" si="16">A47+1</f>
        <v>34</v>
      </c>
      <c r="B48" s="325" t="s">
        <v>1534</v>
      </c>
      <c r="C48" s="324" t="s">
        <v>254</v>
      </c>
      <c r="D48" s="407">
        <v>1480</v>
      </c>
      <c r="E48" s="296">
        <v>47.222211527027035</v>
      </c>
      <c r="F48" s="289">
        <f t="shared" si="14"/>
        <v>69888.87</v>
      </c>
      <c r="G48" s="289">
        <f t="shared" si="15"/>
        <v>83866.64</v>
      </c>
    </row>
    <row r="49" spans="1:8" ht="15.6" x14ac:dyDescent="0.3">
      <c r="A49" s="286">
        <f t="shared" si="16"/>
        <v>35</v>
      </c>
      <c r="B49" s="325" t="s">
        <v>1535</v>
      </c>
      <c r="C49" s="324" t="s">
        <v>220</v>
      </c>
      <c r="D49" s="411" t="s">
        <v>757</v>
      </c>
      <c r="E49" s="296">
        <v>342088.62040799996</v>
      </c>
      <c r="F49" s="289">
        <f t="shared" si="14"/>
        <v>342088.62</v>
      </c>
      <c r="G49" s="289">
        <f t="shared" si="15"/>
        <v>410506.34</v>
      </c>
    </row>
    <row r="50" spans="1:8" ht="15.6" x14ac:dyDescent="0.3">
      <c r="A50" s="286">
        <f t="shared" si="16"/>
        <v>36</v>
      </c>
      <c r="B50" s="325" t="s">
        <v>1536</v>
      </c>
      <c r="C50" s="324" t="s">
        <v>220</v>
      </c>
      <c r="D50" s="411" t="s">
        <v>757</v>
      </c>
      <c r="E50" s="296">
        <v>361438.39148399996</v>
      </c>
      <c r="F50" s="289">
        <f t="shared" si="14"/>
        <v>361438.39</v>
      </c>
      <c r="G50" s="289">
        <f t="shared" si="15"/>
        <v>433726.07</v>
      </c>
    </row>
    <row r="51" spans="1:8" ht="15.6" x14ac:dyDescent="0.3">
      <c r="A51" s="286">
        <f t="shared" si="16"/>
        <v>37</v>
      </c>
      <c r="B51" s="325" t="s">
        <v>1537</v>
      </c>
      <c r="C51" s="324" t="s">
        <v>220</v>
      </c>
      <c r="D51" s="411" t="s">
        <v>757</v>
      </c>
      <c r="E51" s="296">
        <v>335859.90778800001</v>
      </c>
      <c r="F51" s="289">
        <f t="shared" si="14"/>
        <v>335859.91</v>
      </c>
      <c r="G51" s="289">
        <f t="shared" si="15"/>
        <v>403031.89</v>
      </c>
    </row>
    <row r="52" spans="1:8" ht="27.6" x14ac:dyDescent="0.3">
      <c r="A52" s="286">
        <f t="shared" si="16"/>
        <v>38</v>
      </c>
      <c r="B52" s="325" t="s">
        <v>1538</v>
      </c>
      <c r="C52" s="324" t="s">
        <v>220</v>
      </c>
      <c r="D52" s="411" t="s">
        <v>791</v>
      </c>
      <c r="E52" s="296">
        <v>5616.2106270000004</v>
      </c>
      <c r="F52" s="289">
        <f t="shared" si="14"/>
        <v>67394.53</v>
      </c>
      <c r="G52" s="289">
        <f t="shared" si="15"/>
        <v>80873.440000000002</v>
      </c>
    </row>
    <row r="53" spans="1:8" ht="15.6" x14ac:dyDescent="0.3">
      <c r="A53" s="286">
        <f t="shared" si="16"/>
        <v>39</v>
      </c>
      <c r="B53" s="325" t="s">
        <v>916</v>
      </c>
      <c r="C53" s="324" t="s">
        <v>239</v>
      </c>
      <c r="D53" s="383">
        <f>3.772+0.69+1.48+3.076+3.25+3.02+0.606</f>
        <v>15.894</v>
      </c>
      <c r="E53" s="296">
        <v>779.2823103057757</v>
      </c>
      <c r="F53" s="289">
        <f t="shared" si="14"/>
        <v>12385.91</v>
      </c>
      <c r="G53" s="289">
        <f t="shared" si="15"/>
        <v>14863.09</v>
      </c>
      <c r="H53" s="210" t="s">
        <v>1617</v>
      </c>
    </row>
    <row r="54" spans="1:8" ht="27.6" x14ac:dyDescent="0.3">
      <c r="A54" s="286">
        <f t="shared" si="16"/>
        <v>40</v>
      </c>
      <c r="B54" s="325" t="s">
        <v>1539</v>
      </c>
      <c r="C54" s="324" t="s">
        <v>239</v>
      </c>
      <c r="D54" s="383">
        <f>3.772+0.69+1.48+3.076+3.25+3.02+0.606</f>
        <v>15.894</v>
      </c>
      <c r="E54" s="296">
        <v>4948.6442400000005</v>
      </c>
      <c r="F54" s="289">
        <f t="shared" si="14"/>
        <v>78653.75</v>
      </c>
      <c r="G54" s="289">
        <f t="shared" si="15"/>
        <v>94384.5</v>
      </c>
      <c r="H54" s="210" t="s">
        <v>1617</v>
      </c>
    </row>
    <row r="55" spans="1:8" ht="15.6" x14ac:dyDescent="0.3">
      <c r="A55" s="286"/>
      <c r="B55" s="412" t="s">
        <v>1540</v>
      </c>
      <c r="C55" s="413"/>
      <c r="D55" s="414"/>
      <c r="E55" s="296">
        <v>0</v>
      </c>
      <c r="F55" s="289"/>
      <c r="G55" s="327"/>
      <c r="H55" s="319">
        <f>SUM(G57:G99)</f>
        <v>3149742.4799999991</v>
      </c>
    </row>
    <row r="56" spans="1:8" ht="15.6" x14ac:dyDescent="0.3">
      <c r="A56" s="290"/>
      <c r="B56" s="415" t="s">
        <v>1541</v>
      </c>
      <c r="C56" s="413"/>
      <c r="D56" s="414"/>
      <c r="E56" s="296">
        <v>0</v>
      </c>
      <c r="F56" s="289"/>
      <c r="G56" s="289"/>
    </row>
    <row r="57" spans="1:8" ht="27.6" x14ac:dyDescent="0.3">
      <c r="A57" s="286">
        <f>A54+1</f>
        <v>41</v>
      </c>
      <c r="B57" s="325" t="s">
        <v>1542</v>
      </c>
      <c r="C57" s="324" t="s">
        <v>220</v>
      </c>
      <c r="D57" s="406">
        <v>3</v>
      </c>
      <c r="E57" s="296">
        <v>74560.049964000005</v>
      </c>
      <c r="F57" s="289">
        <f>ROUND(E57*D57,2)</f>
        <v>223680.15</v>
      </c>
      <c r="G57" s="289">
        <f t="shared" ref="G57" si="17">ROUND(F57*1.2,2)</f>
        <v>268416.18</v>
      </c>
    </row>
    <row r="58" spans="1:8" ht="15.6" x14ac:dyDescent="0.3">
      <c r="A58" s="286"/>
      <c r="B58" s="402" t="s">
        <v>513</v>
      </c>
      <c r="C58" s="324"/>
      <c r="D58" s="406"/>
      <c r="E58" s="296">
        <v>0</v>
      </c>
      <c r="F58" s="289"/>
      <c r="G58" s="289"/>
    </row>
    <row r="59" spans="1:8" ht="15.6" x14ac:dyDescent="0.3">
      <c r="A59" s="290">
        <f>A57+1</f>
        <v>42</v>
      </c>
      <c r="B59" s="325" t="s">
        <v>1514</v>
      </c>
      <c r="C59" s="324" t="s">
        <v>193</v>
      </c>
      <c r="D59" s="409">
        <v>259.2</v>
      </c>
      <c r="E59" s="296">
        <v>464.82929999999999</v>
      </c>
      <c r="F59" s="289">
        <f t="shared" ref="F59:F64" si="18">ROUND(E59*D59,2)</f>
        <v>120483.75</v>
      </c>
      <c r="G59" s="289">
        <f t="shared" ref="G59:G64" si="19">ROUND(F59*1.2,2)</f>
        <v>144580.5</v>
      </c>
    </row>
    <row r="60" spans="1:8" ht="15.6" x14ac:dyDescent="0.3">
      <c r="A60" s="286">
        <f>A59+1</f>
        <v>43</v>
      </c>
      <c r="B60" s="325" t="s">
        <v>444</v>
      </c>
      <c r="C60" s="324" t="s">
        <v>193</v>
      </c>
      <c r="D60" s="410">
        <v>11</v>
      </c>
      <c r="E60" s="296">
        <v>2541.5435879999995</v>
      </c>
      <c r="F60" s="289">
        <f t="shared" si="18"/>
        <v>27956.98</v>
      </c>
      <c r="G60" s="289">
        <f t="shared" si="19"/>
        <v>33548.379999999997</v>
      </c>
    </row>
    <row r="61" spans="1:8" ht="15.6" x14ac:dyDescent="0.3">
      <c r="A61" s="286">
        <f t="shared" ref="A61:A64" si="20">A60+1</f>
        <v>44</v>
      </c>
      <c r="B61" s="325" t="s">
        <v>518</v>
      </c>
      <c r="C61" s="324" t="s">
        <v>239</v>
      </c>
      <c r="D61" s="326">
        <v>16.32</v>
      </c>
      <c r="E61" s="296">
        <v>464.82929999999999</v>
      </c>
      <c r="F61" s="289">
        <f t="shared" si="18"/>
        <v>7586.01</v>
      </c>
      <c r="G61" s="289">
        <f t="shared" si="19"/>
        <v>9103.2099999999991</v>
      </c>
    </row>
    <row r="62" spans="1:8" ht="15.6" x14ac:dyDescent="0.3">
      <c r="A62" s="466">
        <f t="shared" si="20"/>
        <v>45</v>
      </c>
      <c r="B62" s="325" t="s">
        <v>503</v>
      </c>
      <c r="C62" s="324" t="s">
        <v>239</v>
      </c>
      <c r="D62" s="326">
        <v>16.32</v>
      </c>
      <c r="E62" s="296">
        <f>'исключение-свод'!D1</f>
        <v>4948.6400000000003</v>
      </c>
      <c r="F62" s="289">
        <f t="shared" si="18"/>
        <v>80761.8</v>
      </c>
      <c r="G62" s="289">
        <f t="shared" si="19"/>
        <v>96914.16</v>
      </c>
    </row>
    <row r="63" spans="1:8" ht="15.6" x14ac:dyDescent="0.3">
      <c r="A63" s="286">
        <f t="shared" si="20"/>
        <v>46</v>
      </c>
      <c r="B63" s="325" t="s">
        <v>537</v>
      </c>
      <c r="C63" s="324" t="s">
        <v>193</v>
      </c>
      <c r="D63" s="410">
        <v>521</v>
      </c>
      <c r="E63" s="296">
        <v>464.82929999999999</v>
      </c>
      <c r="F63" s="289">
        <f t="shared" si="18"/>
        <v>242176.07</v>
      </c>
      <c r="G63" s="289">
        <f t="shared" si="19"/>
        <v>290611.28000000003</v>
      </c>
    </row>
    <row r="64" spans="1:8" ht="15.6" x14ac:dyDescent="0.3">
      <c r="A64" s="286">
        <f t="shared" si="20"/>
        <v>47</v>
      </c>
      <c r="B64" s="325" t="s">
        <v>691</v>
      </c>
      <c r="C64" s="324" t="s">
        <v>193</v>
      </c>
      <c r="D64" s="409">
        <v>130.19999999999999</v>
      </c>
      <c r="E64" s="296">
        <v>1285.789356</v>
      </c>
      <c r="F64" s="289">
        <f t="shared" si="18"/>
        <v>167409.76999999999</v>
      </c>
      <c r="G64" s="289">
        <f t="shared" si="19"/>
        <v>200891.72</v>
      </c>
    </row>
    <row r="65" spans="1:8" ht="19.5" customHeight="1" x14ac:dyDescent="0.3">
      <c r="A65" s="286"/>
      <c r="B65" s="415" t="s">
        <v>1543</v>
      </c>
      <c r="C65" s="324"/>
      <c r="D65" s="406"/>
      <c r="E65" s="296">
        <v>0</v>
      </c>
      <c r="F65" s="289"/>
      <c r="G65" s="289"/>
    </row>
    <row r="66" spans="1:8" ht="27.6" x14ac:dyDescent="0.3">
      <c r="A66" s="286">
        <f>A64+1</f>
        <v>48</v>
      </c>
      <c r="B66" s="325" t="s">
        <v>1607</v>
      </c>
      <c r="C66" s="324" t="s">
        <v>220</v>
      </c>
      <c r="D66" s="407">
        <v>3</v>
      </c>
      <c r="E66" s="296">
        <v>97256.592000000004</v>
      </c>
      <c r="F66" s="289">
        <f>ROUND(E66*D66,2)</f>
        <v>291769.78000000003</v>
      </c>
      <c r="G66" s="289">
        <f t="shared" ref="G66" si="21">ROUND(F66*1.2,2)</f>
        <v>350123.74</v>
      </c>
    </row>
    <row r="67" spans="1:8" ht="21.75" customHeight="1" x14ac:dyDescent="0.3">
      <c r="A67" s="286"/>
      <c r="B67" s="415" t="s">
        <v>1544</v>
      </c>
      <c r="C67" s="324"/>
      <c r="D67" s="406"/>
      <c r="E67" s="296">
        <v>0</v>
      </c>
      <c r="F67" s="289"/>
      <c r="G67" s="289"/>
    </row>
    <row r="68" spans="1:8" ht="15.6" x14ac:dyDescent="0.3">
      <c r="A68" s="286"/>
      <c r="B68" s="415" t="s">
        <v>1545</v>
      </c>
      <c r="C68" s="324"/>
      <c r="D68" s="406"/>
      <c r="E68" s="296">
        <v>0</v>
      </c>
      <c r="F68" s="289"/>
      <c r="G68" s="289"/>
    </row>
    <row r="69" spans="1:8" ht="15.6" x14ac:dyDescent="0.3">
      <c r="A69" s="286">
        <f>A66+1</f>
        <v>49</v>
      </c>
      <c r="B69" s="325" t="s">
        <v>1606</v>
      </c>
      <c r="C69" s="324" t="s">
        <v>220</v>
      </c>
      <c r="D69" s="407">
        <v>1</v>
      </c>
      <c r="E69" s="296">
        <v>70111.991123999993</v>
      </c>
      <c r="F69" s="289">
        <f>ROUND(E69*D69,2)</f>
        <v>70111.990000000005</v>
      </c>
      <c r="G69" s="289">
        <f t="shared" ref="G69" si="22">ROUND(F69*1.2,2)</f>
        <v>84134.39</v>
      </c>
    </row>
    <row r="70" spans="1:8" ht="15.6" x14ac:dyDescent="0.3">
      <c r="A70" s="286"/>
      <c r="B70" s="415" t="s">
        <v>1546</v>
      </c>
      <c r="C70" s="324"/>
      <c r="D70" s="406"/>
      <c r="E70" s="296">
        <v>0</v>
      </c>
      <c r="F70" s="289"/>
      <c r="G70" s="289"/>
    </row>
    <row r="71" spans="1:8" ht="27.6" x14ac:dyDescent="0.3">
      <c r="A71" s="286">
        <f>A69+1</f>
        <v>50</v>
      </c>
      <c r="B71" s="325" t="s">
        <v>1608</v>
      </c>
      <c r="C71" s="324" t="s">
        <v>220</v>
      </c>
      <c r="D71" s="407">
        <v>1</v>
      </c>
      <c r="E71" s="296">
        <v>107597.25611999999</v>
      </c>
      <c r="F71" s="289">
        <f>ROUND(E71*D71,2)</f>
        <v>107597.26</v>
      </c>
      <c r="G71" s="289">
        <f t="shared" ref="G71:G73" si="23">ROUND(F71*1.2,2)</f>
        <v>129116.71</v>
      </c>
    </row>
    <row r="72" spans="1:8" ht="15.6" x14ac:dyDescent="0.3">
      <c r="A72" s="286">
        <f t="shared" ref="A72:A73" si="24">A71+1</f>
        <v>51</v>
      </c>
      <c r="B72" s="325" t="s">
        <v>916</v>
      </c>
      <c r="C72" s="324" t="s">
        <v>239</v>
      </c>
      <c r="D72" s="383">
        <f>25.2+2.52+1.3</f>
        <v>29.02</v>
      </c>
      <c r="E72" s="296">
        <v>623.91534012</v>
      </c>
      <c r="F72" s="289">
        <f>ROUND(E72*D72,2)</f>
        <v>18106.02</v>
      </c>
      <c r="G72" s="289">
        <f t="shared" si="23"/>
        <v>21727.22</v>
      </c>
      <c r="H72" s="210" t="s">
        <v>1617</v>
      </c>
    </row>
    <row r="73" spans="1:8" ht="27.6" x14ac:dyDescent="0.3">
      <c r="A73" s="286">
        <f t="shared" si="24"/>
        <v>52</v>
      </c>
      <c r="B73" s="325" t="s">
        <v>850</v>
      </c>
      <c r="C73" s="324" t="s">
        <v>239</v>
      </c>
      <c r="D73" s="383">
        <f>25.2+2.52+1.3</f>
        <v>29.02</v>
      </c>
      <c r="E73" s="296">
        <v>4948.6442400000005</v>
      </c>
      <c r="F73" s="289">
        <f>ROUND(E73*D73,2)</f>
        <v>143609.66</v>
      </c>
      <c r="G73" s="289">
        <f t="shared" si="23"/>
        <v>172331.59</v>
      </c>
      <c r="H73" s="210" t="s">
        <v>1617</v>
      </c>
    </row>
    <row r="74" spans="1:8" ht="21.75" customHeight="1" x14ac:dyDescent="0.3">
      <c r="A74" s="286"/>
      <c r="B74" s="415" t="s">
        <v>1547</v>
      </c>
      <c r="C74" s="324"/>
      <c r="D74" s="406"/>
      <c r="E74" s="296">
        <v>0</v>
      </c>
      <c r="F74" s="289"/>
      <c r="G74" s="289"/>
    </row>
    <row r="75" spans="1:8" ht="19.5" customHeight="1" x14ac:dyDescent="0.3">
      <c r="A75" s="286"/>
      <c r="B75" s="402" t="s">
        <v>513</v>
      </c>
      <c r="C75" s="324"/>
      <c r="D75" s="406"/>
      <c r="E75" s="296">
        <v>0</v>
      </c>
      <c r="F75" s="289"/>
      <c r="G75" s="289"/>
    </row>
    <row r="76" spans="1:8" ht="15.6" x14ac:dyDescent="0.3">
      <c r="A76" s="286">
        <f>A73+1</f>
        <v>53</v>
      </c>
      <c r="B76" s="325" t="s">
        <v>1514</v>
      </c>
      <c r="C76" s="324" t="s">
        <v>193</v>
      </c>
      <c r="D76" s="409">
        <v>259.2</v>
      </c>
      <c r="E76" s="296">
        <v>464.82929999999999</v>
      </c>
      <c r="F76" s="289">
        <f t="shared" ref="F76:F81" si="25">ROUND(E76*D76,2)</f>
        <v>120483.75</v>
      </c>
      <c r="G76" s="289">
        <f t="shared" ref="G76:G81" si="26">ROUND(F76*1.2,2)</f>
        <v>144580.5</v>
      </c>
    </row>
    <row r="77" spans="1:8" ht="15.6" x14ac:dyDescent="0.3">
      <c r="A77" s="286">
        <f>A76+1</f>
        <v>54</v>
      </c>
      <c r="B77" s="325" t="s">
        <v>444</v>
      </c>
      <c r="C77" s="324" t="s">
        <v>193</v>
      </c>
      <c r="D77" s="410">
        <v>11</v>
      </c>
      <c r="E77" s="296">
        <v>2541.5435879999995</v>
      </c>
      <c r="F77" s="289">
        <f t="shared" si="25"/>
        <v>27956.98</v>
      </c>
      <c r="G77" s="289">
        <f t="shared" si="26"/>
        <v>33548.379999999997</v>
      </c>
    </row>
    <row r="78" spans="1:8" ht="15.6" x14ac:dyDescent="0.3">
      <c r="A78" s="286">
        <f t="shared" ref="A78:A81" si="27">A77+1</f>
        <v>55</v>
      </c>
      <c r="B78" s="325" t="s">
        <v>518</v>
      </c>
      <c r="C78" s="324" t="s">
        <v>239</v>
      </c>
      <c r="D78" s="326">
        <v>5.44</v>
      </c>
      <c r="E78" s="296">
        <v>464.82929999999999</v>
      </c>
      <c r="F78" s="289">
        <f t="shared" si="25"/>
        <v>2528.67</v>
      </c>
      <c r="G78" s="289">
        <f t="shared" si="26"/>
        <v>3034.4</v>
      </c>
    </row>
    <row r="79" spans="1:8" ht="15.6" x14ac:dyDescent="0.3">
      <c r="A79" s="466">
        <f t="shared" si="27"/>
        <v>56</v>
      </c>
      <c r="B79" s="325" t="s">
        <v>503</v>
      </c>
      <c r="C79" s="324" t="s">
        <v>239</v>
      </c>
      <c r="D79" s="326">
        <v>5.44</v>
      </c>
      <c r="E79" s="296">
        <f>'исключение-свод'!D1</f>
        <v>4948.6400000000003</v>
      </c>
      <c r="F79" s="289">
        <f t="shared" si="25"/>
        <v>26920.6</v>
      </c>
      <c r="G79" s="289">
        <f t="shared" si="26"/>
        <v>32304.720000000001</v>
      </c>
    </row>
    <row r="80" spans="1:8" ht="15.6" x14ac:dyDescent="0.3">
      <c r="A80" s="286">
        <f t="shared" si="27"/>
        <v>57</v>
      </c>
      <c r="B80" s="325" t="s">
        <v>537</v>
      </c>
      <c r="C80" s="324" t="s">
        <v>193</v>
      </c>
      <c r="D80" s="410">
        <v>166.64</v>
      </c>
      <c r="E80" s="296">
        <v>464.82929999999999</v>
      </c>
      <c r="F80" s="289">
        <f t="shared" si="25"/>
        <v>77459.149999999994</v>
      </c>
      <c r="G80" s="289">
        <f t="shared" si="26"/>
        <v>92950.98</v>
      </c>
    </row>
    <row r="81" spans="1:8" ht="15.6" x14ac:dyDescent="0.3">
      <c r="A81" s="286">
        <f t="shared" si="27"/>
        <v>58</v>
      </c>
      <c r="B81" s="325" t="s">
        <v>691</v>
      </c>
      <c r="C81" s="324" t="s">
        <v>193</v>
      </c>
      <c r="D81" s="410">
        <v>41.66</v>
      </c>
      <c r="E81" s="296">
        <v>1285.789356</v>
      </c>
      <c r="F81" s="289">
        <f t="shared" si="25"/>
        <v>53565.98</v>
      </c>
      <c r="G81" s="289">
        <f t="shared" si="26"/>
        <v>64279.18</v>
      </c>
    </row>
    <row r="82" spans="1:8" ht="15.6" x14ac:dyDescent="0.3">
      <c r="A82" s="286"/>
      <c r="B82" s="402" t="s">
        <v>1548</v>
      </c>
      <c r="C82" s="324"/>
      <c r="D82" s="406"/>
      <c r="E82" s="296">
        <v>0</v>
      </c>
      <c r="F82" s="289"/>
      <c r="G82" s="289"/>
    </row>
    <row r="83" spans="1:8" ht="27.6" x14ac:dyDescent="0.3">
      <c r="A83" s="290">
        <f>A81+1</f>
        <v>59</v>
      </c>
      <c r="B83" s="325" t="s">
        <v>1549</v>
      </c>
      <c r="C83" s="324" t="s">
        <v>193</v>
      </c>
      <c r="D83" s="410">
        <v>0.46</v>
      </c>
      <c r="E83" s="296">
        <v>3970.3573439999996</v>
      </c>
      <c r="F83" s="289">
        <f>ROUND(E83*D83,2)</f>
        <v>1826.36</v>
      </c>
      <c r="G83" s="289">
        <f t="shared" ref="G83:G86" si="28">ROUND(F83*1.2,2)</f>
        <v>2191.63</v>
      </c>
      <c r="H83" s="271"/>
    </row>
    <row r="84" spans="1:8" ht="27.6" x14ac:dyDescent="0.3">
      <c r="A84" s="290">
        <f>A83+1</f>
        <v>60</v>
      </c>
      <c r="B84" s="325" t="s">
        <v>1609</v>
      </c>
      <c r="C84" s="324" t="s">
        <v>220</v>
      </c>
      <c r="D84" s="407">
        <v>3</v>
      </c>
      <c r="E84" s="296">
        <v>97256.592000000004</v>
      </c>
      <c r="F84" s="289">
        <f>ROUND(E84*D84,2)</f>
        <v>291769.78000000003</v>
      </c>
      <c r="G84" s="289">
        <f t="shared" si="28"/>
        <v>350123.74</v>
      </c>
      <c r="H84" s="285"/>
    </row>
    <row r="85" spans="1:8" ht="27.6" x14ac:dyDescent="0.3">
      <c r="A85" s="286">
        <f t="shared" ref="A85:A86" si="29">A84+1</f>
        <v>61</v>
      </c>
      <c r="B85" s="325" t="s">
        <v>929</v>
      </c>
      <c r="C85" s="404" t="s">
        <v>431</v>
      </c>
      <c r="D85" s="326">
        <v>50.4</v>
      </c>
      <c r="E85" s="296">
        <v>217.397088</v>
      </c>
      <c r="F85" s="289">
        <f>ROUND(E85*D85,2)</f>
        <v>10956.81</v>
      </c>
      <c r="G85" s="289">
        <f t="shared" si="28"/>
        <v>13148.17</v>
      </c>
    </row>
    <row r="86" spans="1:8" ht="27.6" x14ac:dyDescent="0.3">
      <c r="A86" s="286">
        <f t="shared" si="29"/>
        <v>62</v>
      </c>
      <c r="B86" s="325" t="s">
        <v>930</v>
      </c>
      <c r="C86" s="324" t="s">
        <v>431</v>
      </c>
      <c r="D86" s="326">
        <v>50.4</v>
      </c>
      <c r="E86" s="296">
        <v>451.29919176000004</v>
      </c>
      <c r="F86" s="289">
        <f>ROUND(E86*D86,2)</f>
        <v>22745.48</v>
      </c>
      <c r="G86" s="289">
        <f t="shared" si="28"/>
        <v>27294.58</v>
      </c>
    </row>
    <row r="87" spans="1:8" ht="15.6" x14ac:dyDescent="0.3">
      <c r="A87" s="290"/>
      <c r="B87" s="402" t="s">
        <v>1550</v>
      </c>
      <c r="C87" s="324"/>
      <c r="D87" s="406"/>
      <c r="E87" s="296">
        <v>0</v>
      </c>
      <c r="F87" s="289"/>
      <c r="G87" s="289"/>
    </row>
    <row r="88" spans="1:8" ht="35.25" customHeight="1" x14ac:dyDescent="0.3">
      <c r="A88" s="290">
        <f>A86+1</f>
        <v>63</v>
      </c>
      <c r="B88" s="325" t="s">
        <v>1551</v>
      </c>
      <c r="C88" s="324" t="s">
        <v>220</v>
      </c>
      <c r="D88" s="407">
        <v>3</v>
      </c>
      <c r="E88" s="296">
        <v>88603.6158</v>
      </c>
      <c r="F88" s="289">
        <f>ROUND(E88*D88,2)</f>
        <v>265810.84999999998</v>
      </c>
      <c r="G88" s="289">
        <f t="shared" ref="G88:G90" si="30">ROUND(F88*1.2,2)</f>
        <v>318973.02</v>
      </c>
    </row>
    <row r="89" spans="1:8" ht="27.6" x14ac:dyDescent="0.3">
      <c r="A89" s="286">
        <f t="shared" ref="A89:A90" si="31">A88+1</f>
        <v>64</v>
      </c>
      <c r="B89" s="325" t="s">
        <v>547</v>
      </c>
      <c r="C89" s="324" t="s">
        <v>431</v>
      </c>
      <c r="D89" s="383">
        <v>45.3</v>
      </c>
      <c r="E89" s="296">
        <v>260.30440800000002</v>
      </c>
      <c r="F89" s="289">
        <f>ROUND(E89*D89,2)</f>
        <v>11791.79</v>
      </c>
      <c r="G89" s="289">
        <f t="shared" si="30"/>
        <v>14150.15</v>
      </c>
    </row>
    <row r="90" spans="1:8" ht="15.6" x14ac:dyDescent="0.3">
      <c r="A90" s="286">
        <f t="shared" si="31"/>
        <v>65</v>
      </c>
      <c r="B90" s="325" t="s">
        <v>548</v>
      </c>
      <c r="C90" s="324" t="s">
        <v>431</v>
      </c>
      <c r="D90" s="383">
        <v>45.3</v>
      </c>
      <c r="E90" s="296">
        <v>260.30440800000002</v>
      </c>
      <c r="F90" s="289">
        <f>ROUND(E90*D90,2)</f>
        <v>11791.79</v>
      </c>
      <c r="G90" s="289">
        <f t="shared" si="30"/>
        <v>14150.15</v>
      </c>
    </row>
    <row r="91" spans="1:8" ht="22.5" customHeight="1" x14ac:dyDescent="0.3">
      <c r="A91" s="290"/>
      <c r="B91" s="402" t="s">
        <v>1552</v>
      </c>
      <c r="C91" s="324"/>
      <c r="D91" s="406"/>
      <c r="E91" s="296">
        <v>0</v>
      </c>
      <c r="F91" s="289"/>
      <c r="G91" s="289"/>
    </row>
    <row r="92" spans="1:8" ht="15.6" x14ac:dyDescent="0.3">
      <c r="A92" s="290"/>
      <c r="B92" s="402" t="s">
        <v>513</v>
      </c>
      <c r="C92" s="324"/>
      <c r="D92" s="406"/>
      <c r="E92" s="296">
        <v>0</v>
      </c>
      <c r="F92" s="289"/>
      <c r="G92" s="289"/>
    </row>
    <row r="93" spans="1:8" ht="15.6" x14ac:dyDescent="0.3">
      <c r="A93" s="290">
        <f>A90+1</f>
        <v>66</v>
      </c>
      <c r="B93" s="325" t="s">
        <v>1553</v>
      </c>
      <c r="C93" s="324" t="s">
        <v>220</v>
      </c>
      <c r="D93" s="407">
        <v>1</v>
      </c>
      <c r="E93" s="296">
        <v>8542.8474119999992</v>
      </c>
      <c r="F93" s="289">
        <f>ROUND(E93*D93,2)</f>
        <v>8542.85</v>
      </c>
      <c r="G93" s="289">
        <f t="shared" ref="G93:G95" si="32">ROUND(F93*1.2,2)</f>
        <v>10251.42</v>
      </c>
    </row>
    <row r="94" spans="1:8" ht="15.6" x14ac:dyDescent="0.3">
      <c r="A94" s="290">
        <f>A93+1</f>
        <v>67</v>
      </c>
      <c r="B94" s="325" t="s">
        <v>518</v>
      </c>
      <c r="C94" s="324" t="s">
        <v>239</v>
      </c>
      <c r="D94" s="326">
        <v>1.02</v>
      </c>
      <c r="E94" s="296">
        <v>464.82929999999999</v>
      </c>
      <c r="F94" s="289">
        <f>ROUND(E94*D94,2)</f>
        <v>474.13</v>
      </c>
      <c r="G94" s="289">
        <f t="shared" si="32"/>
        <v>568.96</v>
      </c>
    </row>
    <row r="95" spans="1:8" ht="15.6" x14ac:dyDescent="0.3">
      <c r="A95" s="583">
        <f>A94+1</f>
        <v>68</v>
      </c>
      <c r="B95" s="325" t="s">
        <v>503</v>
      </c>
      <c r="C95" s="324" t="s">
        <v>239</v>
      </c>
      <c r="D95" s="326">
        <v>1.02</v>
      </c>
      <c r="E95" s="296">
        <f>'исключение-свод'!D1</f>
        <v>4948.6400000000003</v>
      </c>
      <c r="F95" s="289">
        <f>ROUND(E95*D95,2)</f>
        <v>5047.6099999999997</v>
      </c>
      <c r="G95" s="289">
        <f t="shared" si="32"/>
        <v>6057.13</v>
      </c>
    </row>
    <row r="96" spans="1:8" ht="15.6" x14ac:dyDescent="0.3">
      <c r="A96" s="290"/>
      <c r="B96" s="402" t="s">
        <v>1554</v>
      </c>
      <c r="C96" s="324"/>
      <c r="D96" s="406"/>
      <c r="E96" s="296">
        <v>0</v>
      </c>
      <c r="F96" s="289"/>
      <c r="G96" s="289"/>
    </row>
    <row r="97" spans="1:7" ht="41.4" x14ac:dyDescent="0.3">
      <c r="A97" s="290">
        <f>A95+1</f>
        <v>69</v>
      </c>
      <c r="B97" s="325" t="s">
        <v>1610</v>
      </c>
      <c r="C97" s="324" t="s">
        <v>220</v>
      </c>
      <c r="D97" s="407">
        <v>1</v>
      </c>
      <c r="E97" s="296">
        <v>85834.663415999996</v>
      </c>
      <c r="F97" s="289">
        <f>ROUND(E97*D97,2)</f>
        <v>85834.66</v>
      </c>
      <c r="G97" s="289">
        <f t="shared" ref="G97" si="33">ROUND(F97*1.2,2)</f>
        <v>103001.59</v>
      </c>
    </row>
    <row r="98" spans="1:7" ht="15.6" x14ac:dyDescent="0.3">
      <c r="A98" s="290"/>
      <c r="B98" s="402" t="s">
        <v>1555</v>
      </c>
      <c r="C98" s="324"/>
      <c r="D98" s="406"/>
      <c r="E98" s="296">
        <v>0</v>
      </c>
      <c r="F98" s="289"/>
      <c r="G98" s="289"/>
    </row>
    <row r="99" spans="1:7" ht="15.6" x14ac:dyDescent="0.3">
      <c r="A99" s="290">
        <f>A97+1</f>
        <v>70</v>
      </c>
      <c r="B99" s="325" t="s">
        <v>1611</v>
      </c>
      <c r="C99" s="324" t="s">
        <v>220</v>
      </c>
      <c r="D99" s="407">
        <v>1</v>
      </c>
      <c r="E99" s="296">
        <v>98028.923760000005</v>
      </c>
      <c r="F99" s="289">
        <f>ROUND(E99*D99,2)</f>
        <v>98028.92</v>
      </c>
      <c r="G99" s="289">
        <f t="shared" ref="G99" si="34">ROUND(F99*1.2,2)</f>
        <v>117634.7</v>
      </c>
    </row>
    <row r="100" spans="1:7" x14ac:dyDescent="0.3">
      <c r="A100" s="566" t="s">
        <v>716</v>
      </c>
      <c r="B100" s="567"/>
      <c r="C100" s="567"/>
      <c r="D100" s="567"/>
      <c r="E100" s="568"/>
      <c r="F100" s="158">
        <f>SUM(F7:F99)</f>
        <v>8894092.4399999995</v>
      </c>
      <c r="G100" s="158">
        <f>SUM(G7:G99)</f>
        <v>10672910.880000006</v>
      </c>
    </row>
  </sheetData>
  <autoFilter ref="A1:H100" xr:uid="{00000000-0001-0000-1700-000000000000}"/>
  <mergeCells count="9"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J87"/>
  <sheetViews>
    <sheetView topLeftCell="B70" zoomScaleNormal="100" zoomScaleSheetLayoutView="80" workbookViewId="0">
      <selection activeCell="L5" sqref="I2:L5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91" t="s">
        <v>231</v>
      </c>
      <c r="F1" s="489" t="s">
        <v>410</v>
      </c>
      <c r="G1" s="494" t="s">
        <v>409</v>
      </c>
    </row>
    <row r="2" spans="1:10" ht="14.55" customHeight="1" x14ac:dyDescent="0.3">
      <c r="A2" s="481"/>
      <c r="B2" s="484"/>
      <c r="C2" s="486"/>
      <c r="D2" s="486"/>
      <c r="E2" s="491"/>
      <c r="F2" s="489"/>
      <c r="G2" s="494"/>
      <c r="J2" s="382"/>
    </row>
    <row r="3" spans="1:10" ht="27.6" customHeight="1" x14ac:dyDescent="0.3">
      <c r="A3" s="482"/>
      <c r="B3" s="485"/>
      <c r="C3" s="486"/>
      <c r="D3" s="486"/>
      <c r="E3" s="492"/>
      <c r="F3" s="490"/>
      <c r="G3" s="495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78" t="s">
        <v>1511</v>
      </c>
      <c r="C5" s="479"/>
      <c r="D5" s="479"/>
      <c r="E5" s="175"/>
      <c r="F5" s="176"/>
      <c r="G5" s="177"/>
    </row>
    <row r="6" spans="1:10" ht="30" customHeight="1" x14ac:dyDescent="0.3">
      <c r="A6" s="274"/>
      <c r="B6" s="62" t="s">
        <v>1512</v>
      </c>
      <c r="C6" s="63"/>
      <c r="D6" s="63"/>
      <c r="E6" s="64"/>
      <c r="F6" s="65"/>
      <c r="G6" s="55"/>
    </row>
    <row r="7" spans="1:10" ht="15.6" x14ac:dyDescent="0.3">
      <c r="A7" s="286">
        <v>1</v>
      </c>
      <c r="B7" s="291" t="s">
        <v>1556</v>
      </c>
      <c r="C7" s="286" t="s">
        <v>193</v>
      </c>
      <c r="D7" s="288">
        <v>21.2</v>
      </c>
      <c r="E7" s="172">
        <v>6314.9730000000009</v>
      </c>
      <c r="F7" s="289">
        <f t="shared" ref="F7:F15" si="0">ROUND(E7*D7,2)</f>
        <v>133877.43</v>
      </c>
      <c r="G7" s="289">
        <f t="shared" ref="G7:G15" si="1">ROUND(F7*1.2,2)</f>
        <v>160652.92000000001</v>
      </c>
    </row>
    <row r="8" spans="1:10" ht="15.6" x14ac:dyDescent="0.3">
      <c r="A8" s="286">
        <f>A7+1</f>
        <v>2</v>
      </c>
      <c r="B8" s="291" t="s">
        <v>1001</v>
      </c>
      <c r="C8" s="286" t="s">
        <v>193</v>
      </c>
      <c r="D8" s="288">
        <v>4.05</v>
      </c>
      <c r="E8" s="172">
        <v>5928.3420000000006</v>
      </c>
      <c r="F8" s="289">
        <f t="shared" si="0"/>
        <v>24009.79</v>
      </c>
      <c r="G8" s="289">
        <f t="shared" si="1"/>
        <v>28811.75</v>
      </c>
    </row>
    <row r="9" spans="1:10" ht="15.6" x14ac:dyDescent="0.3">
      <c r="A9" s="286">
        <f>A8+1</f>
        <v>3</v>
      </c>
      <c r="B9" s="291" t="s">
        <v>1557</v>
      </c>
      <c r="C9" s="293" t="s">
        <v>254</v>
      </c>
      <c r="D9" s="288">
        <v>228.4</v>
      </c>
      <c r="E9" s="172">
        <v>109.54545000000002</v>
      </c>
      <c r="F9" s="289">
        <f t="shared" si="0"/>
        <v>25020.18</v>
      </c>
      <c r="G9" s="289">
        <f t="shared" si="1"/>
        <v>30024.22</v>
      </c>
    </row>
    <row r="10" spans="1:10" ht="15.6" x14ac:dyDescent="0.3">
      <c r="A10" s="286">
        <f t="shared" ref="A10:A15" si="2">A9+1</f>
        <v>4</v>
      </c>
      <c r="B10" s="291" t="s">
        <v>1558</v>
      </c>
      <c r="C10" s="293" t="s">
        <v>254</v>
      </c>
      <c r="D10" s="288">
        <v>613.20000000000005</v>
      </c>
      <c r="E10" s="172">
        <v>109.54545000000002</v>
      </c>
      <c r="F10" s="289">
        <f t="shared" si="0"/>
        <v>67173.27</v>
      </c>
      <c r="G10" s="289">
        <f t="shared" si="1"/>
        <v>80607.92</v>
      </c>
    </row>
    <row r="11" spans="1:10" ht="15.6" x14ac:dyDescent="0.3">
      <c r="A11" s="286">
        <f t="shared" si="2"/>
        <v>5</v>
      </c>
      <c r="B11" s="287" t="s">
        <v>1559</v>
      </c>
      <c r="C11" s="293" t="s">
        <v>254</v>
      </c>
      <c r="D11" s="299">
        <v>222</v>
      </c>
      <c r="E11" s="172">
        <v>109.54545000000002</v>
      </c>
      <c r="F11" s="289">
        <f t="shared" si="0"/>
        <v>24319.09</v>
      </c>
      <c r="G11" s="289">
        <f t="shared" si="1"/>
        <v>29182.91</v>
      </c>
    </row>
    <row r="12" spans="1:10" ht="15.6" x14ac:dyDescent="0.3">
      <c r="A12" s="286">
        <f t="shared" si="2"/>
        <v>6</v>
      </c>
      <c r="B12" s="291" t="s">
        <v>1560</v>
      </c>
      <c r="C12" s="286" t="s">
        <v>254</v>
      </c>
      <c r="D12" s="288">
        <v>216.64</v>
      </c>
      <c r="E12" s="172">
        <v>109.54545000000002</v>
      </c>
      <c r="F12" s="289">
        <f t="shared" si="0"/>
        <v>23731.93</v>
      </c>
      <c r="G12" s="289">
        <f t="shared" si="1"/>
        <v>28478.32</v>
      </c>
    </row>
    <row r="13" spans="1:10" ht="15.6" x14ac:dyDescent="0.3">
      <c r="A13" s="286">
        <f t="shared" si="2"/>
        <v>7</v>
      </c>
      <c r="B13" s="291" t="s">
        <v>1561</v>
      </c>
      <c r="C13" s="286" t="s">
        <v>254</v>
      </c>
      <c r="D13" s="288">
        <v>53.12</v>
      </c>
      <c r="E13" s="172">
        <v>96.657750000000007</v>
      </c>
      <c r="F13" s="289">
        <f t="shared" si="0"/>
        <v>5134.46</v>
      </c>
      <c r="G13" s="289">
        <f t="shared" si="1"/>
        <v>6161.35</v>
      </c>
    </row>
    <row r="14" spans="1:10" ht="19.5" customHeight="1" x14ac:dyDescent="0.3">
      <c r="A14" s="286">
        <f t="shared" si="2"/>
        <v>8</v>
      </c>
      <c r="B14" s="291" t="s">
        <v>1065</v>
      </c>
      <c r="C14" s="286" t="s">
        <v>387</v>
      </c>
      <c r="D14" s="298">
        <f>24.57*20/16</f>
        <v>30.712499999999999</v>
      </c>
      <c r="E14" s="172">
        <v>322.1925</v>
      </c>
      <c r="F14" s="289">
        <f t="shared" si="0"/>
        <v>9895.34</v>
      </c>
      <c r="G14" s="289">
        <f t="shared" si="1"/>
        <v>11874.41</v>
      </c>
      <c r="H14" s="210"/>
      <c r="I14" s="233"/>
    </row>
    <row r="15" spans="1:10" ht="19.5" customHeight="1" x14ac:dyDescent="0.3">
      <c r="A15" s="66">
        <f t="shared" si="2"/>
        <v>9</v>
      </c>
      <c r="B15" s="244" t="s">
        <v>1064</v>
      </c>
      <c r="C15" s="87" t="s">
        <v>254</v>
      </c>
      <c r="D15" s="260">
        <v>114.7</v>
      </c>
      <c r="E15" s="172">
        <v>402.09624000000002</v>
      </c>
      <c r="F15" s="103">
        <f t="shared" si="0"/>
        <v>46120.44</v>
      </c>
      <c r="G15" s="103">
        <f t="shared" si="1"/>
        <v>55344.53</v>
      </c>
      <c r="I15" s="233"/>
    </row>
    <row r="16" spans="1:10" ht="15.6" x14ac:dyDescent="0.3">
      <c r="A16" s="66"/>
      <c r="B16" s="73" t="s">
        <v>1519</v>
      </c>
      <c r="C16" s="66"/>
      <c r="D16" s="68"/>
      <c r="E16" s="172">
        <v>0</v>
      </c>
      <c r="F16" s="102"/>
      <c r="G16" s="102"/>
    </row>
    <row r="17" spans="1:7" ht="15.6" x14ac:dyDescent="0.3">
      <c r="A17" s="87"/>
      <c r="B17" s="261" t="s">
        <v>1562</v>
      </c>
      <c r="C17" s="279" t="s">
        <v>220</v>
      </c>
      <c r="D17" s="280">
        <v>2</v>
      </c>
      <c r="E17" s="172">
        <v>0</v>
      </c>
      <c r="F17" s="103"/>
      <c r="G17" s="103"/>
    </row>
    <row r="18" spans="1:7" ht="15.6" x14ac:dyDescent="0.3">
      <c r="A18" s="286">
        <f>A15+1</f>
        <v>10</v>
      </c>
      <c r="B18" s="291" t="s">
        <v>1563</v>
      </c>
      <c r="C18" s="286" t="s">
        <v>254</v>
      </c>
      <c r="D18" s="298">
        <f>25.7*11*2</f>
        <v>565.4</v>
      </c>
      <c r="E18" s="172">
        <v>118.56684</v>
      </c>
      <c r="F18" s="289">
        <f>ROUND(E18*D18,2)</f>
        <v>67037.69</v>
      </c>
      <c r="G18" s="289">
        <f t="shared" ref="G18:G22" si="3">ROUND(F18*1.2,2)</f>
        <v>80445.23</v>
      </c>
    </row>
    <row r="19" spans="1:7" ht="15.6" x14ac:dyDescent="0.3">
      <c r="A19" s="286">
        <f>A18+1</f>
        <v>11</v>
      </c>
      <c r="B19" s="291" t="s">
        <v>1564</v>
      </c>
      <c r="C19" s="286" t="s">
        <v>254</v>
      </c>
      <c r="D19" s="298">
        <f>14.1*8.33*2</f>
        <v>234.90600000000001</v>
      </c>
      <c r="E19" s="172">
        <v>96.657750000000007</v>
      </c>
      <c r="F19" s="289">
        <f>ROUND(E19*D19,2)</f>
        <v>22705.49</v>
      </c>
      <c r="G19" s="289">
        <f t="shared" si="3"/>
        <v>27246.59</v>
      </c>
    </row>
    <row r="20" spans="1:7" ht="15.6" x14ac:dyDescent="0.3">
      <c r="A20" s="286">
        <f t="shared" ref="A20:A22" si="4">A19+1</f>
        <v>12</v>
      </c>
      <c r="B20" s="291" t="s">
        <v>1565</v>
      </c>
      <c r="C20" s="286" t="s">
        <v>254</v>
      </c>
      <c r="D20" s="298">
        <f>2.2*14.2*2</f>
        <v>62.480000000000004</v>
      </c>
      <c r="E20" s="172">
        <v>121.78876499999998</v>
      </c>
      <c r="F20" s="289">
        <f>ROUND(E20*D20,2)</f>
        <v>7609.36</v>
      </c>
      <c r="G20" s="289">
        <f t="shared" si="3"/>
        <v>9131.23</v>
      </c>
    </row>
    <row r="21" spans="1:7" ht="15.6" x14ac:dyDescent="0.3">
      <c r="A21" s="286">
        <f t="shared" si="4"/>
        <v>13</v>
      </c>
      <c r="B21" s="291" t="s">
        <v>1566</v>
      </c>
      <c r="C21" s="286" t="s">
        <v>254</v>
      </c>
      <c r="D21" s="297">
        <f>0.7*2*78.5</f>
        <v>109.89999999999999</v>
      </c>
      <c r="E21" s="172">
        <v>114.70053</v>
      </c>
      <c r="F21" s="289">
        <f>ROUND(E21*D21,2)</f>
        <v>12605.59</v>
      </c>
      <c r="G21" s="289">
        <f t="shared" si="3"/>
        <v>15126.71</v>
      </c>
    </row>
    <row r="22" spans="1:7" ht="15.6" x14ac:dyDescent="0.3">
      <c r="A22" s="286">
        <f t="shared" si="4"/>
        <v>14</v>
      </c>
      <c r="B22" s="291" t="s">
        <v>1567</v>
      </c>
      <c r="C22" s="286" t="s">
        <v>254</v>
      </c>
      <c r="D22" s="297">
        <f>0.9*2*196.25</f>
        <v>353.25</v>
      </c>
      <c r="E22" s="172">
        <v>114.70053</v>
      </c>
      <c r="F22" s="289">
        <f>ROUND(E22*D22,2)</f>
        <v>40517.96</v>
      </c>
      <c r="G22" s="289">
        <f t="shared" si="3"/>
        <v>48621.55</v>
      </c>
    </row>
    <row r="23" spans="1:7" ht="15.6" x14ac:dyDescent="0.3">
      <c r="A23" s="87"/>
      <c r="B23" s="261" t="s">
        <v>1568</v>
      </c>
      <c r="C23" s="279" t="s">
        <v>220</v>
      </c>
      <c r="D23" s="280">
        <v>2</v>
      </c>
      <c r="E23" s="172">
        <v>0</v>
      </c>
      <c r="F23" s="103"/>
      <c r="G23" s="103"/>
    </row>
    <row r="24" spans="1:7" ht="15.6" x14ac:dyDescent="0.3">
      <c r="A24" s="286">
        <f>A22+1</f>
        <v>15</v>
      </c>
      <c r="B24" s="291" t="s">
        <v>1563</v>
      </c>
      <c r="C24" s="286" t="s">
        <v>254</v>
      </c>
      <c r="D24" s="298">
        <f>25.7*11*2</f>
        <v>565.4</v>
      </c>
      <c r="E24" s="172">
        <v>118.56684</v>
      </c>
      <c r="F24" s="289">
        <f>ROUND(E24*D24,2)</f>
        <v>67037.69</v>
      </c>
      <c r="G24" s="289">
        <f t="shared" ref="G24:G28" si="5">ROUND(F24*1.2,2)</f>
        <v>80445.23</v>
      </c>
    </row>
    <row r="25" spans="1:7" ht="15.6" x14ac:dyDescent="0.3">
      <c r="A25" s="286">
        <f>A24+1</f>
        <v>16</v>
      </c>
      <c r="B25" s="291" t="s">
        <v>1564</v>
      </c>
      <c r="C25" s="286" t="s">
        <v>254</v>
      </c>
      <c r="D25" s="298">
        <f>14.1*8.33*2</f>
        <v>234.90600000000001</v>
      </c>
      <c r="E25" s="172">
        <v>96.657750000000007</v>
      </c>
      <c r="F25" s="289">
        <f>ROUND(E25*D25,2)</f>
        <v>22705.49</v>
      </c>
      <c r="G25" s="289">
        <f t="shared" si="5"/>
        <v>27246.59</v>
      </c>
    </row>
    <row r="26" spans="1:7" ht="15.6" x14ac:dyDescent="0.3">
      <c r="A26" s="286">
        <f t="shared" ref="A26:A28" si="6">A25+1</f>
        <v>17</v>
      </c>
      <c r="B26" s="291" t="s">
        <v>1565</v>
      </c>
      <c r="C26" s="286" t="s">
        <v>254</v>
      </c>
      <c r="D26" s="298">
        <f>2.2*14.2*2</f>
        <v>62.480000000000004</v>
      </c>
      <c r="E26" s="172">
        <v>121.78876499999998</v>
      </c>
      <c r="F26" s="289">
        <f>ROUND(E26*D26,2)</f>
        <v>7609.36</v>
      </c>
      <c r="G26" s="289">
        <f t="shared" si="5"/>
        <v>9131.23</v>
      </c>
    </row>
    <row r="27" spans="1:7" ht="15.6" x14ac:dyDescent="0.3">
      <c r="A27" s="286">
        <f t="shared" si="6"/>
        <v>18</v>
      </c>
      <c r="B27" s="291" t="s">
        <v>1566</v>
      </c>
      <c r="C27" s="286" t="s">
        <v>254</v>
      </c>
      <c r="D27" s="297">
        <f>0.9*2*78.5</f>
        <v>141.30000000000001</v>
      </c>
      <c r="E27" s="172">
        <v>114.70053</v>
      </c>
      <c r="F27" s="289">
        <f>ROUND(E27*D27,2)</f>
        <v>16207.18</v>
      </c>
      <c r="G27" s="289">
        <f t="shared" si="5"/>
        <v>19448.62</v>
      </c>
    </row>
    <row r="28" spans="1:7" ht="15.6" x14ac:dyDescent="0.3">
      <c r="A28" s="286">
        <f t="shared" si="6"/>
        <v>19</v>
      </c>
      <c r="B28" s="291" t="s">
        <v>1567</v>
      </c>
      <c r="C28" s="286" t="s">
        <v>431</v>
      </c>
      <c r="D28" s="297">
        <f>0.9*2*196.25</f>
        <v>353.25</v>
      </c>
      <c r="E28" s="172">
        <v>114.70053</v>
      </c>
      <c r="F28" s="289">
        <f>ROUND(E28*D28,2)</f>
        <v>40517.96</v>
      </c>
      <c r="G28" s="289">
        <f t="shared" si="5"/>
        <v>48621.55</v>
      </c>
    </row>
    <row r="29" spans="1:7" ht="15.6" x14ac:dyDescent="0.3">
      <c r="A29" s="87"/>
      <c r="B29" s="261" t="s">
        <v>1569</v>
      </c>
      <c r="C29" s="279" t="s">
        <v>220</v>
      </c>
      <c r="D29" s="280">
        <v>1</v>
      </c>
      <c r="E29" s="172">
        <v>0</v>
      </c>
      <c r="F29" s="103"/>
      <c r="G29" s="103"/>
    </row>
    <row r="30" spans="1:7" ht="15.6" x14ac:dyDescent="0.3">
      <c r="A30" s="87">
        <f>A28+1</f>
        <v>20</v>
      </c>
      <c r="B30" s="244" t="s">
        <v>1570</v>
      </c>
      <c r="C30" s="87" t="s">
        <v>254</v>
      </c>
      <c r="D30" s="260">
        <f>35.2*19.1</f>
        <v>672.32</v>
      </c>
      <c r="E30" s="172">
        <v>96.657750000000007</v>
      </c>
      <c r="F30" s="103">
        <f t="shared" ref="F30:F38" si="7">ROUND(E30*D30,2)</f>
        <v>64984.94</v>
      </c>
      <c r="G30" s="103">
        <f t="shared" ref="G30:G38" si="8">ROUND(F30*1.2,2)</f>
        <v>77981.929999999993</v>
      </c>
    </row>
    <row r="31" spans="1:7" ht="15.6" x14ac:dyDescent="0.3">
      <c r="A31" s="87">
        <f>A30+1</f>
        <v>21</v>
      </c>
      <c r="B31" s="244" t="s">
        <v>1571</v>
      </c>
      <c r="C31" s="87" t="s">
        <v>254</v>
      </c>
      <c r="D31" s="260">
        <f>12*12.25</f>
        <v>147</v>
      </c>
      <c r="E31" s="172">
        <v>96.657750000000007</v>
      </c>
      <c r="F31" s="103">
        <f t="shared" si="7"/>
        <v>14208.69</v>
      </c>
      <c r="G31" s="103">
        <f t="shared" si="8"/>
        <v>17050.43</v>
      </c>
    </row>
    <row r="32" spans="1:7" ht="15.6" x14ac:dyDescent="0.3">
      <c r="A32" s="87">
        <f t="shared" ref="A32:A38" si="9">A31+1</f>
        <v>22</v>
      </c>
      <c r="B32" s="244" t="s">
        <v>1564</v>
      </c>
      <c r="C32" s="87" t="s">
        <v>254</v>
      </c>
      <c r="D32" s="260">
        <f>20.4*8.33</f>
        <v>169.93199999999999</v>
      </c>
      <c r="E32" s="172">
        <v>96.657750000000007</v>
      </c>
      <c r="F32" s="103">
        <f t="shared" si="7"/>
        <v>16425.240000000002</v>
      </c>
      <c r="G32" s="103">
        <f t="shared" si="8"/>
        <v>19710.29</v>
      </c>
    </row>
    <row r="33" spans="1:7" ht="15.6" x14ac:dyDescent="0.3">
      <c r="A33" s="87">
        <f t="shared" si="9"/>
        <v>23</v>
      </c>
      <c r="B33" s="244" t="s">
        <v>1572</v>
      </c>
      <c r="C33" s="87" t="s">
        <v>254</v>
      </c>
      <c r="D33" s="260">
        <f>8*5.72</f>
        <v>45.76</v>
      </c>
      <c r="E33" s="172">
        <v>96.657750000000007</v>
      </c>
      <c r="F33" s="103">
        <f t="shared" si="7"/>
        <v>4423.0600000000004</v>
      </c>
      <c r="G33" s="103">
        <f t="shared" si="8"/>
        <v>5307.67</v>
      </c>
    </row>
    <row r="34" spans="1:7" ht="15.6" x14ac:dyDescent="0.3">
      <c r="A34" s="286">
        <f t="shared" si="9"/>
        <v>24</v>
      </c>
      <c r="B34" s="291" t="s">
        <v>1565</v>
      </c>
      <c r="C34" s="286" t="s">
        <v>254</v>
      </c>
      <c r="D34" s="298">
        <f>22.1*14.2</f>
        <v>313.82</v>
      </c>
      <c r="E34" s="172">
        <v>121.78876499999998</v>
      </c>
      <c r="F34" s="289">
        <f t="shared" si="7"/>
        <v>38219.75</v>
      </c>
      <c r="G34" s="289">
        <f t="shared" si="8"/>
        <v>45863.7</v>
      </c>
    </row>
    <row r="35" spans="1:7" ht="15.6" x14ac:dyDescent="0.3">
      <c r="A35" s="87">
        <f t="shared" si="9"/>
        <v>25</v>
      </c>
      <c r="B35" s="244" t="s">
        <v>1573</v>
      </c>
      <c r="C35" s="87" t="s">
        <v>254</v>
      </c>
      <c r="D35" s="263">
        <f>0.8*66.57</f>
        <v>53.256</v>
      </c>
      <c r="E35" s="172">
        <v>114.70053</v>
      </c>
      <c r="F35" s="103">
        <f t="shared" si="7"/>
        <v>6108.49</v>
      </c>
      <c r="G35" s="103">
        <f t="shared" si="8"/>
        <v>7330.19</v>
      </c>
    </row>
    <row r="36" spans="1:7" ht="15.6" x14ac:dyDescent="0.3">
      <c r="A36" s="87">
        <f t="shared" si="9"/>
        <v>26</v>
      </c>
      <c r="B36" s="244" t="s">
        <v>1566</v>
      </c>
      <c r="C36" s="87" t="s">
        <v>254</v>
      </c>
      <c r="D36" s="263">
        <f>1.3*78.5</f>
        <v>102.05</v>
      </c>
      <c r="E36" s="172">
        <v>114.70053</v>
      </c>
      <c r="F36" s="103">
        <f t="shared" si="7"/>
        <v>11705.19</v>
      </c>
      <c r="G36" s="103">
        <f t="shared" si="8"/>
        <v>14046.23</v>
      </c>
    </row>
    <row r="37" spans="1:7" ht="15.6" x14ac:dyDescent="0.3">
      <c r="A37" s="87">
        <f t="shared" si="9"/>
        <v>27</v>
      </c>
      <c r="B37" s="244" t="s">
        <v>1574</v>
      </c>
      <c r="C37" s="87" t="s">
        <v>254</v>
      </c>
      <c r="D37" s="263">
        <f>0.3*94.2</f>
        <v>28.26</v>
      </c>
      <c r="E37" s="172">
        <v>114.70053</v>
      </c>
      <c r="F37" s="103">
        <f t="shared" si="7"/>
        <v>3241.44</v>
      </c>
      <c r="G37" s="103">
        <f t="shared" si="8"/>
        <v>3889.73</v>
      </c>
    </row>
    <row r="38" spans="1:7" ht="15.6" x14ac:dyDescent="0.3">
      <c r="A38" s="87">
        <f t="shared" si="9"/>
        <v>28</v>
      </c>
      <c r="B38" s="244" t="s">
        <v>1575</v>
      </c>
      <c r="C38" s="87" t="s">
        <v>254</v>
      </c>
      <c r="D38" s="238">
        <f>1*157</f>
        <v>157</v>
      </c>
      <c r="E38" s="172">
        <v>114.70053</v>
      </c>
      <c r="F38" s="103">
        <f t="shared" si="7"/>
        <v>18007.98</v>
      </c>
      <c r="G38" s="103">
        <f t="shared" si="8"/>
        <v>21609.58</v>
      </c>
    </row>
    <row r="39" spans="1:7" ht="28.8" x14ac:dyDescent="0.3">
      <c r="A39" s="87"/>
      <c r="B39" s="261" t="s">
        <v>1576</v>
      </c>
      <c r="C39" s="279" t="s">
        <v>220</v>
      </c>
      <c r="D39" s="280">
        <v>1</v>
      </c>
      <c r="E39" s="172">
        <v>0</v>
      </c>
      <c r="F39" s="103"/>
      <c r="G39" s="103"/>
    </row>
    <row r="40" spans="1:7" ht="15.6" x14ac:dyDescent="0.3">
      <c r="A40" s="87">
        <f>A38+1</f>
        <v>29</v>
      </c>
      <c r="B40" s="244" t="s">
        <v>1570</v>
      </c>
      <c r="C40" s="87" t="s">
        <v>254</v>
      </c>
      <c r="D40" s="260">
        <f>121.6*19.1</f>
        <v>2322.56</v>
      </c>
      <c r="E40" s="172">
        <v>96.657750000000007</v>
      </c>
      <c r="F40" s="103">
        <f t="shared" ref="F40:F48" si="10">ROUND(E40*D40,2)</f>
        <v>224493.42</v>
      </c>
      <c r="G40" s="103">
        <f t="shared" ref="G40:G48" si="11">ROUND(F40*1.2,2)</f>
        <v>269392.09999999998</v>
      </c>
    </row>
    <row r="41" spans="1:7" ht="15.6" x14ac:dyDescent="0.3">
      <c r="A41" s="87">
        <f>A40+1</f>
        <v>30</v>
      </c>
      <c r="B41" s="244" t="s">
        <v>1571</v>
      </c>
      <c r="C41" s="87" t="s">
        <v>254</v>
      </c>
      <c r="D41" s="260">
        <f>35.4*12.25</f>
        <v>433.65</v>
      </c>
      <c r="E41" s="172">
        <v>96.657750000000007</v>
      </c>
      <c r="F41" s="103">
        <f t="shared" si="10"/>
        <v>41915.629999999997</v>
      </c>
      <c r="G41" s="103">
        <f t="shared" si="11"/>
        <v>50298.76</v>
      </c>
    </row>
    <row r="42" spans="1:7" ht="15.6" x14ac:dyDescent="0.3">
      <c r="A42" s="87">
        <f t="shared" ref="A42:A48" si="12">A41+1</f>
        <v>31</v>
      </c>
      <c r="B42" s="244" t="s">
        <v>1564</v>
      </c>
      <c r="C42" s="87" t="s">
        <v>254</v>
      </c>
      <c r="D42" s="260">
        <f>58.5*8.33</f>
        <v>487.30500000000001</v>
      </c>
      <c r="E42" s="172">
        <v>96.657750000000007</v>
      </c>
      <c r="F42" s="103">
        <f t="shared" si="10"/>
        <v>47101.8</v>
      </c>
      <c r="G42" s="103">
        <f t="shared" si="11"/>
        <v>56522.16</v>
      </c>
    </row>
    <row r="43" spans="1:7" ht="15.6" x14ac:dyDescent="0.3">
      <c r="A43" s="87">
        <f t="shared" si="12"/>
        <v>32</v>
      </c>
      <c r="B43" s="244" t="s">
        <v>1572</v>
      </c>
      <c r="C43" s="87" t="s">
        <v>254</v>
      </c>
      <c r="D43" s="260">
        <f>40*5.72</f>
        <v>228.79999999999998</v>
      </c>
      <c r="E43" s="172">
        <v>96.657750000000007</v>
      </c>
      <c r="F43" s="103">
        <f t="shared" si="10"/>
        <v>22115.29</v>
      </c>
      <c r="G43" s="103">
        <f t="shared" si="11"/>
        <v>26538.35</v>
      </c>
    </row>
    <row r="44" spans="1:7" ht="15.6" x14ac:dyDescent="0.3">
      <c r="A44" s="286">
        <f t="shared" si="12"/>
        <v>33</v>
      </c>
      <c r="B44" s="291" t="s">
        <v>1565</v>
      </c>
      <c r="C44" s="286" t="s">
        <v>254</v>
      </c>
      <c r="D44" s="298">
        <f>39.6*14.2</f>
        <v>562.31999999999994</v>
      </c>
      <c r="E44" s="172">
        <v>121.78876499999998</v>
      </c>
      <c r="F44" s="289">
        <f t="shared" si="10"/>
        <v>68484.259999999995</v>
      </c>
      <c r="G44" s="289">
        <f t="shared" si="11"/>
        <v>82181.11</v>
      </c>
    </row>
    <row r="45" spans="1:7" ht="15.6" x14ac:dyDescent="0.3">
      <c r="A45" s="286">
        <f t="shared" si="12"/>
        <v>34</v>
      </c>
      <c r="B45" s="291" t="s">
        <v>1573</v>
      </c>
      <c r="C45" s="286" t="s">
        <v>254</v>
      </c>
      <c r="D45" s="297">
        <f>0.8*66.57</f>
        <v>53.256</v>
      </c>
      <c r="E45" s="172">
        <v>114.70053</v>
      </c>
      <c r="F45" s="289">
        <f t="shared" si="10"/>
        <v>6108.49</v>
      </c>
      <c r="G45" s="289">
        <f t="shared" si="11"/>
        <v>7330.19</v>
      </c>
    </row>
    <row r="46" spans="1:7" ht="15.6" x14ac:dyDescent="0.3">
      <c r="A46" s="87">
        <f t="shared" si="12"/>
        <v>35</v>
      </c>
      <c r="B46" s="244" t="s">
        <v>1566</v>
      </c>
      <c r="C46" s="87" t="s">
        <v>254</v>
      </c>
      <c r="D46" s="263">
        <f>3.1*78.5</f>
        <v>243.35</v>
      </c>
      <c r="E46" s="172">
        <v>114.70053</v>
      </c>
      <c r="F46" s="103">
        <f t="shared" si="10"/>
        <v>27912.37</v>
      </c>
      <c r="G46" s="103">
        <f t="shared" si="11"/>
        <v>33494.839999999997</v>
      </c>
    </row>
    <row r="47" spans="1:7" ht="15.6" x14ac:dyDescent="0.3">
      <c r="A47" s="87">
        <f t="shared" si="12"/>
        <v>36</v>
      </c>
      <c r="B47" s="244" t="s">
        <v>1574</v>
      </c>
      <c r="C47" s="87" t="s">
        <v>254</v>
      </c>
      <c r="D47" s="263">
        <f>0.3*94.2</f>
        <v>28.26</v>
      </c>
      <c r="E47" s="172">
        <v>114.70053</v>
      </c>
      <c r="F47" s="103">
        <f t="shared" si="10"/>
        <v>3241.44</v>
      </c>
      <c r="G47" s="103">
        <f t="shared" si="11"/>
        <v>3889.73</v>
      </c>
    </row>
    <row r="48" spans="1:7" ht="15.6" x14ac:dyDescent="0.3">
      <c r="A48" s="87">
        <f t="shared" si="12"/>
        <v>37</v>
      </c>
      <c r="B48" s="244" t="s">
        <v>1575</v>
      </c>
      <c r="C48" s="87" t="s">
        <v>254</v>
      </c>
      <c r="D48" s="263">
        <f>2.1*157</f>
        <v>329.7</v>
      </c>
      <c r="E48" s="172">
        <v>114.70053</v>
      </c>
      <c r="F48" s="103">
        <f t="shared" si="10"/>
        <v>37816.76</v>
      </c>
      <c r="G48" s="103">
        <f t="shared" si="11"/>
        <v>45380.11</v>
      </c>
    </row>
    <row r="49" spans="1:7" ht="28.8" x14ac:dyDescent="0.3">
      <c r="A49" s="87"/>
      <c r="B49" s="261" t="s">
        <v>1577</v>
      </c>
      <c r="C49" s="279" t="s">
        <v>220</v>
      </c>
      <c r="D49" s="280">
        <v>1</v>
      </c>
      <c r="E49" s="172">
        <v>0</v>
      </c>
      <c r="F49" s="103"/>
      <c r="G49" s="103"/>
    </row>
    <row r="50" spans="1:7" ht="15.6" x14ac:dyDescent="0.3">
      <c r="A50" s="87">
        <f>A48+1</f>
        <v>38</v>
      </c>
      <c r="B50" s="244" t="s">
        <v>1570</v>
      </c>
      <c r="C50" s="87" t="s">
        <v>254</v>
      </c>
      <c r="D50" s="260">
        <f>62.2*19.1</f>
        <v>1188.0200000000002</v>
      </c>
      <c r="E50" s="172">
        <v>96.657750000000007</v>
      </c>
      <c r="F50" s="103">
        <f t="shared" ref="F50:F58" si="13">ROUND(E50*D50,2)</f>
        <v>114831.34</v>
      </c>
      <c r="G50" s="103">
        <f t="shared" ref="G50:G66" si="14">ROUND(F50*1.2,2)</f>
        <v>137797.60999999999</v>
      </c>
    </row>
    <row r="51" spans="1:7" ht="15.6" x14ac:dyDescent="0.3">
      <c r="A51" s="87">
        <f>A50+1</f>
        <v>39</v>
      </c>
      <c r="B51" s="244" t="s">
        <v>1571</v>
      </c>
      <c r="C51" s="87" t="s">
        <v>254</v>
      </c>
      <c r="D51" s="260">
        <f>21.6*12.25</f>
        <v>264.60000000000002</v>
      </c>
      <c r="E51" s="172">
        <v>96.657750000000007</v>
      </c>
      <c r="F51" s="103">
        <f t="shared" si="13"/>
        <v>25575.64</v>
      </c>
      <c r="G51" s="103">
        <f t="shared" si="14"/>
        <v>30690.77</v>
      </c>
    </row>
    <row r="52" spans="1:7" ht="15.6" x14ac:dyDescent="0.3">
      <c r="A52" s="87">
        <f t="shared" ref="A52:A58" si="15">A51+1</f>
        <v>40</v>
      </c>
      <c r="B52" s="244" t="s">
        <v>1564</v>
      </c>
      <c r="C52" s="87" t="s">
        <v>254</v>
      </c>
      <c r="D52" s="260">
        <f>30.5*8.33</f>
        <v>254.065</v>
      </c>
      <c r="E52" s="172">
        <v>96.657750000000007</v>
      </c>
      <c r="F52" s="103">
        <f t="shared" si="13"/>
        <v>24557.35</v>
      </c>
      <c r="G52" s="103">
        <f t="shared" si="14"/>
        <v>29468.82</v>
      </c>
    </row>
    <row r="53" spans="1:7" ht="15.6" x14ac:dyDescent="0.3">
      <c r="A53" s="87">
        <f t="shared" si="15"/>
        <v>41</v>
      </c>
      <c r="B53" s="244" t="s">
        <v>1572</v>
      </c>
      <c r="C53" s="87" t="s">
        <v>254</v>
      </c>
      <c r="D53" s="260">
        <f>24*5.72</f>
        <v>137.28</v>
      </c>
      <c r="E53" s="172">
        <v>96.657750000000007</v>
      </c>
      <c r="F53" s="103">
        <f t="shared" si="13"/>
        <v>13269.18</v>
      </c>
      <c r="G53" s="103">
        <f t="shared" si="14"/>
        <v>15923.02</v>
      </c>
    </row>
    <row r="54" spans="1:7" ht="15.6" x14ac:dyDescent="0.3">
      <c r="A54" s="286">
        <f t="shared" si="15"/>
        <v>42</v>
      </c>
      <c r="B54" s="291" t="s">
        <v>1565</v>
      </c>
      <c r="C54" s="286" t="s">
        <v>254</v>
      </c>
      <c r="D54" s="298">
        <f>22.1*14.2</f>
        <v>313.82</v>
      </c>
      <c r="E54" s="172">
        <v>121.78876499999998</v>
      </c>
      <c r="F54" s="289">
        <f t="shared" si="13"/>
        <v>38219.75</v>
      </c>
      <c r="G54" s="289">
        <f t="shared" si="14"/>
        <v>45863.7</v>
      </c>
    </row>
    <row r="55" spans="1:7" ht="15.6" x14ac:dyDescent="0.3">
      <c r="A55" s="286">
        <f t="shared" si="15"/>
        <v>43</v>
      </c>
      <c r="B55" s="291" t="s">
        <v>1573</v>
      </c>
      <c r="C55" s="286" t="s">
        <v>254</v>
      </c>
      <c r="D55" s="297">
        <f>0.3*66.57</f>
        <v>19.970999999999997</v>
      </c>
      <c r="E55" s="172">
        <v>114.70053</v>
      </c>
      <c r="F55" s="289">
        <f t="shared" si="13"/>
        <v>2290.6799999999998</v>
      </c>
      <c r="G55" s="289">
        <f t="shared" si="14"/>
        <v>2748.82</v>
      </c>
    </row>
    <row r="56" spans="1:7" ht="15.6" x14ac:dyDescent="0.3">
      <c r="A56" s="286">
        <f t="shared" si="15"/>
        <v>44</v>
      </c>
      <c r="B56" s="291" t="s">
        <v>1566</v>
      </c>
      <c r="C56" s="286" t="s">
        <v>431</v>
      </c>
      <c r="D56" s="297">
        <f>1.5*78.5</f>
        <v>117.75</v>
      </c>
      <c r="E56" s="172">
        <v>114.70053</v>
      </c>
      <c r="F56" s="289">
        <f t="shared" si="13"/>
        <v>13505.99</v>
      </c>
      <c r="G56" s="289">
        <f t="shared" si="14"/>
        <v>16207.19</v>
      </c>
    </row>
    <row r="57" spans="1:7" ht="15.6" x14ac:dyDescent="0.3">
      <c r="A57" s="286">
        <f t="shared" si="15"/>
        <v>45</v>
      </c>
      <c r="B57" s="291" t="s">
        <v>1574</v>
      </c>
      <c r="C57" s="286" t="s">
        <v>431</v>
      </c>
      <c r="D57" s="297">
        <f>0.3*94.2</f>
        <v>28.26</v>
      </c>
      <c r="E57" s="172">
        <v>114.70053</v>
      </c>
      <c r="F57" s="289">
        <f t="shared" si="13"/>
        <v>3241.44</v>
      </c>
      <c r="G57" s="289">
        <f t="shared" si="14"/>
        <v>3889.73</v>
      </c>
    </row>
    <row r="58" spans="1:7" ht="15.6" x14ac:dyDescent="0.3">
      <c r="A58" s="286">
        <f t="shared" si="15"/>
        <v>46</v>
      </c>
      <c r="B58" s="291" t="s">
        <v>1575</v>
      </c>
      <c r="C58" s="286" t="s">
        <v>254</v>
      </c>
      <c r="D58" s="297">
        <f>1.4*157</f>
        <v>219.79999999999998</v>
      </c>
      <c r="E58" s="172">
        <v>114.70053</v>
      </c>
      <c r="F58" s="289">
        <f t="shared" si="13"/>
        <v>25211.18</v>
      </c>
      <c r="G58" s="289">
        <f t="shared" si="14"/>
        <v>30253.42</v>
      </c>
    </row>
    <row r="59" spans="1:7" ht="15.6" x14ac:dyDescent="0.3">
      <c r="A59" s="87"/>
      <c r="B59" s="261" t="s">
        <v>1578</v>
      </c>
      <c r="C59" s="279" t="s">
        <v>239</v>
      </c>
      <c r="D59" s="281">
        <v>0.379</v>
      </c>
      <c r="E59" s="172">
        <v>0</v>
      </c>
      <c r="F59" s="103"/>
      <c r="G59" s="103"/>
    </row>
    <row r="60" spans="1:7" ht="15.6" x14ac:dyDescent="0.3">
      <c r="A60" s="286">
        <f>A58+1</f>
        <v>47</v>
      </c>
      <c r="B60" s="291" t="s">
        <v>1579</v>
      </c>
      <c r="C60" s="286" t="s">
        <v>254</v>
      </c>
      <c r="D60" s="298">
        <f>26*9.22</f>
        <v>239.72000000000003</v>
      </c>
      <c r="E60" s="172">
        <v>94.080210000000008</v>
      </c>
      <c r="F60" s="289">
        <f t="shared" ref="F60:F66" si="16">ROUND(E60*D60,2)</f>
        <v>22552.91</v>
      </c>
      <c r="G60" s="289">
        <f t="shared" ref="G60:G62" si="17">ROUND(F60*1.2,2)</f>
        <v>27063.49</v>
      </c>
    </row>
    <row r="61" spans="1:7" ht="15.6" x14ac:dyDescent="0.3">
      <c r="A61" s="286">
        <f>A60+1</f>
        <v>48</v>
      </c>
      <c r="B61" s="291" t="s">
        <v>1566</v>
      </c>
      <c r="C61" s="286" t="s">
        <v>431</v>
      </c>
      <c r="D61" s="297">
        <f>0.3*78.5</f>
        <v>23.55</v>
      </c>
      <c r="E61" s="172">
        <v>114.70053</v>
      </c>
      <c r="F61" s="289">
        <f t="shared" si="16"/>
        <v>2701.2</v>
      </c>
      <c r="G61" s="289">
        <f t="shared" si="17"/>
        <v>3241.44</v>
      </c>
    </row>
    <row r="62" spans="1:7" ht="15.6" x14ac:dyDescent="0.3">
      <c r="A62" s="286">
        <f>A61+1</f>
        <v>49</v>
      </c>
      <c r="B62" s="291" t="s">
        <v>1573</v>
      </c>
      <c r="C62" s="286" t="s">
        <v>254</v>
      </c>
      <c r="D62" s="297">
        <f>0.8*66.57</f>
        <v>53.256</v>
      </c>
      <c r="E62" s="172">
        <v>114.70053</v>
      </c>
      <c r="F62" s="289">
        <f t="shared" si="16"/>
        <v>6108.49</v>
      </c>
      <c r="G62" s="289">
        <f t="shared" si="17"/>
        <v>7330.19</v>
      </c>
    </row>
    <row r="63" spans="1:7" ht="15.6" x14ac:dyDescent="0.3">
      <c r="A63" s="286">
        <f>A62+1</f>
        <v>50</v>
      </c>
      <c r="B63" s="291" t="s">
        <v>1580</v>
      </c>
      <c r="C63" s="286" t="s">
        <v>220</v>
      </c>
      <c r="D63" s="295">
        <v>5</v>
      </c>
      <c r="E63" s="172">
        <v>24099.999</v>
      </c>
      <c r="F63" s="289">
        <f t="shared" si="16"/>
        <v>120500</v>
      </c>
      <c r="G63" s="289">
        <f t="shared" si="14"/>
        <v>144600</v>
      </c>
    </row>
    <row r="64" spans="1:7" ht="15.6" x14ac:dyDescent="0.3">
      <c r="A64" s="66">
        <f t="shared" ref="A64:A66" si="18">A63+1</f>
        <v>51</v>
      </c>
      <c r="B64" s="244" t="s">
        <v>402</v>
      </c>
      <c r="C64" s="87" t="s">
        <v>254</v>
      </c>
      <c r="D64" s="278">
        <v>12.754</v>
      </c>
      <c r="E64" s="172">
        <v>1773.3475200000003</v>
      </c>
      <c r="F64" s="103">
        <f t="shared" si="16"/>
        <v>22617.27</v>
      </c>
      <c r="G64" s="103">
        <f t="shared" si="14"/>
        <v>27140.720000000001</v>
      </c>
    </row>
    <row r="65" spans="1:8" ht="15.6" x14ac:dyDescent="0.3">
      <c r="A65" s="66">
        <f t="shared" si="18"/>
        <v>52</v>
      </c>
      <c r="B65" s="244" t="s">
        <v>403</v>
      </c>
      <c r="C65" s="87" t="s">
        <v>254</v>
      </c>
      <c r="D65" s="278">
        <v>12.754</v>
      </c>
      <c r="E65" s="172">
        <v>1956.3528600000004</v>
      </c>
      <c r="F65" s="103">
        <f t="shared" si="16"/>
        <v>24951.32</v>
      </c>
      <c r="G65" s="103">
        <f t="shared" si="14"/>
        <v>29941.58</v>
      </c>
    </row>
    <row r="66" spans="1:8" ht="15.6" x14ac:dyDescent="0.3">
      <c r="A66" s="66">
        <f t="shared" si="18"/>
        <v>53</v>
      </c>
      <c r="B66" s="67" t="s">
        <v>1581</v>
      </c>
      <c r="C66" s="66" t="s">
        <v>239</v>
      </c>
      <c r="D66" s="205">
        <v>12.754</v>
      </c>
      <c r="E66" s="172">
        <v>202.33689000000001</v>
      </c>
      <c r="F66" s="102">
        <f t="shared" si="16"/>
        <v>2580.6</v>
      </c>
      <c r="G66" s="102">
        <f t="shared" si="14"/>
        <v>3096.72</v>
      </c>
    </row>
    <row r="67" spans="1:8" ht="15.6" x14ac:dyDescent="0.3">
      <c r="A67" s="248"/>
      <c r="B67" s="73" t="s">
        <v>1547</v>
      </c>
      <c r="C67" s="66"/>
      <c r="D67" s="282"/>
      <c r="E67" s="172">
        <v>0</v>
      </c>
      <c r="F67" s="102"/>
      <c r="G67" s="102"/>
    </row>
    <row r="68" spans="1:8" ht="15.6" x14ac:dyDescent="0.3">
      <c r="A68" s="286">
        <f>A66+1</f>
        <v>54</v>
      </c>
      <c r="B68" s="291" t="s">
        <v>1001</v>
      </c>
      <c r="C68" s="286" t="s">
        <v>193</v>
      </c>
      <c r="D68" s="288">
        <v>0.46</v>
      </c>
      <c r="E68" s="172">
        <v>5928.3420000000006</v>
      </c>
      <c r="F68" s="301">
        <f t="shared" ref="F68:F82" si="19">ROUND(E68*D68,2)</f>
        <v>2727.04</v>
      </c>
      <c r="G68" s="301">
        <f t="shared" ref="G68:G82" si="20">ROUND(F68*1.2,2)</f>
        <v>3272.45</v>
      </c>
    </row>
    <row r="69" spans="1:8" ht="15.6" x14ac:dyDescent="0.3">
      <c r="A69" s="290">
        <f t="shared" ref="A69:A74" si="21">A68+1</f>
        <v>55</v>
      </c>
      <c r="B69" s="291" t="s">
        <v>1582</v>
      </c>
      <c r="C69" s="286" t="s">
        <v>193</v>
      </c>
      <c r="D69" s="297">
        <v>10.199999999999999</v>
      </c>
      <c r="E69" s="172">
        <v>31204.988009999997</v>
      </c>
      <c r="F69" s="301">
        <f t="shared" si="19"/>
        <v>318290.88</v>
      </c>
      <c r="G69" s="301">
        <f t="shared" si="20"/>
        <v>381949.06</v>
      </c>
      <c r="H69" s="210"/>
    </row>
    <row r="70" spans="1:8" ht="15.6" x14ac:dyDescent="0.3">
      <c r="A70" s="290">
        <f t="shared" si="21"/>
        <v>56</v>
      </c>
      <c r="B70" s="291" t="s">
        <v>1065</v>
      </c>
      <c r="C70" s="286" t="s">
        <v>387</v>
      </c>
      <c r="D70" s="298">
        <f>15.12*20/16</f>
        <v>18.899999999999999</v>
      </c>
      <c r="E70" s="172">
        <v>322.1925</v>
      </c>
      <c r="F70" s="301">
        <f t="shared" si="19"/>
        <v>6089.44</v>
      </c>
      <c r="G70" s="301">
        <f t="shared" si="20"/>
        <v>7307.33</v>
      </c>
    </row>
    <row r="71" spans="1:8" ht="15.6" x14ac:dyDescent="0.3">
      <c r="A71" s="290">
        <f t="shared" si="21"/>
        <v>57</v>
      </c>
      <c r="B71" s="291" t="s">
        <v>1064</v>
      </c>
      <c r="C71" s="286" t="s">
        <v>254</v>
      </c>
      <c r="D71" s="298">
        <v>70.599999999999994</v>
      </c>
      <c r="E71" s="172">
        <v>402.09624000000002</v>
      </c>
      <c r="F71" s="301">
        <f t="shared" si="19"/>
        <v>28387.99</v>
      </c>
      <c r="G71" s="301">
        <f t="shared" si="20"/>
        <v>34065.589999999997</v>
      </c>
    </row>
    <row r="72" spans="1:8" ht="15.6" x14ac:dyDescent="0.3">
      <c r="A72" s="290">
        <f t="shared" si="21"/>
        <v>58</v>
      </c>
      <c r="B72" s="291" t="s">
        <v>1583</v>
      </c>
      <c r="C72" s="286" t="s">
        <v>220</v>
      </c>
      <c r="D72" s="295">
        <v>3</v>
      </c>
      <c r="E72" s="172">
        <v>141764.70000000001</v>
      </c>
      <c r="F72" s="301">
        <f t="shared" si="19"/>
        <v>425294.1</v>
      </c>
      <c r="G72" s="301">
        <f t="shared" si="20"/>
        <v>510352.92</v>
      </c>
      <c r="H72" s="210"/>
    </row>
    <row r="73" spans="1:8" ht="15.6" x14ac:dyDescent="0.3">
      <c r="A73" s="248">
        <f t="shared" si="21"/>
        <v>59</v>
      </c>
      <c r="B73" s="244" t="s">
        <v>402</v>
      </c>
      <c r="C73" s="87" t="s">
        <v>254</v>
      </c>
      <c r="D73" s="228">
        <v>10.4</v>
      </c>
      <c r="E73" s="172">
        <v>1773.3475200000003</v>
      </c>
      <c r="F73" s="103">
        <f t="shared" si="19"/>
        <v>18442.810000000001</v>
      </c>
      <c r="G73" s="103">
        <f t="shared" si="20"/>
        <v>22131.37</v>
      </c>
    </row>
    <row r="74" spans="1:8" ht="15.6" x14ac:dyDescent="0.3">
      <c r="A74" s="248">
        <f t="shared" si="21"/>
        <v>60</v>
      </c>
      <c r="B74" s="244" t="s">
        <v>403</v>
      </c>
      <c r="C74" s="87" t="s">
        <v>254</v>
      </c>
      <c r="D74" s="228">
        <v>18.2</v>
      </c>
      <c r="E74" s="172">
        <v>1956.3528600000004</v>
      </c>
      <c r="F74" s="103">
        <f t="shared" si="19"/>
        <v>35605.620000000003</v>
      </c>
      <c r="G74" s="103">
        <f t="shared" si="20"/>
        <v>42726.74</v>
      </c>
    </row>
    <row r="75" spans="1:8" ht="15.6" x14ac:dyDescent="0.3">
      <c r="A75" s="248">
        <f t="shared" ref="A75:A82" si="22">A74+1</f>
        <v>61</v>
      </c>
      <c r="B75" s="67" t="s">
        <v>1584</v>
      </c>
      <c r="C75" s="87" t="s">
        <v>254</v>
      </c>
      <c r="D75" s="68">
        <f>76*0.243</f>
        <v>18.468</v>
      </c>
      <c r="E75" s="172">
        <v>163.67379</v>
      </c>
      <c r="F75" s="103">
        <f t="shared" si="19"/>
        <v>3022.73</v>
      </c>
      <c r="G75" s="103">
        <f t="shared" si="20"/>
        <v>3627.28</v>
      </c>
    </row>
    <row r="76" spans="1:8" ht="15.6" x14ac:dyDescent="0.3">
      <c r="A76" s="248">
        <f t="shared" si="22"/>
        <v>62</v>
      </c>
      <c r="B76" s="67" t="s">
        <v>1585</v>
      </c>
      <c r="C76" s="87" t="s">
        <v>254</v>
      </c>
      <c r="D76" s="68">
        <f>76*0.071</f>
        <v>5.3959999999999999</v>
      </c>
      <c r="E76" s="172">
        <v>189.44919000000002</v>
      </c>
      <c r="F76" s="103">
        <f t="shared" si="19"/>
        <v>1022.27</v>
      </c>
      <c r="G76" s="103">
        <f t="shared" si="20"/>
        <v>1226.72</v>
      </c>
    </row>
    <row r="77" spans="1:8" ht="15.6" x14ac:dyDescent="0.3">
      <c r="A77" s="248">
        <f t="shared" si="22"/>
        <v>63</v>
      </c>
      <c r="B77" s="67" t="s">
        <v>1586</v>
      </c>
      <c r="C77" s="87" t="s">
        <v>254</v>
      </c>
      <c r="D77" s="68">
        <f>76*0.0172</f>
        <v>1.3071999999999999</v>
      </c>
      <c r="E77" s="172">
        <v>253.88768999999999</v>
      </c>
      <c r="F77" s="103">
        <f t="shared" si="19"/>
        <v>331.88</v>
      </c>
      <c r="G77" s="103">
        <f t="shared" si="20"/>
        <v>398.26</v>
      </c>
    </row>
    <row r="78" spans="1:8" ht="15.6" x14ac:dyDescent="0.3">
      <c r="A78" s="248">
        <f t="shared" si="22"/>
        <v>64</v>
      </c>
      <c r="B78" s="67" t="s">
        <v>1587</v>
      </c>
      <c r="C78" s="87" t="s">
        <v>254</v>
      </c>
      <c r="D78" s="68">
        <f>76*0.015</f>
        <v>1.1399999999999999</v>
      </c>
      <c r="E78" s="172">
        <v>253.88768999999999</v>
      </c>
      <c r="F78" s="103">
        <f t="shared" si="19"/>
        <v>289.43</v>
      </c>
      <c r="G78" s="103">
        <f t="shared" si="20"/>
        <v>347.32</v>
      </c>
    </row>
    <row r="79" spans="1:8" ht="15.6" x14ac:dyDescent="0.3">
      <c r="A79" s="248">
        <f t="shared" si="22"/>
        <v>65</v>
      </c>
      <c r="B79" s="67" t="s">
        <v>1588</v>
      </c>
      <c r="C79" s="87" t="s">
        <v>254</v>
      </c>
      <c r="D79" s="68">
        <f>0.33*40</f>
        <v>13.200000000000001</v>
      </c>
      <c r="E79" s="172">
        <v>163.67379</v>
      </c>
      <c r="F79" s="103">
        <f t="shared" si="19"/>
        <v>2160.4899999999998</v>
      </c>
      <c r="G79" s="103">
        <f t="shared" si="20"/>
        <v>2592.59</v>
      </c>
    </row>
    <row r="80" spans="1:8" ht="15.6" x14ac:dyDescent="0.3">
      <c r="A80" s="248">
        <f t="shared" si="22"/>
        <v>66</v>
      </c>
      <c r="B80" s="67" t="s">
        <v>1589</v>
      </c>
      <c r="C80" s="87" t="s">
        <v>254</v>
      </c>
      <c r="D80" s="68">
        <f>40*0.107</f>
        <v>4.28</v>
      </c>
      <c r="E80" s="172">
        <v>189.44919000000002</v>
      </c>
      <c r="F80" s="103">
        <f t="shared" si="19"/>
        <v>810.84</v>
      </c>
      <c r="G80" s="103">
        <f t="shared" si="20"/>
        <v>973.01</v>
      </c>
    </row>
    <row r="81" spans="1:8" ht="15.6" x14ac:dyDescent="0.3">
      <c r="A81" s="248">
        <f t="shared" si="22"/>
        <v>67</v>
      </c>
      <c r="B81" s="67" t="s">
        <v>1590</v>
      </c>
      <c r="C81" s="87" t="s">
        <v>254</v>
      </c>
      <c r="D81" s="68">
        <f>0.03*40</f>
        <v>1.2</v>
      </c>
      <c r="E81" s="172">
        <v>253.88768999999999</v>
      </c>
      <c r="F81" s="103">
        <f t="shared" si="19"/>
        <v>304.67</v>
      </c>
      <c r="G81" s="103">
        <f t="shared" si="20"/>
        <v>365.6</v>
      </c>
    </row>
    <row r="82" spans="1:8" ht="15.6" x14ac:dyDescent="0.3">
      <c r="A82" s="248">
        <f t="shared" si="22"/>
        <v>68</v>
      </c>
      <c r="B82" s="67" t="s">
        <v>1591</v>
      </c>
      <c r="C82" s="87" t="s">
        <v>254</v>
      </c>
      <c r="D82" s="68">
        <f>40*0.068</f>
        <v>2.72</v>
      </c>
      <c r="E82" s="172">
        <v>253.88768999999999</v>
      </c>
      <c r="F82" s="103">
        <f t="shared" si="19"/>
        <v>690.57</v>
      </c>
      <c r="G82" s="103">
        <f t="shared" si="20"/>
        <v>828.68</v>
      </c>
    </row>
    <row r="83" spans="1:8" ht="15.6" x14ac:dyDescent="0.3">
      <c r="A83" s="248"/>
      <c r="B83" s="73" t="s">
        <v>1552</v>
      </c>
      <c r="C83" s="66"/>
      <c r="D83" s="282"/>
      <c r="E83" s="172">
        <v>0</v>
      </c>
      <c r="F83" s="102"/>
      <c r="G83" s="102"/>
    </row>
    <row r="84" spans="1:8" ht="27.6" x14ac:dyDescent="0.3">
      <c r="A84" s="290">
        <f>A82+1</f>
        <v>69</v>
      </c>
      <c r="B84" s="291" t="s">
        <v>1592</v>
      </c>
      <c r="C84" s="286" t="s">
        <v>193</v>
      </c>
      <c r="D84" s="298">
        <v>0.52</v>
      </c>
      <c r="E84" s="172">
        <v>31458.875700000001</v>
      </c>
      <c r="F84" s="301">
        <f>ROUND(E84*D84,2)</f>
        <v>16358.62</v>
      </c>
      <c r="G84" s="301">
        <f t="shared" ref="G84:G86" si="23">ROUND(F84*1.2,2)</f>
        <v>19630.34</v>
      </c>
      <c r="H84" s="210"/>
    </row>
    <row r="85" spans="1:8" ht="15.6" x14ac:dyDescent="0.3">
      <c r="A85" s="290">
        <f>A84+1</f>
        <v>70</v>
      </c>
      <c r="B85" s="291" t="s">
        <v>1593</v>
      </c>
      <c r="C85" s="286" t="s">
        <v>193</v>
      </c>
      <c r="D85" s="298">
        <v>2.52</v>
      </c>
      <c r="E85" s="172">
        <v>28649.357100000005</v>
      </c>
      <c r="F85" s="301">
        <f>ROUND(E85*D85,2)</f>
        <v>72196.38</v>
      </c>
      <c r="G85" s="301">
        <f t="shared" si="23"/>
        <v>86635.66</v>
      </c>
      <c r="H85" s="210"/>
    </row>
    <row r="86" spans="1:8" ht="27.6" x14ac:dyDescent="0.3">
      <c r="A86" s="286">
        <f>A85+1</f>
        <v>71</v>
      </c>
      <c r="B86" s="291" t="s">
        <v>407</v>
      </c>
      <c r="C86" s="286" t="s">
        <v>243</v>
      </c>
      <c r="D86" s="299">
        <v>1</v>
      </c>
      <c r="E86" s="172">
        <v>180427.80000000002</v>
      </c>
      <c r="F86" s="301">
        <f>ROUND(E86*D86,2)</f>
        <v>180427.8</v>
      </c>
      <c r="G86" s="301">
        <f t="shared" si="23"/>
        <v>216513.36</v>
      </c>
    </row>
    <row r="87" spans="1:8" ht="22.5" customHeight="1" x14ac:dyDescent="0.3">
      <c r="A87" s="493" t="s">
        <v>408</v>
      </c>
      <c r="B87" s="493"/>
      <c r="C87" s="493"/>
      <c r="D87" s="493"/>
      <c r="E87" s="493"/>
      <c r="F87" s="83">
        <f>SUM(F6:F86)</f>
        <v>2895517.84</v>
      </c>
      <c r="G87" s="83">
        <f>SUM(G6:G86)</f>
        <v>3474621.46</v>
      </c>
    </row>
  </sheetData>
  <mergeCells count="9"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J89"/>
  <sheetViews>
    <sheetView topLeftCell="A16" zoomScaleNormal="100" zoomScaleSheetLayoutView="80" workbookViewId="0">
      <selection activeCell="E90" sqref="E90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86" t="s">
        <v>441</v>
      </c>
      <c r="F1" s="486" t="s">
        <v>433</v>
      </c>
      <c r="G1" s="486" t="s">
        <v>409</v>
      </c>
    </row>
    <row r="2" spans="1:10" ht="14.55" customHeight="1" x14ac:dyDescent="0.3">
      <c r="A2" s="481"/>
      <c r="B2" s="484"/>
      <c r="C2" s="486"/>
      <c r="D2" s="486"/>
      <c r="E2" s="486"/>
      <c r="F2" s="486"/>
      <c r="G2" s="486"/>
      <c r="J2" s="382"/>
    </row>
    <row r="3" spans="1:10" ht="55.95" customHeight="1" x14ac:dyDescent="0.3">
      <c r="A3" s="482"/>
      <c r="B3" s="485"/>
      <c r="C3" s="486"/>
      <c r="D3" s="486"/>
      <c r="E3" s="486"/>
      <c r="F3" s="486"/>
      <c r="G3" s="486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78" t="s">
        <v>1343</v>
      </c>
      <c r="C5" s="479"/>
      <c r="D5" s="479"/>
      <c r="E5" s="175"/>
      <c r="F5" s="176"/>
      <c r="G5" s="184"/>
    </row>
    <row r="6" spans="1:10" ht="19.5" customHeight="1" x14ac:dyDescent="0.3">
      <c r="A6" s="304"/>
      <c r="B6" s="62" t="s">
        <v>1344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2">
        <v>464.82929999999999</v>
      </c>
      <c r="F7" s="289">
        <f t="shared" ref="F7:F12" si="0">ROUND(E7*D7,2)</f>
        <v>95754.84</v>
      </c>
      <c r="G7" s="289">
        <f t="shared" ref="G7:G12" si="1">ROUND(F7*1.2,2)</f>
        <v>114905.81</v>
      </c>
    </row>
    <row r="8" spans="1:10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2">
        <v>2541.5435879999995</v>
      </c>
      <c r="F8" s="289">
        <f t="shared" si="0"/>
        <v>15757.57</v>
      </c>
      <c r="G8" s="289">
        <f t="shared" si="1"/>
        <v>18909.080000000002</v>
      </c>
    </row>
    <row r="9" spans="1:10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2">
        <v>464.82929999999999</v>
      </c>
      <c r="F9" s="289">
        <f t="shared" si="0"/>
        <v>58289.59</v>
      </c>
      <c r="G9" s="289">
        <f t="shared" si="1"/>
        <v>69947.509999999995</v>
      </c>
    </row>
    <row r="10" spans="1:10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2">
        <v>1285.789356</v>
      </c>
      <c r="F10" s="289">
        <f t="shared" si="0"/>
        <v>40245.21</v>
      </c>
      <c r="G10" s="289">
        <f t="shared" si="1"/>
        <v>48294.25</v>
      </c>
    </row>
    <row r="11" spans="1:10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2">
        <v>464.82929999999999</v>
      </c>
      <c r="F11" s="289">
        <f t="shared" si="0"/>
        <v>38116</v>
      </c>
      <c r="G11" s="289">
        <f t="shared" si="1"/>
        <v>45739.199999999997</v>
      </c>
    </row>
    <row r="12" spans="1:10" s="52" customFormat="1" ht="15.6" x14ac:dyDescent="0.3">
      <c r="A12" s="466">
        <f t="shared" si="2"/>
        <v>6</v>
      </c>
      <c r="B12" s="67" t="s">
        <v>503</v>
      </c>
      <c r="C12" s="66" t="s">
        <v>239</v>
      </c>
      <c r="D12" s="72">
        <v>82</v>
      </c>
      <c r="E12" s="172">
        <f>'исключение-свод'!D1</f>
        <v>4948.6400000000003</v>
      </c>
      <c r="F12" s="289">
        <f t="shared" si="0"/>
        <v>405788.48</v>
      </c>
      <c r="G12" s="289">
        <f t="shared" si="1"/>
        <v>486946.18</v>
      </c>
    </row>
    <row r="13" spans="1:10" ht="24" customHeight="1" x14ac:dyDescent="0.3">
      <c r="A13" s="66"/>
      <c r="B13" s="62" t="s">
        <v>1345</v>
      </c>
      <c r="C13" s="66"/>
      <c r="D13" s="71"/>
      <c r="E13" s="172">
        <v>0</v>
      </c>
      <c r="F13" s="289"/>
      <c r="G13" s="289"/>
    </row>
    <row r="14" spans="1:10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2">
        <v>20109.230640000002</v>
      </c>
      <c r="F14" s="289">
        <f>ROUND(E14*D14,2)</f>
        <v>199081.38</v>
      </c>
      <c r="G14" s="289">
        <f t="shared" ref="G14" si="3">ROUND(F14*1.2,2)</f>
        <v>238897.66</v>
      </c>
    </row>
    <row r="15" spans="1:10" ht="23.25" customHeight="1" x14ac:dyDescent="0.3">
      <c r="A15" s="66"/>
      <c r="B15" s="62" t="s">
        <v>1347</v>
      </c>
      <c r="C15" s="66"/>
      <c r="D15" s="71"/>
      <c r="E15" s="172">
        <v>0</v>
      </c>
      <c r="F15" s="289"/>
      <c r="G15" s="289"/>
    </row>
    <row r="16" spans="1:10" ht="19.5" customHeight="1" x14ac:dyDescent="0.3">
      <c r="A16" s="66"/>
      <c r="B16" s="62" t="s">
        <v>1011</v>
      </c>
      <c r="C16" s="66"/>
      <c r="D16" s="71"/>
      <c r="E16" s="172">
        <v>0</v>
      </c>
      <c r="F16" s="289"/>
      <c r="G16" s="289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2">
        <v>43412.110317359999</v>
      </c>
      <c r="F17" s="289">
        <f>ROUND(E17*D17,2)</f>
        <v>16930.72</v>
      </c>
      <c r="G17" s="289">
        <f t="shared" ref="G17:G23" si="4">ROUND(F17*1.2,2)</f>
        <v>20316.86</v>
      </c>
      <c r="H17" s="211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2">
        <v>217.397088</v>
      </c>
      <c r="F18" s="289">
        <f>ROUND(E18*D18,2)</f>
        <v>836.98</v>
      </c>
      <c r="G18" s="289">
        <f t="shared" si="4"/>
        <v>1004.38</v>
      </c>
    </row>
    <row r="19" spans="1:8" ht="27.6" x14ac:dyDescent="0.3">
      <c r="A19" s="66">
        <f t="shared" ref="A19:A23" si="5">A18+1</f>
        <v>10</v>
      </c>
      <c r="B19" s="67" t="s">
        <v>930</v>
      </c>
      <c r="C19" s="66" t="s">
        <v>431</v>
      </c>
      <c r="D19" s="68">
        <v>3.85</v>
      </c>
      <c r="E19" s="172">
        <v>451.29919176000004</v>
      </c>
      <c r="F19" s="289">
        <f>ROUND(E19*D19,2)</f>
        <v>1737.5</v>
      </c>
      <c r="G19" s="289">
        <f t="shared" si="4"/>
        <v>2085</v>
      </c>
    </row>
    <row r="20" spans="1:8" ht="21.75" customHeight="1" x14ac:dyDescent="0.3">
      <c r="A20" s="66"/>
      <c r="B20" s="73" t="s">
        <v>1012</v>
      </c>
      <c r="C20" s="66"/>
      <c r="D20" s="68"/>
      <c r="E20" s="172">
        <v>0</v>
      </c>
      <c r="F20" s="289"/>
      <c r="G20" s="289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2">
        <v>43412.110317359999</v>
      </c>
      <c r="F21" s="289">
        <f>ROUND(E21*D21,2)</f>
        <v>15194.24</v>
      </c>
      <c r="G21" s="289">
        <f t="shared" si="4"/>
        <v>18233.09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2">
        <v>217.397088</v>
      </c>
      <c r="F22" s="289">
        <f>ROUND(E22*D22,2)</f>
        <v>760.89</v>
      </c>
      <c r="G22" s="289">
        <f t="shared" si="4"/>
        <v>913.07</v>
      </c>
    </row>
    <row r="23" spans="1:8" ht="27.6" x14ac:dyDescent="0.3">
      <c r="A23" s="66">
        <f t="shared" si="5"/>
        <v>11</v>
      </c>
      <c r="B23" s="67" t="s">
        <v>930</v>
      </c>
      <c r="C23" s="66" t="s">
        <v>431</v>
      </c>
      <c r="D23" s="68">
        <v>3.5</v>
      </c>
      <c r="E23" s="172">
        <v>451.29919176000004</v>
      </c>
      <c r="F23" s="289">
        <f>ROUND(E23*D23,2)</f>
        <v>1579.55</v>
      </c>
      <c r="G23" s="289">
        <f t="shared" si="4"/>
        <v>1895.46</v>
      </c>
    </row>
    <row r="24" spans="1:8" ht="19.5" customHeight="1" x14ac:dyDescent="0.3">
      <c r="A24" s="66"/>
      <c r="B24" s="62" t="s">
        <v>1348</v>
      </c>
      <c r="C24" s="66"/>
      <c r="D24" s="71"/>
      <c r="E24" s="172">
        <v>0</v>
      </c>
      <c r="F24" s="289"/>
      <c r="G24" s="289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2">
        <v>19512.132374879999</v>
      </c>
      <c r="F25" s="289">
        <f t="shared" ref="F25:F30" si="6">ROUND(E25*D25,2)</f>
        <v>63024.19</v>
      </c>
      <c r="G25" s="289">
        <f t="shared" ref="G25:G30" si="7">ROUND(F25*1.2,2)</f>
        <v>75629.03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2">
        <v>19512.132374879999</v>
      </c>
      <c r="F26" s="289">
        <f t="shared" si="6"/>
        <v>68877.83</v>
      </c>
      <c r="G26" s="289">
        <f t="shared" si="7"/>
        <v>82653.399999999994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2">
        <v>9931.2567749999998</v>
      </c>
      <c r="F27" s="289">
        <f t="shared" si="6"/>
        <v>26615.77</v>
      </c>
      <c r="G27" s="289">
        <f t="shared" si="7"/>
        <v>31938.92</v>
      </c>
    </row>
    <row r="28" spans="1:8" ht="27.6" x14ac:dyDescent="0.3">
      <c r="A28" s="66">
        <f t="shared" ref="A28:A30" si="8">A27+1</f>
        <v>15</v>
      </c>
      <c r="B28" s="67" t="s">
        <v>1352</v>
      </c>
      <c r="C28" s="66" t="s">
        <v>431</v>
      </c>
      <c r="D28" s="68">
        <v>53.3</v>
      </c>
      <c r="E28" s="172">
        <v>217.397088</v>
      </c>
      <c r="F28" s="289">
        <f t="shared" si="6"/>
        <v>11587.26</v>
      </c>
      <c r="G28" s="289">
        <f t="shared" si="7"/>
        <v>13904.71</v>
      </c>
    </row>
    <row r="29" spans="1:8" ht="27.6" x14ac:dyDescent="0.3">
      <c r="A29" s="66">
        <f t="shared" si="8"/>
        <v>16</v>
      </c>
      <c r="B29" s="67" t="s">
        <v>1353</v>
      </c>
      <c r="C29" s="66" t="s">
        <v>431</v>
      </c>
      <c r="D29" s="68">
        <v>53.3</v>
      </c>
      <c r="E29" s="172">
        <v>451.29919176000004</v>
      </c>
      <c r="F29" s="289">
        <f t="shared" si="6"/>
        <v>24054.25</v>
      </c>
      <c r="G29" s="289">
        <f t="shared" si="7"/>
        <v>28865.1</v>
      </c>
    </row>
    <row r="30" spans="1:8" ht="20.25" customHeight="1" x14ac:dyDescent="0.3">
      <c r="A30" s="66">
        <f t="shared" si="8"/>
        <v>17</v>
      </c>
      <c r="B30" s="67" t="s">
        <v>1354</v>
      </c>
      <c r="C30" s="66" t="s">
        <v>194</v>
      </c>
      <c r="D30" s="71">
        <v>34</v>
      </c>
      <c r="E30" s="172">
        <v>9930.1840919999995</v>
      </c>
      <c r="F30" s="289">
        <f t="shared" si="6"/>
        <v>337626.26</v>
      </c>
      <c r="G30" s="289">
        <f t="shared" si="7"/>
        <v>405151.51</v>
      </c>
      <c r="H30" s="271"/>
    </row>
    <row r="31" spans="1:8" ht="20.25" customHeight="1" x14ac:dyDescent="0.3">
      <c r="A31" s="66"/>
      <c r="B31" s="62" t="s">
        <v>1355</v>
      </c>
      <c r="C31" s="66"/>
      <c r="D31" s="71"/>
      <c r="E31" s="172">
        <v>0</v>
      </c>
      <c r="F31" s="289"/>
      <c r="G31" s="289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2">
        <v>19512.132374879999</v>
      </c>
      <c r="F32" s="289">
        <f>ROUND(E32*D32,2)</f>
        <v>5853.64</v>
      </c>
      <c r="G32" s="289">
        <f t="shared" ref="G32:G33" si="9">ROUND(F32*1.2,2)</f>
        <v>7024.37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2">
        <v>9518.2738200000003</v>
      </c>
      <c r="F33" s="289">
        <f>ROUND(E33*D33,2)</f>
        <v>38073.1</v>
      </c>
      <c r="G33" s="289">
        <f t="shared" si="9"/>
        <v>45687.72</v>
      </c>
    </row>
    <row r="34" spans="1:7" ht="20.25" customHeight="1" x14ac:dyDescent="0.3">
      <c r="A34" s="66"/>
      <c r="B34" s="62" t="s">
        <v>1358</v>
      </c>
      <c r="C34" s="66"/>
      <c r="D34" s="71"/>
      <c r="E34" s="172">
        <v>0</v>
      </c>
      <c r="F34" s="289"/>
      <c r="G34" s="289"/>
    </row>
    <row r="35" spans="1:7" ht="20.25" customHeight="1" x14ac:dyDescent="0.3">
      <c r="A35" s="66"/>
      <c r="B35" s="73" t="s">
        <v>513</v>
      </c>
      <c r="C35" s="66"/>
      <c r="D35" s="71"/>
      <c r="E35" s="172">
        <v>0</v>
      </c>
      <c r="F35" s="289"/>
      <c r="G35" s="289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2">
        <v>2541.5435879999995</v>
      </c>
      <c r="F36" s="289">
        <f t="shared" ref="F36:F47" si="10">ROUND(E36*D36,2)</f>
        <v>6353.86</v>
      </c>
      <c r="G36" s="289">
        <f t="shared" ref="G36:G47" si="11">ROUND(F36*1.2,2)</f>
        <v>7624.63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2">
        <v>1285.789356</v>
      </c>
      <c r="F37" s="289">
        <f t="shared" si="10"/>
        <v>2803.02</v>
      </c>
      <c r="G37" s="289">
        <f t="shared" si="11"/>
        <v>3363.62</v>
      </c>
    </row>
    <row r="38" spans="1:7" s="52" customFormat="1" ht="15.6" x14ac:dyDescent="0.3">
      <c r="A38" s="66">
        <f t="shared" ref="A38:A47" si="12">A37+1</f>
        <v>22</v>
      </c>
      <c r="B38" s="67" t="s">
        <v>518</v>
      </c>
      <c r="C38" s="66" t="s">
        <v>239</v>
      </c>
      <c r="D38" s="72">
        <v>0.5</v>
      </c>
      <c r="E38" s="172">
        <v>464.82929999999999</v>
      </c>
      <c r="F38" s="289">
        <f t="shared" si="10"/>
        <v>232.41</v>
      </c>
      <c r="G38" s="289">
        <f t="shared" si="11"/>
        <v>278.89</v>
      </c>
    </row>
    <row r="39" spans="1:7" s="52" customFormat="1" ht="15.6" x14ac:dyDescent="0.3">
      <c r="A39" s="466">
        <f t="shared" si="12"/>
        <v>23</v>
      </c>
      <c r="B39" s="67" t="s">
        <v>503</v>
      </c>
      <c r="C39" s="66" t="s">
        <v>239</v>
      </c>
      <c r="D39" s="72">
        <v>0.5</v>
      </c>
      <c r="E39" s="172">
        <f>'исключение-свод'!D1</f>
        <v>4948.6400000000003</v>
      </c>
      <c r="F39" s="289">
        <f t="shared" si="10"/>
        <v>2474.3200000000002</v>
      </c>
      <c r="G39" s="289">
        <f t="shared" si="11"/>
        <v>2969.18</v>
      </c>
    </row>
    <row r="40" spans="1:7" ht="20.25" customHeight="1" x14ac:dyDescent="0.3">
      <c r="A40" s="66">
        <f t="shared" si="12"/>
        <v>24</v>
      </c>
      <c r="B40" s="67" t="s">
        <v>1361</v>
      </c>
      <c r="C40" s="66" t="s">
        <v>254</v>
      </c>
      <c r="D40" s="68">
        <v>232.2</v>
      </c>
      <c r="E40" s="172">
        <v>92.085046511627908</v>
      </c>
      <c r="F40" s="289">
        <f t="shared" si="10"/>
        <v>21382.15</v>
      </c>
      <c r="G40" s="289">
        <f t="shared" si="11"/>
        <v>25658.58</v>
      </c>
    </row>
    <row r="41" spans="1:7" ht="20.25" customHeight="1" x14ac:dyDescent="0.3">
      <c r="A41" s="66">
        <f t="shared" si="12"/>
        <v>25</v>
      </c>
      <c r="B41" s="67" t="s">
        <v>1362</v>
      </c>
      <c r="C41" s="66" t="s">
        <v>254</v>
      </c>
      <c r="D41" s="68">
        <v>5.3</v>
      </c>
      <c r="E41" s="172">
        <v>184.17009302325582</v>
      </c>
      <c r="F41" s="289">
        <f t="shared" si="10"/>
        <v>976.1</v>
      </c>
      <c r="G41" s="289">
        <f t="shared" si="11"/>
        <v>1171.32</v>
      </c>
    </row>
    <row r="42" spans="1:7" ht="20.25" customHeight="1" x14ac:dyDescent="0.3">
      <c r="A42" s="66">
        <f t="shared" si="12"/>
        <v>26</v>
      </c>
      <c r="B42" s="67" t="s">
        <v>1363</v>
      </c>
      <c r="C42" s="66" t="s">
        <v>193</v>
      </c>
      <c r="D42" s="68">
        <v>0.35</v>
      </c>
      <c r="E42" s="172">
        <v>9929.9797714285723</v>
      </c>
      <c r="F42" s="289">
        <f t="shared" si="10"/>
        <v>3475.49</v>
      </c>
      <c r="G42" s="289">
        <f t="shared" si="11"/>
        <v>4170.59</v>
      </c>
    </row>
    <row r="43" spans="1:7" ht="20.25" customHeight="1" x14ac:dyDescent="0.3">
      <c r="A43" s="66">
        <f t="shared" si="12"/>
        <v>27</v>
      </c>
      <c r="B43" s="67" t="s">
        <v>1614</v>
      </c>
      <c r="C43" s="66" t="s">
        <v>220</v>
      </c>
      <c r="D43" s="71">
        <v>2</v>
      </c>
      <c r="E43" s="172">
        <v>1301.5220400000001</v>
      </c>
      <c r="F43" s="289">
        <f t="shared" si="10"/>
        <v>2603.04</v>
      </c>
      <c r="G43" s="289">
        <f t="shared" si="11"/>
        <v>3123.65</v>
      </c>
    </row>
    <row r="44" spans="1:7" ht="27.6" x14ac:dyDescent="0.3">
      <c r="A44" s="66">
        <f t="shared" si="12"/>
        <v>28</v>
      </c>
      <c r="B44" s="67" t="s">
        <v>547</v>
      </c>
      <c r="C44" s="66" t="s">
        <v>431</v>
      </c>
      <c r="D44" s="71">
        <v>6</v>
      </c>
      <c r="E44" s="172">
        <v>260.30440800000002</v>
      </c>
      <c r="F44" s="289">
        <f t="shared" si="10"/>
        <v>1561.83</v>
      </c>
      <c r="G44" s="289">
        <f t="shared" si="11"/>
        <v>1874.2</v>
      </c>
    </row>
    <row r="45" spans="1:7" ht="15.6" x14ac:dyDescent="0.3">
      <c r="A45" s="66">
        <f t="shared" si="12"/>
        <v>29</v>
      </c>
      <c r="B45" s="67" t="s">
        <v>548</v>
      </c>
      <c r="C45" s="66" t="s">
        <v>431</v>
      </c>
      <c r="D45" s="71">
        <v>6</v>
      </c>
      <c r="E45" s="172">
        <v>260.30440800000002</v>
      </c>
      <c r="F45" s="289">
        <f t="shared" si="10"/>
        <v>1561.83</v>
      </c>
      <c r="G45" s="289">
        <f t="shared" si="11"/>
        <v>1874.2</v>
      </c>
    </row>
    <row r="46" spans="1:7" ht="27.6" x14ac:dyDescent="0.3">
      <c r="A46" s="66">
        <f t="shared" si="12"/>
        <v>30</v>
      </c>
      <c r="B46" s="67" t="s">
        <v>929</v>
      </c>
      <c r="C46" s="66" t="s">
        <v>431</v>
      </c>
      <c r="D46" s="68">
        <v>1.5</v>
      </c>
      <c r="E46" s="172">
        <v>217.397088</v>
      </c>
      <c r="F46" s="289">
        <f t="shared" si="10"/>
        <v>326.10000000000002</v>
      </c>
      <c r="G46" s="289">
        <f t="shared" si="11"/>
        <v>391.32</v>
      </c>
    </row>
    <row r="47" spans="1:7" ht="27.6" x14ac:dyDescent="0.3">
      <c r="A47" s="66">
        <f t="shared" si="12"/>
        <v>31</v>
      </c>
      <c r="B47" s="67" t="s">
        <v>930</v>
      </c>
      <c r="C47" s="66" t="s">
        <v>431</v>
      </c>
      <c r="D47" s="68">
        <v>1.5</v>
      </c>
      <c r="E47" s="172">
        <v>451.29919176000004</v>
      </c>
      <c r="F47" s="289">
        <f t="shared" si="10"/>
        <v>676.95</v>
      </c>
      <c r="G47" s="289">
        <f t="shared" si="11"/>
        <v>812.34</v>
      </c>
    </row>
    <row r="48" spans="1:7" ht="20.25" customHeight="1" x14ac:dyDescent="0.3">
      <c r="A48" s="66"/>
      <c r="B48" s="73" t="s">
        <v>1364</v>
      </c>
      <c r="C48" s="66"/>
      <c r="D48" s="71"/>
      <c r="E48" s="172">
        <v>0</v>
      </c>
      <c r="F48" s="289"/>
      <c r="G48" s="289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2">
        <v>1520.3493719999999</v>
      </c>
      <c r="F49" s="289">
        <f t="shared" ref="F49:F58" si="13">ROUND(E49*D49,2)</f>
        <v>22805.24</v>
      </c>
      <c r="G49" s="289">
        <f t="shared" ref="G49:G58" si="14">ROUND(F49*1.2,2)</f>
        <v>27366.29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2">
        <v>1577.5591319999999</v>
      </c>
      <c r="F50" s="289">
        <f t="shared" si="13"/>
        <v>66573</v>
      </c>
      <c r="G50" s="289">
        <f t="shared" si="14"/>
        <v>79887.600000000006</v>
      </c>
    </row>
    <row r="51" spans="1:8" ht="20.25" customHeight="1" x14ac:dyDescent="0.3">
      <c r="A51" s="66">
        <f t="shared" ref="A51:A58" si="15">A50+1</f>
        <v>34</v>
      </c>
      <c r="B51" s="67" t="s">
        <v>1367</v>
      </c>
      <c r="C51" s="66" t="s">
        <v>220</v>
      </c>
      <c r="D51" s="71">
        <v>9</v>
      </c>
      <c r="E51" s="172">
        <v>6217.2706679999992</v>
      </c>
      <c r="F51" s="289">
        <f t="shared" si="13"/>
        <v>55955.44</v>
      </c>
      <c r="G51" s="289">
        <f t="shared" si="14"/>
        <v>67146.53</v>
      </c>
    </row>
    <row r="52" spans="1:8" ht="15.6" x14ac:dyDescent="0.3">
      <c r="A52" s="66">
        <f t="shared" si="15"/>
        <v>35</v>
      </c>
      <c r="B52" s="231" t="s">
        <v>1368</v>
      </c>
      <c r="C52" s="66" t="s">
        <v>220</v>
      </c>
      <c r="D52" s="71">
        <v>28</v>
      </c>
      <c r="E52" s="172">
        <v>1870.7591519999999</v>
      </c>
      <c r="F52" s="289">
        <f t="shared" si="13"/>
        <v>52381.26</v>
      </c>
      <c r="G52" s="289">
        <f t="shared" si="14"/>
        <v>62857.51</v>
      </c>
      <c r="H52" s="230"/>
    </row>
    <row r="53" spans="1:8" ht="15.6" x14ac:dyDescent="0.3">
      <c r="A53" s="66">
        <f t="shared" si="15"/>
        <v>36</v>
      </c>
      <c r="B53" s="67" t="s">
        <v>1369</v>
      </c>
      <c r="C53" s="66" t="s">
        <v>220</v>
      </c>
      <c r="D53" s="71">
        <v>28</v>
      </c>
      <c r="E53" s="172">
        <v>15415.169832</v>
      </c>
      <c r="F53" s="289">
        <f t="shared" si="13"/>
        <v>431624.76</v>
      </c>
      <c r="G53" s="289">
        <f t="shared" si="14"/>
        <v>517949.71</v>
      </c>
      <c r="H53"/>
    </row>
    <row r="54" spans="1:8" ht="15.6" x14ac:dyDescent="0.3">
      <c r="A54" s="66">
        <f t="shared" si="15"/>
        <v>37</v>
      </c>
      <c r="B54" s="67" t="s">
        <v>1370</v>
      </c>
      <c r="C54" s="66" t="s">
        <v>431</v>
      </c>
      <c r="D54" s="68">
        <v>3.9</v>
      </c>
      <c r="E54" s="172">
        <v>260.30440800000002</v>
      </c>
      <c r="F54" s="289">
        <f t="shared" si="13"/>
        <v>1015.19</v>
      </c>
      <c r="G54" s="289">
        <f t="shared" si="14"/>
        <v>1218.23</v>
      </c>
      <c r="H54"/>
    </row>
    <row r="55" spans="1:8" ht="15.6" x14ac:dyDescent="0.3">
      <c r="A55" s="66">
        <f t="shared" si="15"/>
        <v>38</v>
      </c>
      <c r="B55" s="67" t="s">
        <v>1371</v>
      </c>
      <c r="C55" s="66" t="s">
        <v>220</v>
      </c>
      <c r="D55" s="71">
        <v>2</v>
      </c>
      <c r="E55" s="172">
        <v>37997.292347999995</v>
      </c>
      <c r="F55" s="289">
        <f t="shared" si="13"/>
        <v>75994.58</v>
      </c>
      <c r="G55" s="289">
        <f t="shared" si="14"/>
        <v>91193.5</v>
      </c>
      <c r="H55"/>
    </row>
    <row r="56" spans="1:8" ht="15.6" x14ac:dyDescent="0.3">
      <c r="A56" s="66">
        <f t="shared" si="15"/>
        <v>39</v>
      </c>
      <c r="B56" s="67" t="s">
        <v>1372</v>
      </c>
      <c r="C56" s="66" t="s">
        <v>220</v>
      </c>
      <c r="D56" s="71">
        <v>4</v>
      </c>
      <c r="E56" s="172">
        <v>11645.046648</v>
      </c>
      <c r="F56" s="289">
        <f t="shared" si="13"/>
        <v>46580.19</v>
      </c>
      <c r="G56" s="289">
        <f t="shared" si="14"/>
        <v>55896.23</v>
      </c>
      <c r="H56"/>
    </row>
    <row r="57" spans="1:8" ht="15.6" x14ac:dyDescent="0.3">
      <c r="A57" s="66">
        <f t="shared" si="15"/>
        <v>40</v>
      </c>
      <c r="B57" s="67" t="s">
        <v>1373</v>
      </c>
      <c r="C57" s="66" t="s">
        <v>220</v>
      </c>
      <c r="D57" s="71">
        <v>4</v>
      </c>
      <c r="E57" s="172">
        <v>6860.8804679999994</v>
      </c>
      <c r="F57" s="289">
        <f t="shared" si="13"/>
        <v>27443.52</v>
      </c>
      <c r="G57" s="289">
        <f t="shared" si="14"/>
        <v>32932.22</v>
      </c>
      <c r="H57"/>
    </row>
    <row r="58" spans="1:8" ht="15.6" x14ac:dyDescent="0.3">
      <c r="A58" s="66">
        <f t="shared" si="15"/>
        <v>41</v>
      </c>
      <c r="B58" s="67" t="s">
        <v>1374</v>
      </c>
      <c r="C58" s="66" t="s">
        <v>220</v>
      </c>
      <c r="D58" s="71">
        <v>4</v>
      </c>
      <c r="E58" s="172">
        <v>1853.5962240000001</v>
      </c>
      <c r="F58" s="289">
        <f t="shared" si="13"/>
        <v>7414.38</v>
      </c>
      <c r="G58" s="289">
        <f t="shared" si="14"/>
        <v>8897.26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172">
        <v>0</v>
      </c>
      <c r="F59" s="289"/>
      <c r="G59" s="289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2">
        <v>32479.410995999999</v>
      </c>
      <c r="F60" s="289">
        <f t="shared" ref="F60:F73" si="16">ROUND(E60*D60,2)</f>
        <v>32479.41</v>
      </c>
      <c r="G60" s="289">
        <f t="shared" ref="G60:G73" si="17">ROUND(F60*1.2,2)</f>
        <v>38975.29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2">
        <v>1520.3493719999999</v>
      </c>
      <c r="F61" s="289">
        <f t="shared" si="16"/>
        <v>1961.25</v>
      </c>
      <c r="G61" s="289">
        <f t="shared" si="17"/>
        <v>2353.5</v>
      </c>
      <c r="H61"/>
    </row>
    <row r="62" spans="1:8" ht="15.6" x14ac:dyDescent="0.3">
      <c r="A62" s="66">
        <f t="shared" ref="A62:A73" si="18">A61+1</f>
        <v>44</v>
      </c>
      <c r="B62" s="67" t="s">
        <v>1378</v>
      </c>
      <c r="C62" s="66" t="s">
        <v>194</v>
      </c>
      <c r="D62" s="68">
        <v>1.39</v>
      </c>
      <c r="E62" s="172">
        <v>1313.1070164</v>
      </c>
      <c r="F62" s="289">
        <f t="shared" si="16"/>
        <v>1825.22</v>
      </c>
      <c r="G62" s="289">
        <f t="shared" si="17"/>
        <v>2190.2600000000002</v>
      </c>
      <c r="H62"/>
    </row>
    <row r="63" spans="1:8" ht="15.6" x14ac:dyDescent="0.3">
      <c r="A63" s="66">
        <f t="shared" si="18"/>
        <v>45</v>
      </c>
      <c r="B63" s="67" t="s">
        <v>1379</v>
      </c>
      <c r="C63" s="66" t="s">
        <v>220</v>
      </c>
      <c r="D63" s="71">
        <v>1</v>
      </c>
      <c r="E63" s="172">
        <v>4871.4110639999999</v>
      </c>
      <c r="F63" s="289">
        <f t="shared" si="16"/>
        <v>4871.41</v>
      </c>
      <c r="G63" s="289">
        <f t="shared" si="17"/>
        <v>5845.69</v>
      </c>
      <c r="H63"/>
    </row>
    <row r="64" spans="1:8" ht="15.6" x14ac:dyDescent="0.3">
      <c r="A64" s="66">
        <f t="shared" si="18"/>
        <v>46</v>
      </c>
      <c r="B64" s="67" t="s">
        <v>1380</v>
      </c>
      <c r="C64" s="66" t="s">
        <v>220</v>
      </c>
      <c r="D64" s="71">
        <v>1</v>
      </c>
      <c r="E64" s="172">
        <v>393.86059272</v>
      </c>
      <c r="F64" s="289">
        <f t="shared" si="16"/>
        <v>393.86</v>
      </c>
      <c r="G64" s="289">
        <f t="shared" si="17"/>
        <v>472.63</v>
      </c>
      <c r="H64"/>
    </row>
    <row r="65" spans="1:8" ht="27.6" x14ac:dyDescent="0.3">
      <c r="A65" s="66">
        <f t="shared" si="18"/>
        <v>47</v>
      </c>
      <c r="B65" s="67" t="s">
        <v>1381</v>
      </c>
      <c r="C65" s="66" t="s">
        <v>220</v>
      </c>
      <c r="D65" s="71">
        <v>1</v>
      </c>
      <c r="E65" s="172">
        <v>32479.410995999999</v>
      </c>
      <c r="F65" s="289">
        <f t="shared" si="16"/>
        <v>32479.41</v>
      </c>
      <c r="G65" s="289">
        <f t="shared" si="17"/>
        <v>38975.29</v>
      </c>
      <c r="H65"/>
    </row>
    <row r="66" spans="1:8" ht="15.6" x14ac:dyDescent="0.3">
      <c r="A66" s="66">
        <f t="shared" si="18"/>
        <v>48</v>
      </c>
      <c r="B66" s="67" t="s">
        <v>1382</v>
      </c>
      <c r="C66" s="66" t="s">
        <v>194</v>
      </c>
      <c r="D66" s="68">
        <v>1.29</v>
      </c>
      <c r="E66" s="172">
        <v>1520.3493719999999</v>
      </c>
      <c r="F66" s="289">
        <f t="shared" si="16"/>
        <v>1961.25</v>
      </c>
      <c r="G66" s="289">
        <f t="shared" si="17"/>
        <v>2353.5</v>
      </c>
      <c r="H66"/>
    </row>
    <row r="67" spans="1:8" ht="15.6" x14ac:dyDescent="0.3">
      <c r="A67" s="66">
        <f t="shared" si="18"/>
        <v>49</v>
      </c>
      <c r="B67" s="67" t="s">
        <v>1383</v>
      </c>
      <c r="C67" s="66" t="s">
        <v>194</v>
      </c>
      <c r="D67" s="68">
        <v>1.07</v>
      </c>
      <c r="E67" s="172">
        <v>1313.1070164</v>
      </c>
      <c r="F67" s="289">
        <f t="shared" si="16"/>
        <v>1405.02</v>
      </c>
      <c r="G67" s="289">
        <f t="shared" si="17"/>
        <v>1686.02</v>
      </c>
      <c r="H67"/>
    </row>
    <row r="68" spans="1:8" ht="15.6" x14ac:dyDescent="0.3">
      <c r="A68" s="66">
        <f t="shared" si="18"/>
        <v>50</v>
      </c>
      <c r="B68" s="67" t="s">
        <v>1379</v>
      </c>
      <c r="C68" s="66" t="s">
        <v>220</v>
      </c>
      <c r="D68" s="71">
        <v>1</v>
      </c>
      <c r="E68" s="172">
        <v>4871.4110639999999</v>
      </c>
      <c r="F68" s="289">
        <f t="shared" si="16"/>
        <v>4871.41</v>
      </c>
      <c r="G68" s="289">
        <f t="shared" si="17"/>
        <v>5845.69</v>
      </c>
      <c r="H68"/>
    </row>
    <row r="69" spans="1:8" ht="15.6" x14ac:dyDescent="0.3">
      <c r="A69" s="66">
        <f t="shared" si="18"/>
        <v>51</v>
      </c>
      <c r="B69" s="67" t="s">
        <v>1380</v>
      </c>
      <c r="C69" s="66" t="s">
        <v>220</v>
      </c>
      <c r="D69" s="71">
        <v>1</v>
      </c>
      <c r="E69" s="172">
        <v>393.86059272</v>
      </c>
      <c r="F69" s="289">
        <f t="shared" si="16"/>
        <v>393.86</v>
      </c>
      <c r="G69" s="289">
        <f t="shared" si="17"/>
        <v>472.63</v>
      </c>
      <c r="H69"/>
    </row>
    <row r="70" spans="1:8" ht="27.6" x14ac:dyDescent="0.3">
      <c r="A70" s="66">
        <f t="shared" si="18"/>
        <v>52</v>
      </c>
      <c r="B70" s="67" t="s">
        <v>1384</v>
      </c>
      <c r="C70" s="66" t="s">
        <v>220</v>
      </c>
      <c r="D70" s="71">
        <v>2</v>
      </c>
      <c r="E70" s="172">
        <v>6860.8804679999994</v>
      </c>
      <c r="F70" s="289">
        <f t="shared" si="16"/>
        <v>13721.76</v>
      </c>
      <c r="G70" s="289">
        <f t="shared" si="17"/>
        <v>16466.11</v>
      </c>
      <c r="H70"/>
    </row>
    <row r="71" spans="1:8" ht="27.6" x14ac:dyDescent="0.3">
      <c r="A71" s="66">
        <f t="shared" si="18"/>
        <v>53</v>
      </c>
      <c r="B71" s="67" t="s">
        <v>1385</v>
      </c>
      <c r="C71" s="66" t="s">
        <v>220</v>
      </c>
      <c r="D71" s="71">
        <v>2</v>
      </c>
      <c r="E71" s="172">
        <v>1516.05864</v>
      </c>
      <c r="F71" s="289">
        <f t="shared" si="16"/>
        <v>3032.12</v>
      </c>
      <c r="G71" s="289">
        <f t="shared" si="17"/>
        <v>3638.54</v>
      </c>
      <c r="H71"/>
    </row>
    <row r="72" spans="1:8" ht="15.6" x14ac:dyDescent="0.3">
      <c r="A72" s="66">
        <f t="shared" si="18"/>
        <v>54</v>
      </c>
      <c r="B72" s="67" t="s">
        <v>1380</v>
      </c>
      <c r="C72" s="66" t="s">
        <v>220</v>
      </c>
      <c r="D72" s="71">
        <v>2</v>
      </c>
      <c r="E72" s="172">
        <v>393.86059272</v>
      </c>
      <c r="F72" s="289">
        <f t="shared" si="16"/>
        <v>787.72</v>
      </c>
      <c r="G72" s="289">
        <f t="shared" si="17"/>
        <v>945.26</v>
      </c>
      <c r="H72"/>
    </row>
    <row r="73" spans="1:8" ht="15.6" x14ac:dyDescent="0.3">
      <c r="A73" s="66">
        <f t="shared" si="18"/>
        <v>55</v>
      </c>
      <c r="B73" s="67" t="s">
        <v>1386</v>
      </c>
      <c r="C73" s="66" t="s">
        <v>220</v>
      </c>
      <c r="D73" s="71">
        <v>1</v>
      </c>
      <c r="E73" s="172">
        <v>886.75128000000007</v>
      </c>
      <c r="F73" s="289">
        <f t="shared" si="16"/>
        <v>886.75</v>
      </c>
      <c r="G73" s="289">
        <f t="shared" si="17"/>
        <v>1064.0999999999999</v>
      </c>
      <c r="H73" s="210"/>
    </row>
    <row r="74" spans="1:8" ht="15.6" x14ac:dyDescent="0.3">
      <c r="A74" s="66"/>
      <c r="B74" s="73" t="s">
        <v>1387</v>
      </c>
      <c r="C74" s="66"/>
      <c r="D74" s="68"/>
      <c r="E74" s="172">
        <v>0</v>
      </c>
      <c r="F74" s="289"/>
      <c r="G74" s="289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2">
        <v>2186.8430760000001</v>
      </c>
      <c r="F75" s="289">
        <f t="shared" ref="F75:F88" si="19">ROUND(E75*D75,2)</f>
        <v>4373.6899999999996</v>
      </c>
      <c r="G75" s="289">
        <f t="shared" ref="G75:G88" si="20">ROUND(F75*1.2,2)</f>
        <v>5248.43</v>
      </c>
    </row>
    <row r="76" spans="1:8" ht="15.6" x14ac:dyDescent="0.3">
      <c r="A76" s="66">
        <f>A75+1</f>
        <v>57</v>
      </c>
      <c r="B76" s="67" t="s">
        <v>1615</v>
      </c>
      <c r="C76" s="66" t="s">
        <v>220</v>
      </c>
      <c r="D76" s="71">
        <v>1</v>
      </c>
      <c r="E76" s="172">
        <v>6636.3321599999999</v>
      </c>
      <c r="F76" s="289">
        <f t="shared" si="19"/>
        <v>6636.33</v>
      </c>
      <c r="G76" s="289">
        <f t="shared" si="20"/>
        <v>7963.6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2">
        <v>6134.3165159999999</v>
      </c>
      <c r="F77" s="289">
        <f t="shared" si="19"/>
        <v>6134.32</v>
      </c>
      <c r="G77" s="289">
        <f t="shared" si="20"/>
        <v>7361.18</v>
      </c>
      <c r="H77"/>
    </row>
    <row r="78" spans="1:8" ht="15.6" x14ac:dyDescent="0.3">
      <c r="A78" s="66">
        <f t="shared" ref="A78:A88" si="21">A77+1</f>
        <v>59</v>
      </c>
      <c r="B78" s="67" t="s">
        <v>1390</v>
      </c>
      <c r="C78" s="66" t="s">
        <v>220</v>
      </c>
      <c r="D78" s="71">
        <v>1</v>
      </c>
      <c r="E78" s="172">
        <v>2972.0470319999999</v>
      </c>
      <c r="F78" s="289">
        <f t="shared" si="19"/>
        <v>2972.05</v>
      </c>
      <c r="G78" s="289">
        <f t="shared" si="20"/>
        <v>3566.46</v>
      </c>
      <c r="H78"/>
    </row>
    <row r="79" spans="1:8" ht="15.6" x14ac:dyDescent="0.3">
      <c r="A79" s="66">
        <f t="shared" si="21"/>
        <v>60</v>
      </c>
      <c r="B79" s="67" t="s">
        <v>1391</v>
      </c>
      <c r="C79" s="66" t="s">
        <v>220</v>
      </c>
      <c r="D79" s="71">
        <v>1</v>
      </c>
      <c r="E79" s="172">
        <v>8105.1927479999995</v>
      </c>
      <c r="F79" s="289">
        <f t="shared" si="19"/>
        <v>8105.19</v>
      </c>
      <c r="G79" s="289">
        <f t="shared" si="20"/>
        <v>9726.23</v>
      </c>
      <c r="H79"/>
    </row>
    <row r="80" spans="1:8" ht="15.6" x14ac:dyDescent="0.3">
      <c r="A80" s="66">
        <f t="shared" si="21"/>
        <v>61</v>
      </c>
      <c r="B80" s="67" t="s">
        <v>1392</v>
      </c>
      <c r="C80" s="66" t="s">
        <v>220</v>
      </c>
      <c r="D80" s="71">
        <v>1</v>
      </c>
      <c r="E80" s="172">
        <v>2972.0470319999999</v>
      </c>
      <c r="F80" s="289">
        <f t="shared" si="19"/>
        <v>2972.05</v>
      </c>
      <c r="G80" s="289">
        <f t="shared" si="20"/>
        <v>3566.46</v>
      </c>
      <c r="H80"/>
    </row>
    <row r="81" spans="1:8" ht="15.6" x14ac:dyDescent="0.3">
      <c r="A81" s="66">
        <f t="shared" si="21"/>
        <v>62</v>
      </c>
      <c r="B81" s="67" t="s">
        <v>1393</v>
      </c>
      <c r="C81" s="66" t="s">
        <v>220</v>
      </c>
      <c r="D81" s="71">
        <v>3</v>
      </c>
      <c r="E81" s="172">
        <v>429.07319999999999</v>
      </c>
      <c r="F81" s="289">
        <f t="shared" si="19"/>
        <v>1287.22</v>
      </c>
      <c r="G81" s="289">
        <f t="shared" si="20"/>
        <v>1544.66</v>
      </c>
      <c r="H81" s="210"/>
    </row>
    <row r="82" spans="1:8" ht="15.6" x14ac:dyDescent="0.3">
      <c r="A82" s="66">
        <f t="shared" si="21"/>
        <v>63</v>
      </c>
      <c r="B82" s="67" t="s">
        <v>1394</v>
      </c>
      <c r="C82" s="66" t="s">
        <v>220</v>
      </c>
      <c r="D82" s="71">
        <v>1</v>
      </c>
      <c r="E82" s="172">
        <v>4592.5134839999992</v>
      </c>
      <c r="F82" s="289">
        <f t="shared" si="19"/>
        <v>4592.51</v>
      </c>
      <c r="G82" s="289">
        <f t="shared" si="20"/>
        <v>5511.01</v>
      </c>
      <c r="H82" s="271"/>
    </row>
    <row r="83" spans="1:8" ht="15.6" x14ac:dyDescent="0.3">
      <c r="A83" s="66">
        <f t="shared" si="21"/>
        <v>64</v>
      </c>
      <c r="B83" s="67" t="s">
        <v>978</v>
      </c>
      <c r="C83" s="66" t="s">
        <v>193</v>
      </c>
      <c r="D83" s="68">
        <v>0.18</v>
      </c>
      <c r="E83" s="172">
        <v>1973.7367200000001</v>
      </c>
      <c r="F83" s="289">
        <f t="shared" si="19"/>
        <v>355.27</v>
      </c>
      <c r="G83" s="289">
        <f t="shared" si="20"/>
        <v>426.32</v>
      </c>
      <c r="H83"/>
    </row>
    <row r="84" spans="1:8" ht="15.6" x14ac:dyDescent="0.3">
      <c r="A84" s="66">
        <f t="shared" si="21"/>
        <v>65</v>
      </c>
      <c r="B84" s="67" t="s">
        <v>1395</v>
      </c>
      <c r="C84" s="66" t="s">
        <v>193</v>
      </c>
      <c r="D84" s="68">
        <v>0.17</v>
      </c>
      <c r="E84" s="172">
        <v>9927.5759999999991</v>
      </c>
      <c r="F84" s="289">
        <f t="shared" si="19"/>
        <v>1687.69</v>
      </c>
      <c r="G84" s="289">
        <f t="shared" si="20"/>
        <v>2025.23</v>
      </c>
      <c r="H84"/>
    </row>
    <row r="85" spans="1:8" ht="15.6" x14ac:dyDescent="0.3">
      <c r="A85" s="66">
        <f t="shared" si="21"/>
        <v>66</v>
      </c>
      <c r="B85" s="67" t="s">
        <v>1396</v>
      </c>
      <c r="C85" s="66" t="s">
        <v>193</v>
      </c>
      <c r="D85" s="68">
        <v>0.05</v>
      </c>
      <c r="E85" s="172">
        <v>9927.5810479200009</v>
      </c>
      <c r="F85" s="289">
        <f t="shared" si="19"/>
        <v>496.38</v>
      </c>
      <c r="G85" s="289">
        <f t="shared" si="20"/>
        <v>595.66</v>
      </c>
      <c r="H85"/>
    </row>
    <row r="86" spans="1:8" ht="15.6" x14ac:dyDescent="0.3">
      <c r="A86" s="66">
        <f t="shared" si="21"/>
        <v>67</v>
      </c>
      <c r="B86" s="67" t="s">
        <v>1397</v>
      </c>
      <c r="C86" s="286" t="s">
        <v>431</v>
      </c>
      <c r="D86" s="68">
        <v>20.09</v>
      </c>
      <c r="E86" s="172">
        <v>193.08294000000001</v>
      </c>
      <c r="F86" s="289">
        <f t="shared" si="19"/>
        <v>3879.04</v>
      </c>
      <c r="G86" s="289">
        <f t="shared" si="20"/>
        <v>4654.8500000000004</v>
      </c>
      <c r="H86" s="210"/>
    </row>
    <row r="87" spans="1:8" ht="15.6" x14ac:dyDescent="0.3">
      <c r="A87" s="66">
        <f t="shared" si="21"/>
        <v>68</v>
      </c>
      <c r="B87" s="67" t="s">
        <v>1398</v>
      </c>
      <c r="C87" s="66" t="s">
        <v>220</v>
      </c>
      <c r="D87" s="68">
        <v>2</v>
      </c>
      <c r="E87" s="172">
        <v>9518.2738200000003</v>
      </c>
      <c r="F87" s="289">
        <f t="shared" si="19"/>
        <v>19036.55</v>
      </c>
      <c r="G87" s="289">
        <f t="shared" si="20"/>
        <v>22843.86</v>
      </c>
      <c r="H87"/>
    </row>
    <row r="88" spans="1:8" ht="27.6" x14ac:dyDescent="0.3">
      <c r="A88" s="66">
        <f t="shared" si="21"/>
        <v>69</v>
      </c>
      <c r="B88" s="67" t="s">
        <v>953</v>
      </c>
      <c r="C88" s="66" t="s">
        <v>194</v>
      </c>
      <c r="D88" s="68">
        <v>12.6</v>
      </c>
      <c r="E88" s="172">
        <v>895.43286108000018</v>
      </c>
      <c r="F88" s="289">
        <f t="shared" si="19"/>
        <v>11282.45</v>
      </c>
      <c r="G88" s="289">
        <f t="shared" si="20"/>
        <v>13538.94</v>
      </c>
      <c r="H88"/>
    </row>
    <row r="89" spans="1:8" x14ac:dyDescent="0.3">
      <c r="A89" s="475" t="s">
        <v>716</v>
      </c>
      <c r="B89" s="476"/>
      <c r="C89" s="476"/>
      <c r="D89" s="476"/>
      <c r="E89" s="477"/>
      <c r="F89" s="158">
        <f>SUM(F7:F88)</f>
        <v>2472881.0999999996</v>
      </c>
      <c r="G89" s="321">
        <f>SUM(G7:G88)</f>
        <v>2967457.3099999996</v>
      </c>
    </row>
  </sheetData>
  <autoFilter ref="A1:G89" xr:uid="{00000000-0001-0000-1300-000000000000}"/>
  <mergeCells count="9"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J99"/>
  <sheetViews>
    <sheetView topLeftCell="A85" zoomScaleNormal="100" zoomScaleSheetLayoutView="80" workbookViewId="0">
      <selection activeCell="C95" sqref="C95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569" t="s">
        <v>231</v>
      </c>
      <c r="F1" s="569" t="s">
        <v>410</v>
      </c>
      <c r="G1" s="569" t="s">
        <v>409</v>
      </c>
    </row>
    <row r="2" spans="1:10" ht="14.55" customHeight="1" x14ac:dyDescent="0.3">
      <c r="A2" s="481"/>
      <c r="B2" s="484"/>
      <c r="C2" s="486"/>
      <c r="D2" s="486"/>
      <c r="E2" s="569"/>
      <c r="F2" s="569"/>
      <c r="G2" s="569"/>
      <c r="J2" s="382"/>
    </row>
    <row r="3" spans="1:10" ht="27.6" customHeight="1" x14ac:dyDescent="0.3">
      <c r="A3" s="482"/>
      <c r="B3" s="485"/>
      <c r="C3" s="486"/>
      <c r="D3" s="486"/>
      <c r="E3" s="527"/>
      <c r="F3" s="527"/>
      <c r="G3" s="527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78" t="s">
        <v>1343</v>
      </c>
      <c r="C5" s="479"/>
      <c r="D5" s="479"/>
      <c r="E5" s="175"/>
      <c r="F5" s="176"/>
      <c r="G5" s="177"/>
    </row>
    <row r="6" spans="1:10" ht="20.25" customHeight="1" x14ac:dyDescent="0.3">
      <c r="A6" s="66"/>
      <c r="B6" s="73" t="s">
        <v>1345</v>
      </c>
      <c r="C6" s="66"/>
      <c r="D6" s="71"/>
      <c r="E6" s="172"/>
      <c r="F6" s="102"/>
      <c r="G6" s="102"/>
    </row>
    <row r="7" spans="1:10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2">
        <v>2873.9571000000001</v>
      </c>
      <c r="F7" s="289">
        <f>ROUND(E7*D7,2)</f>
        <v>63227.06</v>
      </c>
      <c r="G7" s="289">
        <f t="shared" ref="G7" si="0">ROUND(F7*1.2,2)</f>
        <v>75872.47</v>
      </c>
    </row>
    <row r="8" spans="1:10" ht="15.6" x14ac:dyDescent="0.3">
      <c r="A8" s="66"/>
      <c r="B8" s="73" t="s">
        <v>1347</v>
      </c>
      <c r="C8" s="74"/>
      <c r="D8" s="71"/>
      <c r="E8" s="172">
        <v>0</v>
      </c>
      <c r="F8" s="289"/>
      <c r="G8" s="289"/>
    </row>
    <row r="9" spans="1:10" ht="15.6" x14ac:dyDescent="0.3">
      <c r="A9" s="66"/>
      <c r="B9" s="73" t="s">
        <v>1348</v>
      </c>
      <c r="C9" s="66"/>
      <c r="D9" s="68"/>
      <c r="E9" s="172">
        <v>0</v>
      </c>
      <c r="F9" s="289"/>
      <c r="G9" s="289"/>
    </row>
    <row r="10" spans="1:10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2">
        <v>7049.5719000000008</v>
      </c>
      <c r="F10" s="289">
        <f t="shared" ref="F10:F19" si="1">ROUND(E10*D10,2)</f>
        <v>47655.11</v>
      </c>
      <c r="G10" s="289">
        <f t="shared" ref="G10:G19" si="2">ROUND(F10*1.2,2)</f>
        <v>57186.13</v>
      </c>
    </row>
    <row r="11" spans="1:10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2">
        <v>5928.3420000000006</v>
      </c>
      <c r="F11" s="289">
        <f t="shared" si="1"/>
        <v>15887.96</v>
      </c>
      <c r="G11" s="289">
        <f t="shared" si="2"/>
        <v>19065.55</v>
      </c>
    </row>
    <row r="12" spans="1:10" ht="15.6" x14ac:dyDescent="0.3">
      <c r="A12" s="66">
        <f t="shared" ref="A12:A19" si="3">A11+1</f>
        <v>4</v>
      </c>
      <c r="B12" s="67" t="s">
        <v>1401</v>
      </c>
      <c r="C12" s="74" t="s">
        <v>239</v>
      </c>
      <c r="D12" s="68">
        <v>0.47</v>
      </c>
      <c r="E12" s="172">
        <v>109545.45</v>
      </c>
      <c r="F12" s="289">
        <f t="shared" si="1"/>
        <v>51486.36</v>
      </c>
      <c r="G12" s="289">
        <f t="shared" si="2"/>
        <v>61783.63</v>
      </c>
    </row>
    <row r="13" spans="1:10" ht="15.6" x14ac:dyDescent="0.3">
      <c r="A13" s="66">
        <f t="shared" si="3"/>
        <v>5</v>
      </c>
      <c r="B13" s="67" t="s">
        <v>1402</v>
      </c>
      <c r="C13" s="74" t="s">
        <v>239</v>
      </c>
      <c r="D13" s="68">
        <v>0.1</v>
      </c>
      <c r="E13" s="172">
        <v>109545.45</v>
      </c>
      <c r="F13" s="289">
        <f t="shared" si="1"/>
        <v>10954.55</v>
      </c>
      <c r="G13" s="289">
        <f t="shared" si="2"/>
        <v>13145.46</v>
      </c>
    </row>
    <row r="14" spans="1:10" ht="15.6" x14ac:dyDescent="0.3">
      <c r="A14" s="66">
        <f t="shared" si="3"/>
        <v>6</v>
      </c>
      <c r="B14" s="67" t="s">
        <v>1403</v>
      </c>
      <c r="C14" s="66" t="s">
        <v>239</v>
      </c>
      <c r="D14" s="68">
        <v>0.16</v>
      </c>
      <c r="E14" s="172">
        <v>109545.45</v>
      </c>
      <c r="F14" s="289">
        <f t="shared" si="1"/>
        <v>17527.27</v>
      </c>
      <c r="G14" s="289">
        <f t="shared" si="2"/>
        <v>21032.720000000001</v>
      </c>
    </row>
    <row r="15" spans="1:10" ht="15.6" x14ac:dyDescent="0.3">
      <c r="A15" s="66">
        <f t="shared" si="3"/>
        <v>7</v>
      </c>
      <c r="B15" s="67" t="s">
        <v>1404</v>
      </c>
      <c r="C15" s="66" t="s">
        <v>254</v>
      </c>
      <c r="D15" s="68">
        <f>34.4*2</f>
        <v>68.8</v>
      </c>
      <c r="E15" s="172">
        <v>96.657750000000007</v>
      </c>
      <c r="F15" s="289">
        <f t="shared" si="1"/>
        <v>6650.05</v>
      </c>
      <c r="G15" s="289">
        <f t="shared" si="2"/>
        <v>7980.06</v>
      </c>
    </row>
    <row r="16" spans="1:10" ht="15.6" x14ac:dyDescent="0.3">
      <c r="A16" s="66">
        <f t="shared" si="3"/>
        <v>8</v>
      </c>
      <c r="B16" s="67" t="s">
        <v>1405</v>
      </c>
      <c r="C16" s="66" t="s">
        <v>254</v>
      </c>
      <c r="D16" s="68">
        <f>6*3.3</f>
        <v>19.799999999999997</v>
      </c>
      <c r="E16" s="172">
        <v>1933.155</v>
      </c>
      <c r="F16" s="289">
        <f t="shared" si="1"/>
        <v>38276.47</v>
      </c>
      <c r="G16" s="289">
        <f t="shared" si="2"/>
        <v>45931.76</v>
      </c>
    </row>
    <row r="17" spans="1:7" ht="15.6" x14ac:dyDescent="0.3">
      <c r="A17" s="66">
        <f t="shared" si="3"/>
        <v>9</v>
      </c>
      <c r="B17" s="67" t="s">
        <v>388</v>
      </c>
      <c r="C17" s="66" t="s">
        <v>254</v>
      </c>
      <c r="D17" s="68">
        <v>26.2</v>
      </c>
      <c r="E17" s="172">
        <v>402.09624000000002</v>
      </c>
      <c r="F17" s="289">
        <f t="shared" si="1"/>
        <v>10534.92</v>
      </c>
      <c r="G17" s="289">
        <f t="shared" si="2"/>
        <v>12641.9</v>
      </c>
    </row>
    <row r="18" spans="1:7" ht="15.6" x14ac:dyDescent="0.3">
      <c r="A18" s="66">
        <f t="shared" si="3"/>
        <v>10</v>
      </c>
      <c r="B18" s="67" t="s">
        <v>1406</v>
      </c>
      <c r="C18" s="66" t="s">
        <v>387</v>
      </c>
      <c r="D18" s="68">
        <f>13.3*20/16</f>
        <v>16.625</v>
      </c>
      <c r="E18" s="172">
        <v>322.1925</v>
      </c>
      <c r="F18" s="289">
        <f t="shared" si="1"/>
        <v>5356.45</v>
      </c>
      <c r="G18" s="289">
        <f t="shared" si="2"/>
        <v>6427.74</v>
      </c>
    </row>
    <row r="19" spans="1:7" ht="15.6" x14ac:dyDescent="0.3">
      <c r="A19" s="66">
        <f t="shared" si="3"/>
        <v>11</v>
      </c>
      <c r="B19" s="67" t="s">
        <v>1407</v>
      </c>
      <c r="C19" s="66" t="s">
        <v>193</v>
      </c>
      <c r="D19" s="68">
        <v>0.7</v>
      </c>
      <c r="E19" s="172">
        <v>0</v>
      </c>
      <c r="F19" s="289">
        <f t="shared" si="1"/>
        <v>0</v>
      </c>
      <c r="G19" s="289">
        <f t="shared" si="2"/>
        <v>0</v>
      </c>
    </row>
    <row r="20" spans="1:7" ht="15.6" x14ac:dyDescent="0.3">
      <c r="A20" s="66"/>
      <c r="B20" s="73" t="s">
        <v>1011</v>
      </c>
      <c r="C20" s="66"/>
      <c r="D20" s="68"/>
      <c r="E20" s="172">
        <v>0</v>
      </c>
      <c r="F20" s="289"/>
      <c r="G20" s="289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2">
        <v>7049.5719000000008</v>
      </c>
      <c r="F21" s="289">
        <f>ROUND(E21*D21,2)</f>
        <v>2749.33</v>
      </c>
      <c r="G21" s="289">
        <f t="shared" ref="G21:G24" si="4">ROUND(F21*1.2,2)</f>
        <v>3299.2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2">
        <v>109545.45</v>
      </c>
      <c r="F22" s="289">
        <f>ROUND(E22*D22,2)</f>
        <v>3505.45</v>
      </c>
      <c r="G22" s="289">
        <f t="shared" si="4"/>
        <v>4206.54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2">
        <v>402.09624000000002</v>
      </c>
      <c r="F23" s="289">
        <f>ROUND(E23*D23,2)</f>
        <v>763.98</v>
      </c>
      <c r="G23" s="289">
        <f t="shared" si="4"/>
        <v>916.78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2">
        <v>322.1925</v>
      </c>
      <c r="F24" s="289">
        <f>ROUND(E24*D24,2)</f>
        <v>402.74</v>
      </c>
      <c r="G24" s="289">
        <f t="shared" si="4"/>
        <v>483.29</v>
      </c>
    </row>
    <row r="25" spans="1:7" ht="19.5" customHeight="1" x14ac:dyDescent="0.3">
      <c r="A25" s="66"/>
      <c r="B25" s="73" t="s">
        <v>1012</v>
      </c>
      <c r="C25" s="66"/>
      <c r="D25" s="68"/>
      <c r="E25" s="172">
        <v>0</v>
      </c>
      <c r="F25" s="289"/>
      <c r="G25" s="289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2">
        <v>7049.5719000000008</v>
      </c>
      <c r="F26" s="289">
        <f>ROUND(E26*D26,2)</f>
        <v>2467.35</v>
      </c>
      <c r="G26" s="289">
        <f t="shared" ref="G26:G29" si="5">ROUND(F26*1.2,2)</f>
        <v>2960.82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2">
        <v>109545.45</v>
      </c>
      <c r="F27" s="289">
        <f>ROUND(E27*D27,2)</f>
        <v>3067.27</v>
      </c>
      <c r="G27" s="289">
        <f t="shared" si="5"/>
        <v>3680.72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2">
        <v>402.09624000000002</v>
      </c>
      <c r="F28" s="289">
        <f>ROUND(E28*D28,2)</f>
        <v>683.56</v>
      </c>
      <c r="G28" s="289">
        <f t="shared" si="5"/>
        <v>820.27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2">
        <v>322.1925</v>
      </c>
      <c r="F29" s="289">
        <f>ROUND(E29*D29,2)</f>
        <v>362.47</v>
      </c>
      <c r="G29" s="289">
        <f t="shared" si="5"/>
        <v>434.96</v>
      </c>
    </row>
    <row r="30" spans="1:7" ht="19.5" customHeight="1" x14ac:dyDescent="0.3">
      <c r="A30" s="66"/>
      <c r="B30" s="73" t="s">
        <v>1355</v>
      </c>
      <c r="C30" s="66"/>
      <c r="D30" s="68"/>
      <c r="E30" s="172">
        <v>0</v>
      </c>
      <c r="F30" s="289"/>
      <c r="G30" s="289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2">
        <v>7049.5719000000008</v>
      </c>
      <c r="F31" s="289">
        <f>ROUND(E31*D31,2)</f>
        <v>2114.87</v>
      </c>
      <c r="G31" s="289">
        <f t="shared" ref="G31:G35" si="6">ROUND(F31*1.2,2)</f>
        <v>2537.84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2">
        <v>109545.45</v>
      </c>
      <c r="F32" s="289">
        <f>ROUND(E32*D32,2)</f>
        <v>2190.91</v>
      </c>
      <c r="G32" s="289">
        <f t="shared" si="6"/>
        <v>2629.09</v>
      </c>
    </row>
    <row r="33" spans="1:7" ht="15.6" x14ac:dyDescent="0.3">
      <c r="A33" s="66">
        <f t="shared" ref="A33:A35" si="7">A32+1</f>
        <v>22</v>
      </c>
      <c r="B33" s="67" t="s">
        <v>1403</v>
      </c>
      <c r="C33" s="66" t="s">
        <v>239</v>
      </c>
      <c r="D33" s="68">
        <v>0.01</v>
      </c>
      <c r="E33" s="172">
        <v>109545.45</v>
      </c>
      <c r="F33" s="289">
        <f>ROUND(E33*D33,2)</f>
        <v>1095.45</v>
      </c>
      <c r="G33" s="289">
        <f t="shared" si="6"/>
        <v>1314.54</v>
      </c>
    </row>
    <row r="34" spans="1:7" ht="15.6" x14ac:dyDescent="0.3">
      <c r="A34" s="66">
        <f t="shared" si="7"/>
        <v>23</v>
      </c>
      <c r="B34" s="67" t="s">
        <v>1409</v>
      </c>
      <c r="C34" s="66" t="s">
        <v>239</v>
      </c>
      <c r="D34" s="68">
        <v>0.01</v>
      </c>
      <c r="E34" s="172">
        <v>96657.75</v>
      </c>
      <c r="F34" s="289">
        <f>ROUND(E34*D34,2)</f>
        <v>966.58</v>
      </c>
      <c r="G34" s="289">
        <f t="shared" si="6"/>
        <v>1159.9000000000001</v>
      </c>
    </row>
    <row r="35" spans="1:7" ht="15.6" x14ac:dyDescent="0.3">
      <c r="A35" s="66">
        <f t="shared" si="7"/>
        <v>24</v>
      </c>
      <c r="B35" s="67" t="s">
        <v>1410</v>
      </c>
      <c r="C35" s="66" t="s">
        <v>220</v>
      </c>
      <c r="D35" s="71">
        <v>4</v>
      </c>
      <c r="E35" s="172">
        <v>0</v>
      </c>
      <c r="F35" s="289">
        <f>ROUND(E35*D35,2)</f>
        <v>0</v>
      </c>
      <c r="G35" s="289">
        <f t="shared" si="6"/>
        <v>0</v>
      </c>
    </row>
    <row r="36" spans="1:7" ht="15.6" x14ac:dyDescent="0.3">
      <c r="A36" s="66"/>
      <c r="B36" s="73" t="s">
        <v>1358</v>
      </c>
      <c r="C36" s="66"/>
      <c r="D36" s="68"/>
      <c r="E36" s="172">
        <v>0</v>
      </c>
      <c r="F36" s="289"/>
      <c r="G36" s="289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2">
        <v>0</v>
      </c>
      <c r="F37" s="289">
        <f t="shared" ref="F37:F45" si="8">ROUND(E37*D37,2)</f>
        <v>0</v>
      </c>
      <c r="G37" s="289">
        <f t="shared" ref="G37:G45" si="9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172">
        <v>96.657750000000007</v>
      </c>
      <c r="F38" s="289">
        <f t="shared" si="8"/>
        <v>1024.57</v>
      </c>
      <c r="G38" s="289">
        <f t="shared" si="9"/>
        <v>1229.48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2">
        <v>1773.3475200000003</v>
      </c>
      <c r="F39" s="289">
        <f t="shared" si="8"/>
        <v>1950.68</v>
      </c>
      <c r="G39" s="289">
        <f t="shared" si="9"/>
        <v>2340.8200000000002</v>
      </c>
    </row>
    <row r="40" spans="1:7" ht="15.6" x14ac:dyDescent="0.3">
      <c r="A40" s="66">
        <f t="shared" ref="A40" si="10">A39+1</f>
        <v>28</v>
      </c>
      <c r="B40" s="67" t="s">
        <v>403</v>
      </c>
      <c r="C40" s="66" t="s">
        <v>254</v>
      </c>
      <c r="D40" s="72">
        <v>0.2</v>
      </c>
      <c r="E40" s="172">
        <v>1956.3528600000004</v>
      </c>
      <c r="F40" s="289">
        <f t="shared" si="8"/>
        <v>391.27</v>
      </c>
      <c r="G40" s="289">
        <f t="shared" si="9"/>
        <v>469.52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2">
        <v>7049.5719000000008</v>
      </c>
      <c r="F41" s="289">
        <f t="shared" si="8"/>
        <v>2467.35</v>
      </c>
      <c r="G41" s="289">
        <f t="shared" si="9"/>
        <v>2960.82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172">
        <v>163.67379</v>
      </c>
      <c r="F42" s="289">
        <f t="shared" si="8"/>
        <v>268.43</v>
      </c>
      <c r="G42" s="289">
        <f t="shared" si="9"/>
        <v>322.12</v>
      </c>
    </row>
    <row r="43" spans="1:7" ht="15.6" x14ac:dyDescent="0.3">
      <c r="A43" s="66">
        <f t="shared" ref="A43:A45" si="11">A42+1</f>
        <v>31</v>
      </c>
      <c r="B43" s="67" t="s">
        <v>1001</v>
      </c>
      <c r="C43" s="66" t="s">
        <v>193</v>
      </c>
      <c r="D43" s="68">
        <v>7.0000000000000007E-2</v>
      </c>
      <c r="E43" s="172">
        <v>5928.3420000000006</v>
      </c>
      <c r="F43" s="289">
        <f t="shared" si="8"/>
        <v>414.98</v>
      </c>
      <c r="G43" s="289">
        <f t="shared" si="9"/>
        <v>497.98</v>
      </c>
    </row>
    <row r="44" spans="1:7" ht="15.6" x14ac:dyDescent="0.3">
      <c r="A44" s="66">
        <f t="shared" si="11"/>
        <v>32</v>
      </c>
      <c r="B44" s="67" t="s">
        <v>388</v>
      </c>
      <c r="C44" s="66" t="s">
        <v>254</v>
      </c>
      <c r="D44" s="68">
        <v>0.7</v>
      </c>
      <c r="E44" s="172">
        <v>402.09624000000002</v>
      </c>
      <c r="F44" s="289">
        <f t="shared" si="8"/>
        <v>281.47000000000003</v>
      </c>
      <c r="G44" s="289">
        <f t="shared" si="9"/>
        <v>337.76</v>
      </c>
    </row>
    <row r="45" spans="1:7" ht="15.6" x14ac:dyDescent="0.3">
      <c r="A45" s="66">
        <f t="shared" si="11"/>
        <v>33</v>
      </c>
      <c r="B45" s="67" t="s">
        <v>1406</v>
      </c>
      <c r="C45" s="66" t="s">
        <v>387</v>
      </c>
      <c r="D45" s="68">
        <f>0.4*20/16</f>
        <v>0.5</v>
      </c>
      <c r="E45" s="172">
        <v>322.1925</v>
      </c>
      <c r="F45" s="289">
        <f t="shared" si="8"/>
        <v>161.1</v>
      </c>
      <c r="G45" s="289">
        <f t="shared" si="9"/>
        <v>193.32</v>
      </c>
    </row>
    <row r="46" spans="1:7" ht="15.6" x14ac:dyDescent="0.3">
      <c r="A46" s="66"/>
      <c r="B46" s="73" t="s">
        <v>1364</v>
      </c>
      <c r="C46" s="66"/>
      <c r="D46" s="68"/>
      <c r="E46" s="172">
        <v>0</v>
      </c>
      <c r="F46" s="289"/>
      <c r="G46" s="289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2">
        <v>3966.8340600000001</v>
      </c>
      <c r="F47" s="289">
        <f t="shared" ref="F47:F57" si="12">ROUND(E47*D47,2)</f>
        <v>226902.91</v>
      </c>
      <c r="G47" s="289">
        <f t="shared" ref="G47:G57" si="13">ROUND(F47*1.2,2)</f>
        <v>272283.49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2">
        <v>2345.5614</v>
      </c>
      <c r="F48" s="289">
        <f t="shared" si="12"/>
        <v>65675.72</v>
      </c>
      <c r="G48" s="289">
        <f t="shared" si="13"/>
        <v>78810.86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2">
        <v>9781.7643000000007</v>
      </c>
      <c r="F49" s="289">
        <f t="shared" si="12"/>
        <v>88035.88</v>
      </c>
      <c r="G49" s="289">
        <f t="shared" si="13"/>
        <v>105643.06</v>
      </c>
    </row>
    <row r="50" spans="1:7" ht="15.6" x14ac:dyDescent="0.3">
      <c r="A50" s="66">
        <f t="shared" ref="A50:A57" si="14">A49+1</f>
        <v>37</v>
      </c>
      <c r="B50" s="67" t="s">
        <v>1416</v>
      </c>
      <c r="C50" s="66" t="s">
        <v>194</v>
      </c>
      <c r="D50" s="71">
        <v>4</v>
      </c>
      <c r="E50" s="172">
        <v>1054.2138599999998</v>
      </c>
      <c r="F50" s="289">
        <f t="shared" si="12"/>
        <v>4216.8599999999997</v>
      </c>
      <c r="G50" s="289">
        <f t="shared" si="13"/>
        <v>5060.2299999999996</v>
      </c>
    </row>
    <row r="51" spans="1:7" ht="15.6" x14ac:dyDescent="0.3">
      <c r="A51" s="66">
        <f t="shared" si="14"/>
        <v>38</v>
      </c>
      <c r="B51" s="67" t="s">
        <v>1417</v>
      </c>
      <c r="C51" s="66" t="s">
        <v>254</v>
      </c>
      <c r="D51" s="68">
        <v>0.5</v>
      </c>
      <c r="E51" s="172">
        <v>2448.663</v>
      </c>
      <c r="F51" s="289">
        <f t="shared" si="12"/>
        <v>1224.33</v>
      </c>
      <c r="G51" s="289">
        <f t="shared" si="13"/>
        <v>1469.2</v>
      </c>
    </row>
    <row r="52" spans="1:7" ht="15.6" x14ac:dyDescent="0.3">
      <c r="A52" s="66">
        <f t="shared" si="14"/>
        <v>39</v>
      </c>
      <c r="B52" s="67" t="s">
        <v>1418</v>
      </c>
      <c r="C52" s="66" t="s">
        <v>217</v>
      </c>
      <c r="D52" s="71">
        <v>8</v>
      </c>
      <c r="E52" s="172">
        <v>8660.5344000000005</v>
      </c>
      <c r="F52" s="289">
        <f t="shared" si="12"/>
        <v>69284.28</v>
      </c>
      <c r="G52" s="289">
        <f t="shared" si="13"/>
        <v>83141.14</v>
      </c>
    </row>
    <row r="53" spans="1:7" ht="15.6" x14ac:dyDescent="0.3">
      <c r="A53" s="66">
        <f t="shared" si="14"/>
        <v>40</v>
      </c>
      <c r="B53" s="67" t="s">
        <v>1419</v>
      </c>
      <c r="C53" s="66" t="s">
        <v>220</v>
      </c>
      <c r="D53" s="71">
        <v>2</v>
      </c>
      <c r="E53" s="172">
        <v>41240.639999999999</v>
      </c>
      <c r="F53" s="289">
        <f t="shared" si="12"/>
        <v>82481.279999999999</v>
      </c>
      <c r="G53" s="289">
        <f t="shared" si="13"/>
        <v>98977.54</v>
      </c>
    </row>
    <row r="54" spans="1:7" ht="15.6" x14ac:dyDescent="0.3">
      <c r="A54" s="66">
        <f t="shared" si="14"/>
        <v>41</v>
      </c>
      <c r="B54" s="67" t="s">
        <v>1372</v>
      </c>
      <c r="C54" s="66" t="s">
        <v>220</v>
      </c>
      <c r="D54" s="71">
        <v>4</v>
      </c>
      <c r="E54" s="172">
        <v>4124.0640000000003</v>
      </c>
      <c r="F54" s="289">
        <f t="shared" si="12"/>
        <v>16496.259999999998</v>
      </c>
      <c r="G54" s="289">
        <f t="shared" si="13"/>
        <v>19795.509999999998</v>
      </c>
    </row>
    <row r="55" spans="1:7" ht="15.6" x14ac:dyDescent="0.3">
      <c r="A55" s="66">
        <f t="shared" si="14"/>
        <v>42</v>
      </c>
      <c r="B55" s="67" t="s">
        <v>1373</v>
      </c>
      <c r="C55" s="66" t="s">
        <v>220</v>
      </c>
      <c r="D55" s="71">
        <v>4</v>
      </c>
      <c r="E55" s="172">
        <v>5283.9570000000003</v>
      </c>
      <c r="F55" s="289">
        <f t="shared" si="12"/>
        <v>21135.83</v>
      </c>
      <c r="G55" s="289">
        <f t="shared" si="13"/>
        <v>25363</v>
      </c>
    </row>
    <row r="56" spans="1:7" ht="15.6" x14ac:dyDescent="0.3">
      <c r="A56" s="66">
        <f t="shared" si="14"/>
        <v>43</v>
      </c>
      <c r="B56" s="67" t="s">
        <v>1420</v>
      </c>
      <c r="C56" s="66" t="s">
        <v>194</v>
      </c>
      <c r="D56" s="72">
        <v>1.6</v>
      </c>
      <c r="E56" s="172">
        <v>618.6096</v>
      </c>
      <c r="F56" s="289">
        <f t="shared" si="12"/>
        <v>989.78</v>
      </c>
      <c r="G56" s="289">
        <f t="shared" si="13"/>
        <v>1187.74</v>
      </c>
    </row>
    <row r="57" spans="1:7" ht="15.6" x14ac:dyDescent="0.3">
      <c r="A57" s="66">
        <f t="shared" si="14"/>
        <v>44</v>
      </c>
      <c r="B57" s="67" t="s">
        <v>1421</v>
      </c>
      <c r="C57" s="66" t="s">
        <v>220</v>
      </c>
      <c r="D57" s="71">
        <v>2</v>
      </c>
      <c r="E57" s="172">
        <v>27064.170000000002</v>
      </c>
      <c r="F57" s="289">
        <f t="shared" si="12"/>
        <v>54128.34</v>
      </c>
      <c r="G57" s="289">
        <f t="shared" si="13"/>
        <v>64954.01</v>
      </c>
    </row>
    <row r="58" spans="1:7" ht="20.25" customHeight="1" x14ac:dyDescent="0.3">
      <c r="A58" s="66"/>
      <c r="B58" s="73" t="s">
        <v>1422</v>
      </c>
      <c r="C58" s="66"/>
      <c r="D58" s="68"/>
      <c r="E58" s="172">
        <v>0</v>
      </c>
      <c r="F58" s="289"/>
      <c r="G58" s="289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2">
        <v>2095.5400199999999</v>
      </c>
      <c r="F59" s="289">
        <f t="shared" ref="F59:F67" si="15">ROUND(E59*D59,2)</f>
        <v>8382.16</v>
      </c>
      <c r="G59" s="289">
        <f t="shared" ref="G59:G67" si="16">ROUND(F59*1.2,2)</f>
        <v>10058.59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2">
        <v>162.38502</v>
      </c>
      <c r="F60" s="289">
        <f t="shared" si="15"/>
        <v>1299.08</v>
      </c>
      <c r="G60" s="289">
        <f t="shared" si="16"/>
        <v>1558.9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2">
        <v>2080.0747799999999</v>
      </c>
      <c r="F61" s="289">
        <f t="shared" si="15"/>
        <v>8320.2999999999993</v>
      </c>
      <c r="G61" s="289">
        <f t="shared" si="16"/>
        <v>9984.36</v>
      </c>
    </row>
    <row r="62" spans="1:7" ht="15.6" x14ac:dyDescent="0.3">
      <c r="A62" s="66">
        <f t="shared" ref="A62:A67" si="17">A61+1</f>
        <v>46</v>
      </c>
      <c r="B62" s="67" t="s">
        <v>1426</v>
      </c>
      <c r="C62" s="66" t="s">
        <v>220</v>
      </c>
      <c r="D62" s="68">
        <v>4</v>
      </c>
      <c r="E62" s="172">
        <v>402.09624000000002</v>
      </c>
      <c r="F62" s="289">
        <f t="shared" si="15"/>
        <v>1608.38</v>
      </c>
      <c r="G62" s="289">
        <f t="shared" si="16"/>
        <v>1930.06</v>
      </c>
    </row>
    <row r="63" spans="1:7" ht="15.6" x14ac:dyDescent="0.3">
      <c r="A63" s="66">
        <f t="shared" si="17"/>
        <v>47</v>
      </c>
      <c r="B63" s="67" t="s">
        <v>1427</v>
      </c>
      <c r="C63" s="66" t="s">
        <v>194</v>
      </c>
      <c r="D63" s="68">
        <v>0.2</v>
      </c>
      <c r="E63" s="172">
        <v>618.6096</v>
      </c>
      <c r="F63" s="289">
        <f t="shared" si="15"/>
        <v>123.72</v>
      </c>
      <c r="G63" s="289">
        <f t="shared" si="16"/>
        <v>148.46</v>
      </c>
    </row>
    <row r="64" spans="1:7" ht="15.6" x14ac:dyDescent="0.3">
      <c r="A64" s="66">
        <f t="shared" si="17"/>
        <v>48</v>
      </c>
      <c r="B64" s="67" t="s">
        <v>1428</v>
      </c>
      <c r="C64" s="66" t="s">
        <v>254</v>
      </c>
      <c r="D64" s="68">
        <f>2*0.137</f>
        <v>0.27400000000000002</v>
      </c>
      <c r="E64" s="172">
        <v>163.67379</v>
      </c>
      <c r="F64" s="289">
        <f t="shared" si="15"/>
        <v>44.85</v>
      </c>
      <c r="G64" s="289">
        <f t="shared" si="16"/>
        <v>53.82</v>
      </c>
    </row>
    <row r="65" spans="1:7" ht="15.6" x14ac:dyDescent="0.3">
      <c r="A65" s="66">
        <f t="shared" si="17"/>
        <v>49</v>
      </c>
      <c r="B65" s="67" t="s">
        <v>1429</v>
      </c>
      <c r="C65" s="66" t="s">
        <v>254</v>
      </c>
      <c r="D65" s="68">
        <f>2*0.032</f>
        <v>6.4000000000000001E-2</v>
      </c>
      <c r="E65" s="172">
        <v>189.44919000000002</v>
      </c>
      <c r="F65" s="289">
        <f t="shared" si="15"/>
        <v>12.12</v>
      </c>
      <c r="G65" s="289">
        <f t="shared" si="16"/>
        <v>14.54</v>
      </c>
    </row>
    <row r="66" spans="1:7" ht="15.6" x14ac:dyDescent="0.3">
      <c r="A66" s="66">
        <f t="shared" si="17"/>
        <v>50</v>
      </c>
      <c r="B66" s="67" t="s">
        <v>1430</v>
      </c>
      <c r="C66" s="66" t="s">
        <v>254</v>
      </c>
      <c r="D66" s="68">
        <f>2*0.013</f>
        <v>2.5999999999999999E-2</v>
      </c>
      <c r="E66" s="172">
        <v>253.88768999999999</v>
      </c>
      <c r="F66" s="289">
        <f t="shared" si="15"/>
        <v>6.6</v>
      </c>
      <c r="G66" s="289">
        <f t="shared" si="16"/>
        <v>7.92</v>
      </c>
    </row>
    <row r="67" spans="1:7" ht="15.6" x14ac:dyDescent="0.3">
      <c r="A67" s="66">
        <f t="shared" si="17"/>
        <v>51</v>
      </c>
      <c r="B67" s="67" t="s">
        <v>1431</v>
      </c>
      <c r="C67" s="66" t="s">
        <v>254</v>
      </c>
      <c r="D67" s="68">
        <f>2*0.013</f>
        <v>2.5999999999999999E-2</v>
      </c>
      <c r="E67" s="172">
        <v>253.88768999999999</v>
      </c>
      <c r="F67" s="289">
        <f t="shared" si="15"/>
        <v>6.6</v>
      </c>
      <c r="G67" s="289">
        <f t="shared" si="16"/>
        <v>7.92</v>
      </c>
    </row>
    <row r="68" spans="1:7" ht="23.25" customHeight="1" x14ac:dyDescent="0.3">
      <c r="A68" s="66"/>
      <c r="B68" s="73" t="s">
        <v>1375</v>
      </c>
      <c r="C68" s="66"/>
      <c r="D68" s="68"/>
      <c r="E68" s="172">
        <v>0</v>
      </c>
      <c r="F68" s="289"/>
      <c r="G68" s="289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2">
        <v>31046.469300000001</v>
      </c>
      <c r="F69" s="289">
        <f t="shared" ref="F69:F82" si="18">ROUND(E69*D69,2)</f>
        <v>31046.47</v>
      </c>
      <c r="G69" s="289">
        <f t="shared" ref="G69:G82" si="19">ROUND(F69*1.2,2)</f>
        <v>37255.760000000002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2">
        <v>3966.8340600000001</v>
      </c>
      <c r="F70" s="289">
        <f t="shared" si="18"/>
        <v>5117.22</v>
      </c>
      <c r="G70" s="289">
        <f t="shared" si="19"/>
        <v>6140.66</v>
      </c>
    </row>
    <row r="71" spans="1:7" ht="15.6" x14ac:dyDescent="0.3">
      <c r="A71" s="66">
        <f t="shared" ref="A71:A82" si="20">A70+1</f>
        <v>54</v>
      </c>
      <c r="B71" s="67" t="s">
        <v>1434</v>
      </c>
      <c r="C71" s="66" t="s">
        <v>194</v>
      </c>
      <c r="D71" s="68">
        <v>1.39</v>
      </c>
      <c r="E71" s="172">
        <v>2165.1336000000001</v>
      </c>
      <c r="F71" s="289">
        <f t="shared" si="18"/>
        <v>3009.54</v>
      </c>
      <c r="G71" s="289">
        <f t="shared" si="19"/>
        <v>3611.45</v>
      </c>
    </row>
    <row r="72" spans="1:7" ht="15.6" x14ac:dyDescent="0.3">
      <c r="A72" s="66">
        <f t="shared" si="20"/>
        <v>55</v>
      </c>
      <c r="B72" s="67" t="s">
        <v>1435</v>
      </c>
      <c r="C72" s="66" t="s">
        <v>220</v>
      </c>
      <c r="D72" s="71">
        <v>1</v>
      </c>
      <c r="E72" s="172">
        <v>1984.7058000000002</v>
      </c>
      <c r="F72" s="289">
        <f t="shared" si="18"/>
        <v>1984.71</v>
      </c>
      <c r="G72" s="289">
        <f t="shared" si="19"/>
        <v>2381.65</v>
      </c>
    </row>
    <row r="73" spans="1:7" ht="15.6" x14ac:dyDescent="0.3">
      <c r="A73" s="66">
        <f t="shared" si="20"/>
        <v>56</v>
      </c>
      <c r="B73" s="67" t="s">
        <v>1436</v>
      </c>
      <c r="C73" s="66" t="s">
        <v>220</v>
      </c>
      <c r="D73" s="71">
        <v>1</v>
      </c>
      <c r="E73" s="172">
        <v>6998.0211000000008</v>
      </c>
      <c r="F73" s="289">
        <f t="shared" si="18"/>
        <v>6998.02</v>
      </c>
      <c r="G73" s="289">
        <f t="shared" si="19"/>
        <v>8397.6200000000008</v>
      </c>
    </row>
    <row r="74" spans="1:7" ht="27.6" x14ac:dyDescent="0.3">
      <c r="A74" s="66">
        <f t="shared" si="20"/>
        <v>57</v>
      </c>
      <c r="B74" s="67" t="s">
        <v>1437</v>
      </c>
      <c r="C74" s="66" t="s">
        <v>220</v>
      </c>
      <c r="D74" s="71">
        <v>1</v>
      </c>
      <c r="E74" s="172">
        <v>33533.795400000003</v>
      </c>
      <c r="F74" s="289">
        <f t="shared" si="18"/>
        <v>33533.800000000003</v>
      </c>
      <c r="G74" s="289">
        <f t="shared" si="19"/>
        <v>40240.559999999998</v>
      </c>
    </row>
    <row r="75" spans="1:7" ht="15.6" x14ac:dyDescent="0.3">
      <c r="A75" s="66">
        <f t="shared" si="20"/>
        <v>58</v>
      </c>
      <c r="B75" s="67" t="s">
        <v>1438</v>
      </c>
      <c r="C75" s="66" t="s">
        <v>194</v>
      </c>
      <c r="D75" s="68">
        <v>1.29</v>
      </c>
      <c r="E75" s="172">
        <v>3966.8340600000001</v>
      </c>
      <c r="F75" s="289">
        <f t="shared" si="18"/>
        <v>5117.22</v>
      </c>
      <c r="G75" s="289">
        <f t="shared" si="19"/>
        <v>6140.66</v>
      </c>
    </row>
    <row r="76" spans="1:7" ht="15.6" x14ac:dyDescent="0.3">
      <c r="A76" s="66">
        <f t="shared" si="20"/>
        <v>59</v>
      </c>
      <c r="B76" s="67" t="s">
        <v>1439</v>
      </c>
      <c r="C76" s="66" t="s">
        <v>194</v>
      </c>
      <c r="D76" s="68">
        <v>1.07</v>
      </c>
      <c r="E76" s="172">
        <v>2165.1336000000001</v>
      </c>
      <c r="F76" s="289">
        <f t="shared" si="18"/>
        <v>2316.69</v>
      </c>
      <c r="G76" s="289">
        <f t="shared" si="19"/>
        <v>2780.03</v>
      </c>
    </row>
    <row r="77" spans="1:7" ht="15.6" x14ac:dyDescent="0.3">
      <c r="A77" s="66">
        <f t="shared" si="20"/>
        <v>60</v>
      </c>
      <c r="B77" s="67" t="s">
        <v>1435</v>
      </c>
      <c r="C77" s="66" t="s">
        <v>220</v>
      </c>
      <c r="D77" s="71">
        <v>1</v>
      </c>
      <c r="E77" s="172">
        <v>1984.7058000000002</v>
      </c>
      <c r="F77" s="289">
        <f t="shared" si="18"/>
        <v>1984.71</v>
      </c>
      <c r="G77" s="289">
        <f t="shared" si="19"/>
        <v>2381.65</v>
      </c>
    </row>
    <row r="78" spans="1:7" ht="15.6" x14ac:dyDescent="0.3">
      <c r="A78" s="66">
        <f t="shared" si="20"/>
        <v>61</v>
      </c>
      <c r="B78" s="67" t="s">
        <v>1436</v>
      </c>
      <c r="C78" s="66" t="s">
        <v>220</v>
      </c>
      <c r="D78" s="71">
        <v>1</v>
      </c>
      <c r="E78" s="172">
        <v>6998.0211000000008</v>
      </c>
      <c r="F78" s="289">
        <f t="shared" si="18"/>
        <v>6998.02</v>
      </c>
      <c r="G78" s="289">
        <f t="shared" si="19"/>
        <v>8397.6200000000008</v>
      </c>
    </row>
    <row r="79" spans="1:7" ht="15.6" x14ac:dyDescent="0.3">
      <c r="A79" s="66">
        <f t="shared" si="20"/>
        <v>62</v>
      </c>
      <c r="B79" s="67" t="s">
        <v>1440</v>
      </c>
      <c r="C79" s="66" t="s">
        <v>220</v>
      </c>
      <c r="D79" s="71">
        <v>2</v>
      </c>
      <c r="E79" s="172">
        <v>25131.014999999999</v>
      </c>
      <c r="F79" s="289">
        <f t="shared" si="18"/>
        <v>50262.03</v>
      </c>
      <c r="G79" s="289">
        <f t="shared" si="19"/>
        <v>60314.44</v>
      </c>
    </row>
    <row r="80" spans="1:7" ht="27.6" x14ac:dyDescent="0.3">
      <c r="A80" s="66">
        <f t="shared" si="20"/>
        <v>63</v>
      </c>
      <c r="B80" s="67" t="s">
        <v>1441</v>
      </c>
      <c r="C80" s="66" t="s">
        <v>220</v>
      </c>
      <c r="D80" s="71">
        <v>2</v>
      </c>
      <c r="E80" s="172">
        <v>1897.06944</v>
      </c>
      <c r="F80" s="289">
        <f t="shared" si="18"/>
        <v>3794.14</v>
      </c>
      <c r="G80" s="289">
        <f t="shared" si="19"/>
        <v>4552.97</v>
      </c>
    </row>
    <row r="81" spans="1:7" ht="15.6" x14ac:dyDescent="0.3">
      <c r="A81" s="66">
        <f t="shared" si="20"/>
        <v>64</v>
      </c>
      <c r="B81" s="67" t="s">
        <v>1436</v>
      </c>
      <c r="C81" s="66" t="s">
        <v>220</v>
      </c>
      <c r="D81" s="71">
        <v>2</v>
      </c>
      <c r="E81" s="172">
        <v>6998.0211000000008</v>
      </c>
      <c r="F81" s="289">
        <f t="shared" si="18"/>
        <v>13996.04</v>
      </c>
      <c r="G81" s="289">
        <f t="shared" si="19"/>
        <v>16795.25</v>
      </c>
    </row>
    <row r="82" spans="1:7" ht="15.6" x14ac:dyDescent="0.3">
      <c r="A82" s="66">
        <f t="shared" si="20"/>
        <v>65</v>
      </c>
      <c r="B82" s="67" t="s">
        <v>1442</v>
      </c>
      <c r="C82" s="66" t="s">
        <v>220</v>
      </c>
      <c r="D82" s="71">
        <v>1</v>
      </c>
      <c r="E82" s="172">
        <v>12971.47005</v>
      </c>
      <c r="F82" s="289">
        <f t="shared" si="18"/>
        <v>12971.47</v>
      </c>
      <c r="G82" s="289">
        <f t="shared" si="19"/>
        <v>15565.76</v>
      </c>
    </row>
    <row r="83" spans="1:7" ht="15.6" x14ac:dyDescent="0.3">
      <c r="A83" s="66"/>
      <c r="B83" s="73" t="s">
        <v>1387</v>
      </c>
      <c r="C83" s="66"/>
      <c r="D83" s="68"/>
      <c r="E83" s="172">
        <v>0</v>
      </c>
      <c r="F83" s="289"/>
      <c r="G83" s="289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2">
        <v>2474.4384</v>
      </c>
      <c r="F84" s="289">
        <f t="shared" ref="F84:F98" si="21">ROUND(E84*D84,2)</f>
        <v>4948.88</v>
      </c>
      <c r="G84" s="289">
        <f t="shared" ref="G84:G98" si="22">ROUND(F84*1.2,2)</f>
        <v>5938.66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2">
        <v>5412.8340000000007</v>
      </c>
      <c r="F85" s="289">
        <f t="shared" si="21"/>
        <v>5412.83</v>
      </c>
      <c r="G85" s="289">
        <f t="shared" si="22"/>
        <v>6495.4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2">
        <v>3672.9945000000002</v>
      </c>
      <c r="F86" s="289">
        <f t="shared" si="21"/>
        <v>3672.99</v>
      </c>
      <c r="G86" s="289">
        <f t="shared" si="22"/>
        <v>4407.59</v>
      </c>
    </row>
    <row r="87" spans="1:7" ht="15.6" x14ac:dyDescent="0.3">
      <c r="A87" s="66">
        <f t="shared" ref="A87:A98" si="23">A86+1</f>
        <v>69</v>
      </c>
      <c r="B87" s="67" t="s">
        <v>1446</v>
      </c>
      <c r="C87" s="66" t="s">
        <v>220</v>
      </c>
      <c r="D87" s="71">
        <v>1</v>
      </c>
      <c r="E87" s="172">
        <v>3389.4651000000003</v>
      </c>
      <c r="F87" s="289">
        <f t="shared" si="21"/>
        <v>3389.47</v>
      </c>
      <c r="G87" s="289">
        <f t="shared" si="22"/>
        <v>4067.36</v>
      </c>
    </row>
    <row r="88" spans="1:7" ht="15.6" x14ac:dyDescent="0.3">
      <c r="A88" s="66">
        <f t="shared" si="23"/>
        <v>70</v>
      </c>
      <c r="B88" s="67" t="s">
        <v>1447</v>
      </c>
      <c r="C88" s="66" t="s">
        <v>220</v>
      </c>
      <c r="D88" s="71">
        <v>1</v>
      </c>
      <c r="E88" s="172">
        <v>7513.5291000000007</v>
      </c>
      <c r="F88" s="289">
        <f t="shared" si="21"/>
        <v>7513.53</v>
      </c>
      <c r="G88" s="289">
        <f t="shared" si="22"/>
        <v>9016.24</v>
      </c>
    </row>
    <row r="89" spans="1:7" ht="15.6" x14ac:dyDescent="0.3">
      <c r="A89" s="66">
        <f t="shared" si="23"/>
        <v>71</v>
      </c>
      <c r="B89" s="67" t="s">
        <v>1448</v>
      </c>
      <c r="C89" s="66" t="s">
        <v>220</v>
      </c>
      <c r="D89" s="71">
        <v>1</v>
      </c>
      <c r="E89" s="172">
        <v>11727.807000000001</v>
      </c>
      <c r="F89" s="289">
        <f t="shared" si="21"/>
        <v>11727.81</v>
      </c>
      <c r="G89" s="289">
        <f t="shared" si="22"/>
        <v>14073.37</v>
      </c>
    </row>
    <row r="90" spans="1:7" ht="15.6" x14ac:dyDescent="0.3">
      <c r="A90" s="66">
        <f t="shared" si="23"/>
        <v>72</v>
      </c>
      <c r="B90" s="67" t="s">
        <v>1449</v>
      </c>
      <c r="C90" s="66" t="s">
        <v>220</v>
      </c>
      <c r="D90" s="71">
        <v>3</v>
      </c>
      <c r="E90" s="172">
        <v>541.28340000000003</v>
      </c>
      <c r="F90" s="289">
        <f t="shared" si="21"/>
        <v>1623.85</v>
      </c>
      <c r="G90" s="289">
        <f t="shared" si="22"/>
        <v>1948.62</v>
      </c>
    </row>
    <row r="91" spans="1:7" ht="15.6" x14ac:dyDescent="0.3">
      <c r="A91" s="66">
        <f t="shared" si="23"/>
        <v>73</v>
      </c>
      <c r="B91" s="67" t="s">
        <v>1450</v>
      </c>
      <c r="C91" s="66" t="s">
        <v>220</v>
      </c>
      <c r="D91" s="71">
        <v>1</v>
      </c>
      <c r="E91" s="172">
        <v>7345.9890000000005</v>
      </c>
      <c r="F91" s="289">
        <f t="shared" si="21"/>
        <v>7345.99</v>
      </c>
      <c r="G91" s="289">
        <f t="shared" si="22"/>
        <v>8815.19</v>
      </c>
    </row>
    <row r="92" spans="1:7" ht="15.6" x14ac:dyDescent="0.3">
      <c r="A92" s="66">
        <f t="shared" si="23"/>
        <v>74</v>
      </c>
      <c r="B92" s="67" t="s">
        <v>1451</v>
      </c>
      <c r="C92" s="66" t="s">
        <v>193</v>
      </c>
      <c r="D92" s="68">
        <v>0.18</v>
      </c>
      <c r="E92" s="172">
        <v>2706.4170000000004</v>
      </c>
      <c r="F92" s="289">
        <f t="shared" si="21"/>
        <v>487.16</v>
      </c>
      <c r="G92" s="289">
        <f t="shared" si="22"/>
        <v>584.59</v>
      </c>
    </row>
    <row r="93" spans="1:7" ht="15.6" x14ac:dyDescent="0.3">
      <c r="A93" s="66">
        <f t="shared" si="23"/>
        <v>75</v>
      </c>
      <c r="B93" s="67" t="s">
        <v>1395</v>
      </c>
      <c r="C93" s="66" t="s">
        <v>193</v>
      </c>
      <c r="D93" s="68">
        <v>0.17</v>
      </c>
      <c r="E93" s="172">
        <v>7732.62</v>
      </c>
      <c r="F93" s="289">
        <f t="shared" si="21"/>
        <v>1314.55</v>
      </c>
      <c r="G93" s="289">
        <f t="shared" si="22"/>
        <v>1577.46</v>
      </c>
    </row>
    <row r="94" spans="1:7" ht="15.6" x14ac:dyDescent="0.3">
      <c r="A94" s="66">
        <f t="shared" si="23"/>
        <v>76</v>
      </c>
      <c r="B94" s="67" t="s">
        <v>1396</v>
      </c>
      <c r="C94" s="66" t="s">
        <v>193</v>
      </c>
      <c r="D94" s="68">
        <v>0.05</v>
      </c>
      <c r="E94" s="172">
        <v>6443.85</v>
      </c>
      <c r="F94" s="289">
        <f t="shared" si="21"/>
        <v>322.19</v>
      </c>
      <c r="G94" s="289">
        <f t="shared" si="22"/>
        <v>386.63</v>
      </c>
    </row>
    <row r="95" spans="1:7" ht="15.6" x14ac:dyDescent="0.3">
      <c r="A95" s="66">
        <f t="shared" si="23"/>
        <v>77</v>
      </c>
      <c r="B95" s="67" t="s">
        <v>1618</v>
      </c>
      <c r="C95" s="286" t="s">
        <v>254</v>
      </c>
      <c r="D95" s="68">
        <v>20.09</v>
      </c>
      <c r="E95" s="172">
        <v>41.240640000000006</v>
      </c>
      <c r="F95" s="289">
        <f t="shared" si="21"/>
        <v>828.52</v>
      </c>
      <c r="G95" s="289">
        <f t="shared" si="22"/>
        <v>994.22</v>
      </c>
    </row>
    <row r="96" spans="1:7" ht="15.6" x14ac:dyDescent="0.3">
      <c r="A96" s="66">
        <f t="shared" si="23"/>
        <v>78</v>
      </c>
      <c r="B96" s="67" t="s">
        <v>1452</v>
      </c>
      <c r="C96" s="66" t="s">
        <v>220</v>
      </c>
      <c r="D96" s="68">
        <v>2</v>
      </c>
      <c r="E96" s="172">
        <v>1288.77</v>
      </c>
      <c r="F96" s="289">
        <f t="shared" si="21"/>
        <v>2577.54</v>
      </c>
      <c r="G96" s="289">
        <f t="shared" si="22"/>
        <v>3093.05</v>
      </c>
    </row>
    <row r="97" spans="1:7" ht="15.6" x14ac:dyDescent="0.3">
      <c r="A97" s="66">
        <f t="shared" si="23"/>
        <v>79</v>
      </c>
      <c r="B97" s="67" t="s">
        <v>1453</v>
      </c>
      <c r="C97" s="66" t="s">
        <v>194</v>
      </c>
      <c r="D97" s="68">
        <v>12.6</v>
      </c>
      <c r="E97" s="172">
        <v>33.508020000000002</v>
      </c>
      <c r="F97" s="289">
        <f t="shared" si="21"/>
        <v>422.2</v>
      </c>
      <c r="G97" s="289">
        <f t="shared" si="22"/>
        <v>506.64</v>
      </c>
    </row>
    <row r="98" spans="1:7" ht="27.6" x14ac:dyDescent="0.3">
      <c r="A98" s="66">
        <f t="shared" si="23"/>
        <v>80</v>
      </c>
      <c r="B98" s="67" t="s">
        <v>407</v>
      </c>
      <c r="C98" s="66" t="s">
        <v>243</v>
      </c>
      <c r="D98" s="71">
        <v>1</v>
      </c>
      <c r="E98" s="172">
        <v>154652.4</v>
      </c>
      <c r="F98" s="289">
        <f t="shared" si="21"/>
        <v>154652.4</v>
      </c>
      <c r="G98" s="289">
        <f t="shared" si="22"/>
        <v>185582.88</v>
      </c>
    </row>
    <row r="99" spans="1:7" ht="22.5" customHeight="1" x14ac:dyDescent="0.3">
      <c r="A99" s="493" t="s">
        <v>408</v>
      </c>
      <c r="B99" s="493"/>
      <c r="C99" s="493"/>
      <c r="D99" s="493"/>
      <c r="E99" s="493"/>
      <c r="F99" s="83">
        <f>SUM(F6:F98)</f>
        <v>1330631.2799999993</v>
      </c>
      <c r="G99" s="83">
        <f>SUM(G6:G98)</f>
        <v>1596757.52</v>
      </c>
    </row>
  </sheetData>
  <mergeCells count="9"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J103"/>
  <sheetViews>
    <sheetView topLeftCell="A97" zoomScaleNormal="100" zoomScaleSheetLayoutView="80" workbookViewId="0">
      <selection activeCell="E104" sqref="E104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86" t="s">
        <v>441</v>
      </c>
      <c r="F1" s="486" t="s">
        <v>433</v>
      </c>
      <c r="G1" s="486" t="s">
        <v>409</v>
      </c>
    </row>
    <row r="2" spans="1:10" ht="14.55" customHeight="1" x14ac:dyDescent="0.3">
      <c r="A2" s="481"/>
      <c r="B2" s="484"/>
      <c r="C2" s="486"/>
      <c r="D2" s="486"/>
      <c r="E2" s="486"/>
      <c r="F2" s="486"/>
      <c r="G2" s="486"/>
      <c r="J2" s="382"/>
    </row>
    <row r="3" spans="1:10" ht="55.95" customHeight="1" x14ac:dyDescent="0.3">
      <c r="A3" s="482"/>
      <c r="B3" s="485"/>
      <c r="C3" s="486"/>
      <c r="D3" s="486"/>
      <c r="E3" s="486"/>
      <c r="F3" s="486"/>
      <c r="G3" s="486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78" t="s">
        <v>1454</v>
      </c>
      <c r="C5" s="479"/>
      <c r="D5" s="479"/>
      <c r="E5" s="175"/>
      <c r="F5" s="176"/>
      <c r="G5" s="184"/>
    </row>
    <row r="6" spans="1:10" ht="19.5" customHeight="1" x14ac:dyDescent="0.3">
      <c r="A6" s="274"/>
      <c r="B6" s="62" t="s">
        <v>1455</v>
      </c>
      <c r="C6" s="63"/>
      <c r="D6" s="63"/>
      <c r="E6" s="64"/>
      <c r="F6" s="65"/>
      <c r="G6" s="128"/>
    </row>
    <row r="7" spans="1:10" ht="15.6" x14ac:dyDescent="0.3">
      <c r="A7" s="324">
        <v>1</v>
      </c>
      <c r="B7" s="325" t="s">
        <v>443</v>
      </c>
      <c r="C7" s="324" t="s">
        <v>193</v>
      </c>
      <c r="D7" s="383">
        <v>156.5</v>
      </c>
      <c r="E7" s="296">
        <v>464.82929999999999</v>
      </c>
      <c r="F7" s="289">
        <f t="shared" ref="F7:F14" si="0">ROUND(E7*D7,2)</f>
        <v>72745.789999999994</v>
      </c>
      <c r="G7" s="289">
        <f t="shared" ref="G7:G14" si="1">ROUND(F7*1.2,2)</f>
        <v>87294.95</v>
      </c>
    </row>
    <row r="8" spans="1:10" ht="18.75" customHeight="1" x14ac:dyDescent="0.3">
      <c r="A8" s="324">
        <f>A7+1</f>
        <v>2</v>
      </c>
      <c r="B8" s="325" t="s">
        <v>444</v>
      </c>
      <c r="C8" s="404" t="s">
        <v>193</v>
      </c>
      <c r="D8" s="383">
        <v>4.7</v>
      </c>
      <c r="E8" s="296">
        <v>2541.5435879999995</v>
      </c>
      <c r="F8" s="289">
        <f t="shared" si="0"/>
        <v>11945.25</v>
      </c>
      <c r="G8" s="289">
        <f t="shared" si="1"/>
        <v>14334.3</v>
      </c>
    </row>
    <row r="9" spans="1:10" ht="18.75" customHeight="1" x14ac:dyDescent="0.3">
      <c r="A9" s="324">
        <f>A8+1</f>
        <v>3</v>
      </c>
      <c r="B9" s="325" t="s">
        <v>1456</v>
      </c>
      <c r="C9" s="324" t="s">
        <v>239</v>
      </c>
      <c r="D9" s="326">
        <v>107.74</v>
      </c>
      <c r="E9" s="296">
        <v>0</v>
      </c>
      <c r="F9" s="289">
        <f t="shared" si="0"/>
        <v>0</v>
      </c>
      <c r="G9" s="289">
        <f t="shared" si="1"/>
        <v>0</v>
      </c>
      <c r="H9" s="271" t="s">
        <v>1613</v>
      </c>
    </row>
    <row r="10" spans="1:10" ht="18" customHeight="1" x14ac:dyDescent="0.3">
      <c r="A10" s="324">
        <f>A9+1</f>
        <v>4</v>
      </c>
      <c r="B10" s="325" t="s">
        <v>449</v>
      </c>
      <c r="C10" s="324" t="s">
        <v>193</v>
      </c>
      <c r="D10" s="383">
        <v>93.6</v>
      </c>
      <c r="E10" s="296">
        <v>464.82929999999999</v>
      </c>
      <c r="F10" s="289">
        <f t="shared" si="0"/>
        <v>43508.02</v>
      </c>
      <c r="G10" s="289">
        <f t="shared" si="1"/>
        <v>52209.62</v>
      </c>
    </row>
    <row r="11" spans="1:10" ht="18" customHeight="1" x14ac:dyDescent="0.3">
      <c r="A11" s="324">
        <f t="shared" ref="A11:A14" si="2">A10+1</f>
        <v>5</v>
      </c>
      <c r="B11" s="325" t="s">
        <v>451</v>
      </c>
      <c r="C11" s="324" t="s">
        <v>193</v>
      </c>
      <c r="D11" s="328">
        <v>93.6</v>
      </c>
      <c r="E11" s="296">
        <v>283.188312</v>
      </c>
      <c r="F11" s="289">
        <f t="shared" si="0"/>
        <v>26506.43</v>
      </c>
      <c r="G11" s="289">
        <f t="shared" si="1"/>
        <v>31807.72</v>
      </c>
    </row>
    <row r="12" spans="1:10" ht="15.6" x14ac:dyDescent="0.3">
      <c r="A12" s="324">
        <f t="shared" si="2"/>
        <v>6</v>
      </c>
      <c r="B12" s="325" t="s">
        <v>450</v>
      </c>
      <c r="C12" s="324" t="s">
        <v>193</v>
      </c>
      <c r="D12" s="383">
        <v>23.4</v>
      </c>
      <c r="E12" s="296">
        <v>1285.789356</v>
      </c>
      <c r="F12" s="289">
        <f t="shared" si="0"/>
        <v>30087.47</v>
      </c>
      <c r="G12" s="289">
        <f t="shared" si="1"/>
        <v>36104.959999999999</v>
      </c>
    </row>
    <row r="13" spans="1:10" s="52" customFormat="1" ht="15.6" x14ac:dyDescent="0.3">
      <c r="A13" s="324">
        <f t="shared" si="2"/>
        <v>7</v>
      </c>
      <c r="B13" s="325" t="s">
        <v>518</v>
      </c>
      <c r="C13" s="324" t="s">
        <v>239</v>
      </c>
      <c r="D13" s="383">
        <v>65.400000000000006</v>
      </c>
      <c r="E13" s="296">
        <v>464.82929999999999</v>
      </c>
      <c r="F13" s="289">
        <f t="shared" si="0"/>
        <v>30399.84</v>
      </c>
      <c r="G13" s="289">
        <f t="shared" si="1"/>
        <v>36479.81</v>
      </c>
    </row>
    <row r="14" spans="1:10" s="52" customFormat="1" ht="15.6" x14ac:dyDescent="0.3">
      <c r="A14" s="467">
        <f t="shared" si="2"/>
        <v>8</v>
      </c>
      <c r="B14" s="325" t="s">
        <v>503</v>
      </c>
      <c r="C14" s="324" t="s">
        <v>239</v>
      </c>
      <c r="D14" s="383">
        <v>65.400000000000006</v>
      </c>
      <c r="E14" s="296">
        <f>'исключение-свод'!D1</f>
        <v>4948.6400000000003</v>
      </c>
      <c r="F14" s="289">
        <f t="shared" si="0"/>
        <v>323641.06</v>
      </c>
      <c r="G14" s="289">
        <f t="shared" si="1"/>
        <v>388369.27</v>
      </c>
    </row>
    <row r="15" spans="1:10" ht="24" customHeight="1" x14ac:dyDescent="0.3">
      <c r="A15" s="324"/>
      <c r="B15" s="384" t="s">
        <v>1345</v>
      </c>
      <c r="C15" s="324"/>
      <c r="D15" s="328"/>
      <c r="E15" s="296">
        <v>0</v>
      </c>
      <c r="F15" s="289"/>
      <c r="G15" s="289"/>
    </row>
    <row r="16" spans="1:10" ht="27.6" x14ac:dyDescent="0.3">
      <c r="A16" s="324">
        <f>A14+1</f>
        <v>9</v>
      </c>
      <c r="B16" s="325" t="s">
        <v>1457</v>
      </c>
      <c r="C16" s="324" t="s">
        <v>193</v>
      </c>
      <c r="D16" s="383">
        <v>7.2</v>
      </c>
      <c r="E16" s="296">
        <v>20109.230640000002</v>
      </c>
      <c r="F16" s="289">
        <f>ROUND(E16*D16,2)</f>
        <v>144786.46</v>
      </c>
      <c r="G16" s="289">
        <f t="shared" ref="G16" si="3">ROUND(F16*1.2,2)</f>
        <v>173743.75</v>
      </c>
    </row>
    <row r="17" spans="1:8" ht="19.5" customHeight="1" x14ac:dyDescent="0.3">
      <c r="A17" s="324"/>
      <c r="B17" s="384" t="s">
        <v>1348</v>
      </c>
      <c r="C17" s="324"/>
      <c r="D17" s="328"/>
      <c r="E17" s="296">
        <v>0</v>
      </c>
      <c r="F17" s="289"/>
      <c r="G17" s="289"/>
    </row>
    <row r="18" spans="1:8" ht="22.5" customHeight="1" x14ac:dyDescent="0.3">
      <c r="A18" s="324">
        <f>A16+1</f>
        <v>10</v>
      </c>
      <c r="B18" s="325" t="s">
        <v>1349</v>
      </c>
      <c r="C18" s="324" t="s">
        <v>193</v>
      </c>
      <c r="D18" s="326">
        <v>3.68</v>
      </c>
      <c r="E18" s="296">
        <v>19512.132374879999</v>
      </c>
      <c r="F18" s="289">
        <f t="shared" ref="F18:F26" si="4">ROUND(E18*D18,2)</f>
        <v>71804.649999999994</v>
      </c>
      <c r="G18" s="289">
        <f t="shared" ref="G18:G26" si="5">ROUND(F18*1.2,2)</f>
        <v>86165.58</v>
      </c>
    </row>
    <row r="19" spans="1:8" ht="22.5" customHeight="1" x14ac:dyDescent="0.3">
      <c r="A19" s="324">
        <f>A18+1</f>
        <v>11</v>
      </c>
      <c r="B19" s="325" t="s">
        <v>1350</v>
      </c>
      <c r="C19" s="324" t="s">
        <v>193</v>
      </c>
      <c r="D19" s="326">
        <v>2.3199999999999998</v>
      </c>
      <c r="E19" s="296">
        <v>19512.132374879999</v>
      </c>
      <c r="F19" s="289">
        <f t="shared" si="4"/>
        <v>45268.15</v>
      </c>
      <c r="G19" s="289">
        <f t="shared" si="5"/>
        <v>54321.78</v>
      </c>
    </row>
    <row r="20" spans="1:8" ht="27.6" x14ac:dyDescent="0.3">
      <c r="A20" s="324">
        <f>A19+1</f>
        <v>12</v>
      </c>
      <c r="B20" s="325" t="s">
        <v>1351</v>
      </c>
      <c r="C20" s="324" t="s">
        <v>193</v>
      </c>
      <c r="D20" s="326">
        <v>1.77</v>
      </c>
      <c r="E20" s="296">
        <v>9931.2567749999998</v>
      </c>
      <c r="F20" s="289">
        <f t="shared" si="4"/>
        <v>17578.32</v>
      </c>
      <c r="G20" s="289">
        <f t="shared" si="5"/>
        <v>21093.98</v>
      </c>
    </row>
    <row r="21" spans="1:8" ht="27.6" x14ac:dyDescent="0.3">
      <c r="A21" s="324">
        <f t="shared" ref="A21:A23" si="6">A20+1</f>
        <v>13</v>
      </c>
      <c r="B21" s="325" t="s">
        <v>1458</v>
      </c>
      <c r="C21" s="324" t="s">
        <v>193</v>
      </c>
      <c r="D21" s="326">
        <v>2.0099999999999998</v>
      </c>
      <c r="E21" s="296">
        <v>1973.7367200000001</v>
      </c>
      <c r="F21" s="289">
        <f t="shared" si="4"/>
        <v>3967.21</v>
      </c>
      <c r="G21" s="289">
        <f t="shared" si="5"/>
        <v>4760.6499999999996</v>
      </c>
    </row>
    <row r="22" spans="1:8" ht="27.6" x14ac:dyDescent="0.3">
      <c r="A22" s="324">
        <f t="shared" si="6"/>
        <v>14</v>
      </c>
      <c r="B22" s="325" t="s">
        <v>1459</v>
      </c>
      <c r="C22" s="324" t="s">
        <v>193</v>
      </c>
      <c r="D22" s="326">
        <v>7.5</v>
      </c>
      <c r="E22" s="296">
        <v>1973.7367200000001</v>
      </c>
      <c r="F22" s="289">
        <f t="shared" si="4"/>
        <v>14803.03</v>
      </c>
      <c r="G22" s="289">
        <f t="shared" si="5"/>
        <v>17763.64</v>
      </c>
    </row>
    <row r="23" spans="1:8" ht="15.6" x14ac:dyDescent="0.3">
      <c r="A23" s="324">
        <f t="shared" si="6"/>
        <v>15</v>
      </c>
      <c r="B23" s="325" t="s">
        <v>1612</v>
      </c>
      <c r="C23" s="324" t="s">
        <v>220</v>
      </c>
      <c r="D23" s="328">
        <v>4</v>
      </c>
      <c r="E23" s="296">
        <v>15861.048398999999</v>
      </c>
      <c r="F23" s="289">
        <f t="shared" si="4"/>
        <v>63444.19</v>
      </c>
      <c r="G23" s="289">
        <f t="shared" si="5"/>
        <v>76133.03</v>
      </c>
    </row>
    <row r="24" spans="1:8" ht="27.6" x14ac:dyDescent="0.3">
      <c r="A24" s="324">
        <f>A23+1</f>
        <v>16</v>
      </c>
      <c r="B24" s="325" t="s">
        <v>1352</v>
      </c>
      <c r="C24" s="324" t="s">
        <v>431</v>
      </c>
      <c r="D24" s="326">
        <v>34.200000000000003</v>
      </c>
      <c r="E24" s="296">
        <v>217.397088</v>
      </c>
      <c r="F24" s="289">
        <f t="shared" si="4"/>
        <v>7434.98</v>
      </c>
      <c r="G24" s="289">
        <f t="shared" si="5"/>
        <v>8921.98</v>
      </c>
    </row>
    <row r="25" spans="1:8" ht="27.6" x14ac:dyDescent="0.3">
      <c r="A25" s="324">
        <f t="shared" ref="A25:A26" si="7">A24+1</f>
        <v>17</v>
      </c>
      <c r="B25" s="325" t="s">
        <v>1353</v>
      </c>
      <c r="C25" s="324" t="s">
        <v>431</v>
      </c>
      <c r="D25" s="326">
        <v>34.200000000000003</v>
      </c>
      <c r="E25" s="296">
        <v>451.29919176000004</v>
      </c>
      <c r="F25" s="289">
        <f t="shared" si="4"/>
        <v>15434.43</v>
      </c>
      <c r="G25" s="289">
        <f t="shared" si="5"/>
        <v>18521.32</v>
      </c>
    </row>
    <row r="26" spans="1:8" ht="20.25" customHeight="1" x14ac:dyDescent="0.3">
      <c r="A26" s="324">
        <f t="shared" si="7"/>
        <v>18</v>
      </c>
      <c r="B26" s="325" t="s">
        <v>1354</v>
      </c>
      <c r="C26" s="324" t="s">
        <v>193</v>
      </c>
      <c r="D26" s="326">
        <v>0.48</v>
      </c>
      <c r="E26" s="296">
        <v>9930.1840919999995</v>
      </c>
      <c r="F26" s="289">
        <f t="shared" si="4"/>
        <v>4766.49</v>
      </c>
      <c r="G26" s="289">
        <f t="shared" si="5"/>
        <v>5719.79</v>
      </c>
      <c r="H26" s="271"/>
    </row>
    <row r="27" spans="1:8" ht="19.5" customHeight="1" x14ac:dyDescent="0.3">
      <c r="A27" s="416"/>
      <c r="B27" s="384" t="s">
        <v>1460</v>
      </c>
      <c r="C27" s="399"/>
      <c r="D27" s="399"/>
      <c r="E27" s="296">
        <v>0</v>
      </c>
      <c r="F27" s="401"/>
      <c r="G27" s="385"/>
    </row>
    <row r="28" spans="1:8" ht="15.6" x14ac:dyDescent="0.3">
      <c r="A28" s="324">
        <f>A26+1</f>
        <v>19</v>
      </c>
      <c r="B28" s="325" t="s">
        <v>443</v>
      </c>
      <c r="C28" s="324" t="s">
        <v>193</v>
      </c>
      <c r="D28" s="326">
        <v>115.28</v>
      </c>
      <c r="E28" s="296">
        <v>464.82929999999999</v>
      </c>
      <c r="F28" s="289">
        <f t="shared" ref="F28:F35" si="8">ROUND(E28*D28,2)</f>
        <v>53585.52</v>
      </c>
      <c r="G28" s="289">
        <f t="shared" ref="G28:G35" si="9">ROUND(F28*1.2,2)</f>
        <v>64302.62</v>
      </c>
    </row>
    <row r="29" spans="1:8" ht="18.75" customHeight="1" x14ac:dyDescent="0.3">
      <c r="A29" s="324">
        <f>A28+1</f>
        <v>20</v>
      </c>
      <c r="B29" s="325" t="s">
        <v>444</v>
      </c>
      <c r="C29" s="404" t="s">
        <v>193</v>
      </c>
      <c r="D29" s="326">
        <v>3.46</v>
      </c>
      <c r="E29" s="296">
        <v>2541.5435879999995</v>
      </c>
      <c r="F29" s="289">
        <f t="shared" si="8"/>
        <v>8793.74</v>
      </c>
      <c r="G29" s="289">
        <f t="shared" si="9"/>
        <v>10552.49</v>
      </c>
    </row>
    <row r="30" spans="1:8" ht="18.75" customHeight="1" x14ac:dyDescent="0.3">
      <c r="A30" s="324">
        <f>A29+1</f>
        <v>21</v>
      </c>
      <c r="B30" s="325" t="s">
        <v>1461</v>
      </c>
      <c r="C30" s="404" t="s">
        <v>239</v>
      </c>
      <c r="D30" s="326">
        <v>127.9</v>
      </c>
      <c r="E30" s="296">
        <v>0</v>
      </c>
      <c r="F30" s="289">
        <f t="shared" si="8"/>
        <v>0</v>
      </c>
      <c r="G30" s="289">
        <f t="shared" si="9"/>
        <v>0</v>
      </c>
      <c r="H30" s="271" t="s">
        <v>1613</v>
      </c>
    </row>
    <row r="31" spans="1:8" ht="18" customHeight="1" x14ac:dyDescent="0.3">
      <c r="A31" s="324">
        <f>A29+1</f>
        <v>21</v>
      </c>
      <c r="B31" s="325" t="s">
        <v>449</v>
      </c>
      <c r="C31" s="324" t="s">
        <v>193</v>
      </c>
      <c r="D31" s="383">
        <v>82.5</v>
      </c>
      <c r="E31" s="296">
        <v>464.82929999999999</v>
      </c>
      <c r="F31" s="289">
        <f t="shared" si="8"/>
        <v>38348.42</v>
      </c>
      <c r="G31" s="289">
        <f t="shared" si="9"/>
        <v>46018.1</v>
      </c>
    </row>
    <row r="32" spans="1:8" ht="18" customHeight="1" x14ac:dyDescent="0.3">
      <c r="A32" s="324">
        <f t="shared" ref="A32:A35" si="10">A31+1</f>
        <v>22</v>
      </c>
      <c r="B32" s="325" t="s">
        <v>451</v>
      </c>
      <c r="C32" s="324" t="s">
        <v>193</v>
      </c>
      <c r="D32" s="383">
        <v>82.5</v>
      </c>
      <c r="E32" s="296">
        <v>283.188312</v>
      </c>
      <c r="F32" s="289">
        <f t="shared" si="8"/>
        <v>23363.040000000001</v>
      </c>
      <c r="G32" s="289">
        <f t="shared" si="9"/>
        <v>28035.65</v>
      </c>
    </row>
    <row r="33" spans="1:8" ht="15.6" x14ac:dyDescent="0.3">
      <c r="A33" s="324">
        <f t="shared" si="10"/>
        <v>23</v>
      </c>
      <c r="B33" s="325" t="s">
        <v>450</v>
      </c>
      <c r="C33" s="324" t="s">
        <v>193</v>
      </c>
      <c r="D33" s="383">
        <v>20.51</v>
      </c>
      <c r="E33" s="296">
        <v>1285.789356</v>
      </c>
      <c r="F33" s="289">
        <f t="shared" si="8"/>
        <v>26371.54</v>
      </c>
      <c r="G33" s="289">
        <f t="shared" si="9"/>
        <v>31645.85</v>
      </c>
    </row>
    <row r="34" spans="1:8" s="52" customFormat="1" ht="15.6" x14ac:dyDescent="0.3">
      <c r="A34" s="324">
        <f t="shared" si="10"/>
        <v>24</v>
      </c>
      <c r="B34" s="325" t="s">
        <v>518</v>
      </c>
      <c r="C34" s="324" t="s">
        <v>239</v>
      </c>
      <c r="D34" s="326">
        <v>23.95</v>
      </c>
      <c r="E34" s="296">
        <v>464.82929999999999</v>
      </c>
      <c r="F34" s="289">
        <f t="shared" si="8"/>
        <v>11132.66</v>
      </c>
      <c r="G34" s="289">
        <f t="shared" si="9"/>
        <v>13359.19</v>
      </c>
    </row>
    <row r="35" spans="1:8" s="52" customFormat="1" ht="15.6" x14ac:dyDescent="0.3">
      <c r="A35" s="467">
        <f t="shared" si="10"/>
        <v>25</v>
      </c>
      <c r="B35" s="325" t="s">
        <v>503</v>
      </c>
      <c r="C35" s="324" t="s">
        <v>239</v>
      </c>
      <c r="D35" s="326">
        <v>23.95</v>
      </c>
      <c r="E35" s="296">
        <f>'исключение-свод'!D1</f>
        <v>4948.6400000000003</v>
      </c>
      <c r="F35" s="289">
        <f t="shared" si="8"/>
        <v>118519.93</v>
      </c>
      <c r="G35" s="289">
        <f t="shared" si="9"/>
        <v>142223.92000000001</v>
      </c>
    </row>
    <row r="36" spans="1:8" ht="24" customHeight="1" x14ac:dyDescent="0.3">
      <c r="A36" s="324"/>
      <c r="B36" s="384" t="s">
        <v>1345</v>
      </c>
      <c r="C36" s="324"/>
      <c r="D36" s="328"/>
      <c r="E36" s="296">
        <v>0</v>
      </c>
      <c r="F36" s="289"/>
      <c r="G36" s="289"/>
    </row>
    <row r="37" spans="1:8" ht="27.6" x14ac:dyDescent="0.3">
      <c r="A37" s="324">
        <f>A35+1</f>
        <v>26</v>
      </c>
      <c r="B37" s="325" t="s">
        <v>1462</v>
      </c>
      <c r="C37" s="324" t="s">
        <v>193</v>
      </c>
      <c r="D37" s="326">
        <v>5.85</v>
      </c>
      <c r="E37" s="296">
        <v>20109.230640000002</v>
      </c>
      <c r="F37" s="289">
        <f>ROUND(E37*D37,2)</f>
        <v>117639</v>
      </c>
      <c r="G37" s="289">
        <f t="shared" ref="G37" si="11">ROUND(F37*1.2,2)</f>
        <v>141166.79999999999</v>
      </c>
    </row>
    <row r="38" spans="1:8" ht="19.5" customHeight="1" x14ac:dyDescent="0.3">
      <c r="A38" s="324"/>
      <c r="B38" s="384" t="s">
        <v>1348</v>
      </c>
      <c r="C38" s="324"/>
      <c r="D38" s="328"/>
      <c r="E38" s="296">
        <v>0</v>
      </c>
      <c r="F38" s="289"/>
      <c r="G38" s="289"/>
    </row>
    <row r="39" spans="1:8" ht="22.5" customHeight="1" x14ac:dyDescent="0.3">
      <c r="A39" s="324">
        <f>A37+1</f>
        <v>27</v>
      </c>
      <c r="B39" s="325" t="s">
        <v>1349</v>
      </c>
      <c r="C39" s="324" t="s">
        <v>193</v>
      </c>
      <c r="D39" s="326">
        <v>2.58</v>
      </c>
      <c r="E39" s="296">
        <v>19512.132374879999</v>
      </c>
      <c r="F39" s="289">
        <f t="shared" ref="F39:F47" si="12">ROUND(E39*D39,2)</f>
        <v>50341.3</v>
      </c>
      <c r="G39" s="289">
        <f t="shared" ref="G39:G47" si="13">ROUND(F39*1.2,2)</f>
        <v>60409.56</v>
      </c>
    </row>
    <row r="40" spans="1:8" ht="22.5" customHeight="1" x14ac:dyDescent="0.3">
      <c r="A40" s="324">
        <f>A39+1</f>
        <v>28</v>
      </c>
      <c r="B40" s="325" t="s">
        <v>1350</v>
      </c>
      <c r="C40" s="324" t="s">
        <v>193</v>
      </c>
      <c r="D40" s="326">
        <v>1.93</v>
      </c>
      <c r="E40" s="296">
        <v>19512.132374879999</v>
      </c>
      <c r="F40" s="289">
        <f t="shared" si="12"/>
        <v>37658.42</v>
      </c>
      <c r="G40" s="289">
        <f t="shared" si="13"/>
        <v>45190.1</v>
      </c>
    </row>
    <row r="41" spans="1:8" ht="27.6" x14ac:dyDescent="0.3">
      <c r="A41" s="324">
        <f>A40+1</f>
        <v>29</v>
      </c>
      <c r="B41" s="325" t="s">
        <v>1351</v>
      </c>
      <c r="C41" s="324" t="s">
        <v>193</v>
      </c>
      <c r="D41" s="326">
        <v>1.5</v>
      </c>
      <c r="E41" s="296">
        <v>9931.2567749999998</v>
      </c>
      <c r="F41" s="289">
        <f t="shared" si="12"/>
        <v>14896.89</v>
      </c>
      <c r="G41" s="289">
        <f t="shared" si="13"/>
        <v>17876.27</v>
      </c>
    </row>
    <row r="42" spans="1:8" ht="27.6" x14ac:dyDescent="0.3">
      <c r="A42" s="324">
        <f t="shared" ref="A42:A44" si="14">A41+1</f>
        <v>30</v>
      </c>
      <c r="B42" s="325" t="s">
        <v>1458</v>
      </c>
      <c r="C42" s="324" t="s">
        <v>193</v>
      </c>
      <c r="D42" s="326">
        <v>1.7</v>
      </c>
      <c r="E42" s="296">
        <v>1973.7367200000001</v>
      </c>
      <c r="F42" s="289">
        <f t="shared" si="12"/>
        <v>3355.35</v>
      </c>
      <c r="G42" s="289">
        <f t="shared" si="13"/>
        <v>4026.42</v>
      </c>
    </row>
    <row r="43" spans="1:8" ht="27.6" x14ac:dyDescent="0.3">
      <c r="A43" s="324">
        <f t="shared" si="14"/>
        <v>31</v>
      </c>
      <c r="B43" s="325" t="s">
        <v>1459</v>
      </c>
      <c r="C43" s="324" t="s">
        <v>193</v>
      </c>
      <c r="D43" s="326">
        <v>5.7</v>
      </c>
      <c r="E43" s="296">
        <v>1973.7367200000001</v>
      </c>
      <c r="F43" s="289">
        <f t="shared" si="12"/>
        <v>11250.3</v>
      </c>
      <c r="G43" s="289">
        <f t="shared" si="13"/>
        <v>13500.36</v>
      </c>
    </row>
    <row r="44" spans="1:8" ht="15.6" x14ac:dyDescent="0.3">
      <c r="A44" s="324">
        <f t="shared" si="14"/>
        <v>32</v>
      </c>
      <c r="B44" s="325" t="s">
        <v>1612</v>
      </c>
      <c r="C44" s="324" t="s">
        <v>220</v>
      </c>
      <c r="D44" s="328">
        <v>4</v>
      </c>
      <c r="E44" s="296">
        <v>15861.048398999999</v>
      </c>
      <c r="F44" s="289">
        <f t="shared" si="12"/>
        <v>63444.19</v>
      </c>
      <c r="G44" s="289">
        <f t="shared" si="13"/>
        <v>76133.03</v>
      </c>
    </row>
    <row r="45" spans="1:8" ht="27.6" x14ac:dyDescent="0.3">
      <c r="A45" s="324">
        <f>A44+1</f>
        <v>33</v>
      </c>
      <c r="B45" s="325" t="s">
        <v>1352</v>
      </c>
      <c r="C45" s="324" t="s">
        <v>431</v>
      </c>
      <c r="D45" s="326">
        <v>29.2</v>
      </c>
      <c r="E45" s="296">
        <v>217.397088</v>
      </c>
      <c r="F45" s="289">
        <f t="shared" si="12"/>
        <v>6347.99</v>
      </c>
      <c r="G45" s="289">
        <f t="shared" si="13"/>
        <v>7617.59</v>
      </c>
    </row>
    <row r="46" spans="1:8" ht="27.6" x14ac:dyDescent="0.3">
      <c r="A46" s="324">
        <f t="shared" ref="A46:A47" si="15">A45+1</f>
        <v>34</v>
      </c>
      <c r="B46" s="325" t="s">
        <v>1353</v>
      </c>
      <c r="C46" s="324" t="s">
        <v>431</v>
      </c>
      <c r="D46" s="326">
        <v>29.2</v>
      </c>
      <c r="E46" s="296">
        <v>451.29919176000004</v>
      </c>
      <c r="F46" s="289">
        <f t="shared" si="12"/>
        <v>13177.94</v>
      </c>
      <c r="G46" s="289">
        <f t="shared" si="13"/>
        <v>15813.53</v>
      </c>
    </row>
    <row r="47" spans="1:8" ht="20.25" customHeight="1" x14ac:dyDescent="0.3">
      <c r="A47" s="324">
        <f t="shared" si="15"/>
        <v>35</v>
      </c>
      <c r="B47" s="325" t="s">
        <v>1354</v>
      </c>
      <c r="C47" s="324" t="s">
        <v>193</v>
      </c>
      <c r="D47" s="326">
        <v>0.41</v>
      </c>
      <c r="E47" s="296">
        <v>9930.1840919999995</v>
      </c>
      <c r="F47" s="289">
        <f t="shared" si="12"/>
        <v>4071.38</v>
      </c>
      <c r="G47" s="289">
        <f t="shared" si="13"/>
        <v>4885.66</v>
      </c>
      <c r="H47" s="271"/>
    </row>
    <row r="48" spans="1:8" ht="30.75" customHeight="1" x14ac:dyDescent="0.3">
      <c r="A48" s="324"/>
      <c r="B48" s="415" t="s">
        <v>1463</v>
      </c>
      <c r="C48" s="324"/>
      <c r="D48" s="326"/>
      <c r="E48" s="296">
        <v>0</v>
      </c>
      <c r="F48" s="289"/>
      <c r="G48" s="289"/>
    </row>
    <row r="49" spans="1:8" ht="15.6" x14ac:dyDescent="0.3">
      <c r="A49" s="324">
        <f>A47+1</f>
        <v>36</v>
      </c>
      <c r="B49" s="325" t="s">
        <v>443</v>
      </c>
      <c r="C49" s="324" t="s">
        <v>193</v>
      </c>
      <c r="D49" s="326">
        <v>626.9</v>
      </c>
      <c r="E49" s="296">
        <v>464.82929999999999</v>
      </c>
      <c r="F49" s="289">
        <f t="shared" ref="F49:F56" si="16">ROUND(E49*D49,2)</f>
        <v>291401.49</v>
      </c>
      <c r="G49" s="289">
        <f t="shared" ref="G49:G56" si="17">ROUND(F49*1.2,2)</f>
        <v>349681.79</v>
      </c>
    </row>
    <row r="50" spans="1:8" ht="18.75" customHeight="1" x14ac:dyDescent="0.3">
      <c r="A50" s="324">
        <f>A49+1</f>
        <v>37</v>
      </c>
      <c r="B50" s="325" t="s">
        <v>444</v>
      </c>
      <c r="C50" s="404" t="s">
        <v>193</v>
      </c>
      <c r="D50" s="326">
        <v>18.8</v>
      </c>
      <c r="E50" s="296">
        <v>2541.5435879999995</v>
      </c>
      <c r="F50" s="289">
        <f t="shared" si="16"/>
        <v>47781.02</v>
      </c>
      <c r="G50" s="289">
        <f t="shared" si="17"/>
        <v>57337.22</v>
      </c>
    </row>
    <row r="51" spans="1:8" ht="18.75" customHeight="1" x14ac:dyDescent="0.3">
      <c r="A51" s="324">
        <f>A50+1</f>
        <v>38</v>
      </c>
      <c r="B51" s="325" t="s">
        <v>1464</v>
      </c>
      <c r="C51" s="404" t="s">
        <v>239</v>
      </c>
      <c r="D51" s="326">
        <v>693.2</v>
      </c>
      <c r="E51" s="296">
        <v>0</v>
      </c>
      <c r="F51" s="289">
        <f t="shared" si="16"/>
        <v>0</v>
      </c>
      <c r="G51" s="289">
        <f t="shared" si="17"/>
        <v>0</v>
      </c>
      <c r="H51" s="271" t="s">
        <v>1613</v>
      </c>
    </row>
    <row r="52" spans="1:8" ht="18" customHeight="1" x14ac:dyDescent="0.3">
      <c r="A52" s="324">
        <f>A50+1</f>
        <v>38</v>
      </c>
      <c r="B52" s="325" t="s">
        <v>1465</v>
      </c>
      <c r="C52" s="324" t="s">
        <v>193</v>
      </c>
      <c r="D52" s="383">
        <v>374.7</v>
      </c>
      <c r="E52" s="296">
        <v>464.82929999999999</v>
      </c>
      <c r="F52" s="289">
        <f t="shared" si="16"/>
        <v>174171.54</v>
      </c>
      <c r="G52" s="289">
        <f t="shared" si="17"/>
        <v>209005.85</v>
      </c>
    </row>
    <row r="53" spans="1:8" ht="18" customHeight="1" x14ac:dyDescent="0.3">
      <c r="A53" s="324">
        <f t="shared" ref="A53:A56" si="18">A52+1</f>
        <v>39</v>
      </c>
      <c r="B53" s="325" t="s">
        <v>451</v>
      </c>
      <c r="C53" s="324" t="s">
        <v>193</v>
      </c>
      <c r="D53" s="383">
        <v>374.7</v>
      </c>
      <c r="E53" s="296">
        <v>283.188312</v>
      </c>
      <c r="F53" s="289">
        <f t="shared" si="16"/>
        <v>106110.66</v>
      </c>
      <c r="G53" s="289">
        <f t="shared" si="17"/>
        <v>127332.79</v>
      </c>
    </row>
    <row r="54" spans="1:8" ht="15.6" x14ac:dyDescent="0.3">
      <c r="A54" s="324">
        <f t="shared" si="18"/>
        <v>40</v>
      </c>
      <c r="B54" s="325" t="s">
        <v>450</v>
      </c>
      <c r="C54" s="324" t="s">
        <v>193</v>
      </c>
      <c r="D54" s="383">
        <v>93.7</v>
      </c>
      <c r="E54" s="296">
        <v>1285.789356</v>
      </c>
      <c r="F54" s="289">
        <f t="shared" si="16"/>
        <v>120478.46</v>
      </c>
      <c r="G54" s="289">
        <f t="shared" si="17"/>
        <v>144574.15</v>
      </c>
    </row>
    <row r="55" spans="1:8" s="52" customFormat="1" ht="15.6" x14ac:dyDescent="0.3">
      <c r="A55" s="324">
        <f t="shared" si="18"/>
        <v>41</v>
      </c>
      <c r="B55" s="325" t="s">
        <v>518</v>
      </c>
      <c r="C55" s="324" t="s">
        <v>239</v>
      </c>
      <c r="D55" s="326">
        <v>262.60000000000002</v>
      </c>
      <c r="E55" s="296">
        <v>464.82929999999999</v>
      </c>
      <c r="F55" s="289">
        <f t="shared" si="16"/>
        <v>122064.17</v>
      </c>
      <c r="G55" s="289">
        <f t="shared" si="17"/>
        <v>146477</v>
      </c>
    </row>
    <row r="56" spans="1:8" s="52" customFormat="1" ht="15.6" x14ac:dyDescent="0.3">
      <c r="A56" s="467">
        <f t="shared" si="18"/>
        <v>42</v>
      </c>
      <c r="B56" s="325" t="s">
        <v>503</v>
      </c>
      <c r="C56" s="324" t="s">
        <v>239</v>
      </c>
      <c r="D56" s="326">
        <v>262.60000000000002</v>
      </c>
      <c r="E56" s="296">
        <f>'исключение-свод'!D1</f>
        <v>4948.6400000000003</v>
      </c>
      <c r="F56" s="289">
        <f t="shared" si="16"/>
        <v>1299512.8600000001</v>
      </c>
      <c r="G56" s="289">
        <f t="shared" si="17"/>
        <v>1559415.43</v>
      </c>
    </row>
    <row r="57" spans="1:8" ht="19.5" customHeight="1" x14ac:dyDescent="0.3">
      <c r="A57" s="324"/>
      <c r="B57" s="384" t="s">
        <v>1466</v>
      </c>
      <c r="C57" s="324"/>
      <c r="D57" s="328"/>
      <c r="E57" s="296">
        <v>0</v>
      </c>
      <c r="F57" s="289"/>
      <c r="G57" s="289"/>
    </row>
    <row r="58" spans="1:8" ht="22.5" customHeight="1" x14ac:dyDescent="0.3">
      <c r="A58" s="324">
        <f>A56+1</f>
        <v>43</v>
      </c>
      <c r="B58" s="325" t="s">
        <v>1467</v>
      </c>
      <c r="C58" s="324" t="s">
        <v>193</v>
      </c>
      <c r="D58" s="326">
        <v>2.5499999999999998</v>
      </c>
      <c r="E58" s="296">
        <v>19512.132374879999</v>
      </c>
      <c r="F58" s="289">
        <f>ROUND(E58*D58,2)</f>
        <v>49755.94</v>
      </c>
      <c r="G58" s="289">
        <f t="shared" ref="G58:G62" si="19">ROUND(F58*1.2,2)</f>
        <v>59707.13</v>
      </c>
    </row>
    <row r="59" spans="1:8" ht="27.6" x14ac:dyDescent="0.3">
      <c r="A59" s="324">
        <f>A58+1</f>
        <v>44</v>
      </c>
      <c r="B59" s="325" t="s">
        <v>1351</v>
      </c>
      <c r="C59" s="324" t="s">
        <v>193</v>
      </c>
      <c r="D59" s="326">
        <v>1.46</v>
      </c>
      <c r="E59" s="296">
        <v>9931.2567749999998</v>
      </c>
      <c r="F59" s="289">
        <f>ROUND(E59*D59,2)</f>
        <v>14499.63</v>
      </c>
      <c r="G59" s="289">
        <f t="shared" si="19"/>
        <v>17399.560000000001</v>
      </c>
    </row>
    <row r="60" spans="1:8" ht="27.6" x14ac:dyDescent="0.3">
      <c r="A60" s="324">
        <f t="shared" ref="A60" si="20">A59+1</f>
        <v>45</v>
      </c>
      <c r="B60" s="325" t="s">
        <v>1458</v>
      </c>
      <c r="C60" s="324" t="s">
        <v>193</v>
      </c>
      <c r="D60" s="326">
        <v>1.64</v>
      </c>
      <c r="E60" s="296">
        <v>1973.7367200000001</v>
      </c>
      <c r="F60" s="289">
        <f>ROUND(E60*D60,2)</f>
        <v>3236.93</v>
      </c>
      <c r="G60" s="289">
        <f t="shared" si="19"/>
        <v>3884.32</v>
      </c>
    </row>
    <row r="61" spans="1:8" ht="27.6" x14ac:dyDescent="0.3">
      <c r="A61" s="324">
        <f>A60+1</f>
        <v>46</v>
      </c>
      <c r="B61" s="325" t="s">
        <v>1468</v>
      </c>
      <c r="C61" s="324" t="s">
        <v>431</v>
      </c>
      <c r="D61" s="326">
        <v>16.899999999999999</v>
      </c>
      <c r="E61" s="296">
        <v>217.397088</v>
      </c>
      <c r="F61" s="289">
        <f>ROUND(E61*D61,2)</f>
        <v>3674.01</v>
      </c>
      <c r="G61" s="289">
        <f t="shared" si="19"/>
        <v>4408.8100000000004</v>
      </c>
    </row>
    <row r="62" spans="1:8" ht="27.6" x14ac:dyDescent="0.3">
      <c r="A62" s="324">
        <f t="shared" ref="A62" si="21">A61+1</f>
        <v>47</v>
      </c>
      <c r="B62" s="325" t="s">
        <v>1469</v>
      </c>
      <c r="C62" s="324" t="s">
        <v>431</v>
      </c>
      <c r="D62" s="326">
        <v>16.899999999999999</v>
      </c>
      <c r="E62" s="296">
        <v>451.29919176000004</v>
      </c>
      <c r="F62" s="289">
        <f>ROUND(E62*D62,2)</f>
        <v>7626.96</v>
      </c>
      <c r="G62" s="289">
        <f t="shared" si="19"/>
        <v>9152.35</v>
      </c>
    </row>
    <row r="63" spans="1:8" ht="19.5" customHeight="1" x14ac:dyDescent="0.3">
      <c r="A63" s="324"/>
      <c r="B63" s="384" t="s">
        <v>1470</v>
      </c>
      <c r="C63" s="324"/>
      <c r="D63" s="328"/>
      <c r="E63" s="296">
        <v>0</v>
      </c>
      <c r="F63" s="289"/>
      <c r="G63" s="289"/>
    </row>
    <row r="64" spans="1:8" ht="22.5" customHeight="1" x14ac:dyDescent="0.3">
      <c r="A64" s="324">
        <f>A62+1</f>
        <v>48</v>
      </c>
      <c r="B64" s="325" t="s">
        <v>1467</v>
      </c>
      <c r="C64" s="324" t="s">
        <v>193</v>
      </c>
      <c r="D64" s="326">
        <v>2.93</v>
      </c>
      <c r="E64" s="296">
        <v>19512.132374879999</v>
      </c>
      <c r="F64" s="289">
        <f>ROUND(E64*D64,2)</f>
        <v>57170.55</v>
      </c>
      <c r="G64" s="289">
        <f t="shared" ref="G64:G68" si="22">ROUND(F64*1.2,2)</f>
        <v>68604.66</v>
      </c>
    </row>
    <row r="65" spans="1:7" ht="27.6" x14ac:dyDescent="0.3">
      <c r="A65" s="324">
        <f>A64+1</f>
        <v>49</v>
      </c>
      <c r="B65" s="325" t="s">
        <v>1351</v>
      </c>
      <c r="C65" s="324" t="s">
        <v>193</v>
      </c>
      <c r="D65" s="326">
        <v>1.67</v>
      </c>
      <c r="E65" s="296">
        <v>9931.2567749999998</v>
      </c>
      <c r="F65" s="289">
        <f>ROUND(E65*D65,2)</f>
        <v>16585.2</v>
      </c>
      <c r="G65" s="289">
        <f t="shared" si="22"/>
        <v>19902.240000000002</v>
      </c>
    </row>
    <row r="66" spans="1:7" ht="27.6" x14ac:dyDescent="0.3">
      <c r="A66" s="324">
        <f t="shared" ref="A66" si="23">A65+1</f>
        <v>50</v>
      </c>
      <c r="B66" s="325" t="s">
        <v>1458</v>
      </c>
      <c r="C66" s="324" t="s">
        <v>193</v>
      </c>
      <c r="D66" s="326">
        <v>1.88</v>
      </c>
      <c r="E66" s="296">
        <v>1973.7367200000001</v>
      </c>
      <c r="F66" s="289">
        <f>ROUND(E66*D66,2)</f>
        <v>3710.63</v>
      </c>
      <c r="G66" s="289">
        <f t="shared" si="22"/>
        <v>4452.76</v>
      </c>
    </row>
    <row r="67" spans="1:7" ht="27.6" x14ac:dyDescent="0.3">
      <c r="A67" s="324">
        <f>A66+1</f>
        <v>51</v>
      </c>
      <c r="B67" s="325" t="s">
        <v>1468</v>
      </c>
      <c r="C67" s="324" t="s">
        <v>431</v>
      </c>
      <c r="D67" s="326">
        <v>19.399999999999999</v>
      </c>
      <c r="E67" s="296">
        <v>217.397088</v>
      </c>
      <c r="F67" s="289">
        <f>ROUND(E67*D67,2)</f>
        <v>4217.5</v>
      </c>
      <c r="G67" s="289">
        <f t="shared" si="22"/>
        <v>5061</v>
      </c>
    </row>
    <row r="68" spans="1:7" ht="27.6" x14ac:dyDescent="0.3">
      <c r="A68" s="324">
        <f t="shared" ref="A68" si="24">A67+1</f>
        <v>52</v>
      </c>
      <c r="B68" s="325" t="s">
        <v>1469</v>
      </c>
      <c r="C68" s="324" t="s">
        <v>431</v>
      </c>
      <c r="D68" s="326">
        <v>19.399999999999999</v>
      </c>
      <c r="E68" s="296">
        <v>451.29919176000004</v>
      </c>
      <c r="F68" s="289">
        <f>ROUND(E68*D68,2)</f>
        <v>8755.2000000000007</v>
      </c>
      <c r="G68" s="289">
        <f t="shared" si="22"/>
        <v>10506.24</v>
      </c>
    </row>
    <row r="69" spans="1:7" ht="19.5" customHeight="1" x14ac:dyDescent="0.3">
      <c r="A69" s="324"/>
      <c r="B69" s="384" t="s">
        <v>1471</v>
      </c>
      <c r="C69" s="324"/>
      <c r="D69" s="328"/>
      <c r="E69" s="296">
        <v>0</v>
      </c>
      <c r="F69" s="289"/>
      <c r="G69" s="289"/>
    </row>
    <row r="70" spans="1:7" ht="22.5" customHeight="1" x14ac:dyDescent="0.3">
      <c r="A70" s="324">
        <f>A68+1</f>
        <v>53</v>
      </c>
      <c r="B70" s="325" t="s">
        <v>1467</v>
      </c>
      <c r="C70" s="324" t="s">
        <v>193</v>
      </c>
      <c r="D70" s="326">
        <v>1.68</v>
      </c>
      <c r="E70" s="296">
        <v>19512.132374879999</v>
      </c>
      <c r="F70" s="289">
        <f>ROUND(E70*D70,2)</f>
        <v>32780.379999999997</v>
      </c>
      <c r="G70" s="289">
        <f t="shared" ref="G70:G74" si="25">ROUND(F70*1.2,2)</f>
        <v>39336.46</v>
      </c>
    </row>
    <row r="71" spans="1:7" ht="27.6" x14ac:dyDescent="0.3">
      <c r="A71" s="324">
        <f>A70+1</f>
        <v>54</v>
      </c>
      <c r="B71" s="325" t="s">
        <v>1351</v>
      </c>
      <c r="C71" s="324" t="s">
        <v>193</v>
      </c>
      <c r="D71" s="326">
        <v>0.96</v>
      </c>
      <c r="E71" s="296">
        <v>9931.2567749999998</v>
      </c>
      <c r="F71" s="289">
        <f>ROUND(E71*D71,2)</f>
        <v>9534.01</v>
      </c>
      <c r="G71" s="289">
        <f t="shared" si="25"/>
        <v>11440.81</v>
      </c>
    </row>
    <row r="72" spans="1:7" ht="27.6" x14ac:dyDescent="0.3">
      <c r="A72" s="324">
        <f t="shared" ref="A72" si="26">A71+1</f>
        <v>55</v>
      </c>
      <c r="B72" s="325" t="s">
        <v>1458</v>
      </c>
      <c r="C72" s="324" t="s">
        <v>193</v>
      </c>
      <c r="D72" s="326">
        <v>1.08</v>
      </c>
      <c r="E72" s="296">
        <v>1973.7367200000001</v>
      </c>
      <c r="F72" s="289">
        <f>ROUND(E72*D72,2)</f>
        <v>2131.64</v>
      </c>
      <c r="G72" s="289">
        <f t="shared" si="25"/>
        <v>2557.9699999999998</v>
      </c>
    </row>
    <row r="73" spans="1:7" ht="27.6" x14ac:dyDescent="0.3">
      <c r="A73" s="324">
        <f>A72+1</f>
        <v>56</v>
      </c>
      <c r="B73" s="325" t="s">
        <v>1468</v>
      </c>
      <c r="C73" s="324" t="s">
        <v>431</v>
      </c>
      <c r="D73" s="326">
        <v>11.4</v>
      </c>
      <c r="E73" s="296">
        <v>217.397088</v>
      </c>
      <c r="F73" s="289">
        <f>ROUND(E73*D73,2)</f>
        <v>2478.33</v>
      </c>
      <c r="G73" s="289">
        <f t="shared" si="25"/>
        <v>2974</v>
      </c>
    </row>
    <row r="74" spans="1:7" ht="27.6" x14ac:dyDescent="0.3">
      <c r="A74" s="324">
        <f t="shared" ref="A74" si="27">A73+1</f>
        <v>57</v>
      </c>
      <c r="B74" s="325" t="s">
        <v>1469</v>
      </c>
      <c r="C74" s="324" t="s">
        <v>431</v>
      </c>
      <c r="D74" s="326">
        <v>11.4</v>
      </c>
      <c r="E74" s="296">
        <v>451.29919176000004</v>
      </c>
      <c r="F74" s="289">
        <f>ROUND(E74*D74,2)</f>
        <v>5144.8100000000004</v>
      </c>
      <c r="G74" s="289">
        <f t="shared" si="25"/>
        <v>6173.77</v>
      </c>
    </row>
    <row r="75" spans="1:7" ht="19.5" customHeight="1" x14ac:dyDescent="0.3">
      <c r="A75" s="324"/>
      <c r="B75" s="384" t="s">
        <v>1472</v>
      </c>
      <c r="C75" s="324"/>
      <c r="D75" s="328"/>
      <c r="E75" s="296">
        <v>0</v>
      </c>
      <c r="F75" s="289"/>
      <c r="G75" s="289"/>
    </row>
    <row r="76" spans="1:7" ht="22.5" customHeight="1" x14ac:dyDescent="0.3">
      <c r="A76" s="324">
        <f>A74+1</f>
        <v>58</v>
      </c>
      <c r="B76" s="325" t="s">
        <v>1467</v>
      </c>
      <c r="C76" s="324" t="s">
        <v>193</v>
      </c>
      <c r="D76" s="326">
        <v>2.8</v>
      </c>
      <c r="E76" s="296">
        <v>19512.132374879999</v>
      </c>
      <c r="F76" s="289">
        <f>ROUND(E76*D76,2)</f>
        <v>54633.97</v>
      </c>
      <c r="G76" s="289">
        <f t="shared" ref="G76:G80" si="28">ROUND(F76*1.2,2)</f>
        <v>65560.759999999995</v>
      </c>
    </row>
    <row r="77" spans="1:7" ht="27.6" x14ac:dyDescent="0.3">
      <c r="A77" s="324">
        <f>A76+1</f>
        <v>59</v>
      </c>
      <c r="B77" s="325" t="s">
        <v>1351</v>
      </c>
      <c r="C77" s="324" t="s">
        <v>193</v>
      </c>
      <c r="D77" s="326">
        <v>1.6</v>
      </c>
      <c r="E77" s="296">
        <v>9931.2567749999998</v>
      </c>
      <c r="F77" s="289">
        <f>ROUND(E77*D77,2)</f>
        <v>15890.01</v>
      </c>
      <c r="G77" s="289">
        <f t="shared" si="28"/>
        <v>19068.009999999998</v>
      </c>
    </row>
    <row r="78" spans="1:7" ht="27.6" x14ac:dyDescent="0.3">
      <c r="A78" s="324">
        <f t="shared" ref="A78" si="29">A77+1</f>
        <v>60</v>
      </c>
      <c r="B78" s="325" t="s">
        <v>1458</v>
      </c>
      <c r="C78" s="324" t="s">
        <v>193</v>
      </c>
      <c r="D78" s="326">
        <v>1.8</v>
      </c>
      <c r="E78" s="296">
        <v>1973.7367200000001</v>
      </c>
      <c r="F78" s="289">
        <f>ROUND(E78*D78,2)</f>
        <v>3552.73</v>
      </c>
      <c r="G78" s="289">
        <f t="shared" si="28"/>
        <v>4263.28</v>
      </c>
    </row>
    <row r="79" spans="1:7" ht="27.6" x14ac:dyDescent="0.3">
      <c r="A79" s="324">
        <f>A78+1</f>
        <v>61</v>
      </c>
      <c r="B79" s="325" t="s">
        <v>1468</v>
      </c>
      <c r="C79" s="324" t="s">
        <v>431</v>
      </c>
      <c r="D79" s="326">
        <v>18.600000000000001</v>
      </c>
      <c r="E79" s="296">
        <v>217.397088</v>
      </c>
      <c r="F79" s="289">
        <f>ROUND(E79*D79,2)</f>
        <v>4043.59</v>
      </c>
      <c r="G79" s="289">
        <f t="shared" si="28"/>
        <v>4852.3100000000004</v>
      </c>
    </row>
    <row r="80" spans="1:7" ht="27.6" x14ac:dyDescent="0.3">
      <c r="A80" s="324">
        <f t="shared" ref="A80" si="30">A79+1</f>
        <v>62</v>
      </c>
      <c r="B80" s="325" t="s">
        <v>1469</v>
      </c>
      <c r="C80" s="324" t="s">
        <v>431</v>
      </c>
      <c r="D80" s="326">
        <v>18.600000000000001</v>
      </c>
      <c r="E80" s="296">
        <v>451.29919176000004</v>
      </c>
      <c r="F80" s="289">
        <f>ROUND(E80*D80,2)</f>
        <v>8394.16</v>
      </c>
      <c r="G80" s="289">
        <f t="shared" si="28"/>
        <v>10072.99</v>
      </c>
    </row>
    <row r="81" spans="1:8" ht="19.5" customHeight="1" x14ac:dyDescent="0.3">
      <c r="A81" s="324"/>
      <c r="B81" s="384" t="s">
        <v>1473</v>
      </c>
      <c r="C81" s="324"/>
      <c r="D81" s="328"/>
      <c r="E81" s="296">
        <v>0</v>
      </c>
      <c r="F81" s="289"/>
      <c r="G81" s="289"/>
    </row>
    <row r="82" spans="1:8" ht="22.5" customHeight="1" x14ac:dyDescent="0.3">
      <c r="A82" s="324">
        <f>A80+1</f>
        <v>63</v>
      </c>
      <c r="B82" s="325" t="s">
        <v>1467</v>
      </c>
      <c r="C82" s="324" t="s">
        <v>193</v>
      </c>
      <c r="D82" s="326">
        <v>1.68</v>
      </c>
      <c r="E82" s="296">
        <v>19512.132374879999</v>
      </c>
      <c r="F82" s="289">
        <f>ROUND(E82*D82,2)</f>
        <v>32780.379999999997</v>
      </c>
      <c r="G82" s="289">
        <f t="shared" ref="G82:G86" si="31">ROUND(F82*1.2,2)</f>
        <v>39336.46</v>
      </c>
    </row>
    <row r="83" spans="1:8" ht="27.6" x14ac:dyDescent="0.3">
      <c r="A83" s="324">
        <f>A82+1</f>
        <v>64</v>
      </c>
      <c r="B83" s="325" t="s">
        <v>1351</v>
      </c>
      <c r="C83" s="324" t="s">
        <v>193</v>
      </c>
      <c r="D83" s="326">
        <v>0.96</v>
      </c>
      <c r="E83" s="296">
        <v>9931.2567749999998</v>
      </c>
      <c r="F83" s="289">
        <f>ROUND(E83*D83,2)</f>
        <v>9534.01</v>
      </c>
      <c r="G83" s="289">
        <f t="shared" si="31"/>
        <v>11440.81</v>
      </c>
    </row>
    <row r="84" spans="1:8" ht="27.6" x14ac:dyDescent="0.3">
      <c r="A84" s="324">
        <f t="shared" ref="A84" si="32">A83+1</f>
        <v>65</v>
      </c>
      <c r="B84" s="325" t="s">
        <v>1458</v>
      </c>
      <c r="C84" s="324" t="s">
        <v>193</v>
      </c>
      <c r="D84" s="326">
        <v>1.08</v>
      </c>
      <c r="E84" s="296">
        <v>1973.7367200000001</v>
      </c>
      <c r="F84" s="289">
        <f>ROUND(E84*D84,2)</f>
        <v>2131.64</v>
      </c>
      <c r="G84" s="289">
        <f t="shared" si="31"/>
        <v>2557.9699999999998</v>
      </c>
    </row>
    <row r="85" spans="1:8" ht="27.6" x14ac:dyDescent="0.3">
      <c r="A85" s="324">
        <f>A84+1</f>
        <v>66</v>
      </c>
      <c r="B85" s="325" t="s">
        <v>1468</v>
      </c>
      <c r="C85" s="324" t="s">
        <v>431</v>
      </c>
      <c r="D85" s="326">
        <v>11.4</v>
      </c>
      <c r="E85" s="296">
        <v>217.397088</v>
      </c>
      <c r="F85" s="289">
        <f>ROUND(E85*D85,2)</f>
        <v>2478.33</v>
      </c>
      <c r="G85" s="289">
        <f t="shared" si="31"/>
        <v>2974</v>
      </c>
    </row>
    <row r="86" spans="1:8" ht="27.6" x14ac:dyDescent="0.3">
      <c r="A86" s="324">
        <f t="shared" ref="A86" si="33">A85+1</f>
        <v>67</v>
      </c>
      <c r="B86" s="325" t="s">
        <v>1469</v>
      </c>
      <c r="C86" s="324" t="s">
        <v>431</v>
      </c>
      <c r="D86" s="326">
        <v>11.4</v>
      </c>
      <c r="E86" s="296">
        <v>451.29919176000004</v>
      </c>
      <c r="F86" s="289">
        <f>ROUND(E86*D86,2)</f>
        <v>5144.8100000000004</v>
      </c>
      <c r="G86" s="289">
        <f t="shared" si="31"/>
        <v>6173.77</v>
      </c>
    </row>
    <row r="87" spans="1:8" ht="15.6" x14ac:dyDescent="0.3">
      <c r="A87" s="324"/>
      <c r="B87" s="402" t="s">
        <v>1364</v>
      </c>
      <c r="C87" s="324"/>
      <c r="D87" s="326"/>
      <c r="E87" s="296">
        <v>0</v>
      </c>
      <c r="F87" s="289"/>
      <c r="G87" s="289"/>
    </row>
    <row r="88" spans="1:8" s="57" customFormat="1" ht="15.6" x14ac:dyDescent="0.3">
      <c r="A88" s="324">
        <f>A86+1</f>
        <v>68</v>
      </c>
      <c r="B88" s="325" t="s">
        <v>1474</v>
      </c>
      <c r="C88" s="324" t="s">
        <v>194</v>
      </c>
      <c r="D88" s="328">
        <v>122</v>
      </c>
      <c r="E88" s="296">
        <v>3275.4847385519997</v>
      </c>
      <c r="F88" s="289">
        <f t="shared" ref="F88:F102" si="34">ROUND(E88*D88,2)</f>
        <v>399609.14</v>
      </c>
      <c r="G88" s="289">
        <f t="shared" ref="G88:G102" si="35">ROUND(F88*1.2,2)</f>
        <v>479530.97</v>
      </c>
    </row>
    <row r="89" spans="1:8" s="57" customFormat="1" ht="15.6" x14ac:dyDescent="0.3">
      <c r="A89" s="324">
        <f>A88+1</f>
        <v>69</v>
      </c>
      <c r="B89" s="325" t="s">
        <v>1475</v>
      </c>
      <c r="C89" s="324" t="s">
        <v>194</v>
      </c>
      <c r="D89" s="328">
        <v>18</v>
      </c>
      <c r="E89" s="296">
        <v>3275.4847385519997</v>
      </c>
      <c r="F89" s="289">
        <f t="shared" si="34"/>
        <v>58958.73</v>
      </c>
      <c r="G89" s="289">
        <f t="shared" si="35"/>
        <v>70750.48</v>
      </c>
    </row>
    <row r="90" spans="1:8" s="57" customFormat="1" ht="15.6" x14ac:dyDescent="0.3">
      <c r="A90" s="324">
        <f>A89+1</f>
        <v>70</v>
      </c>
      <c r="B90" s="325" t="s">
        <v>1476</v>
      </c>
      <c r="C90" s="324" t="s">
        <v>220</v>
      </c>
      <c r="D90" s="328">
        <v>32</v>
      </c>
      <c r="E90" s="296">
        <v>2668.8353039999997</v>
      </c>
      <c r="F90" s="289">
        <f t="shared" si="34"/>
        <v>85402.73</v>
      </c>
      <c r="G90" s="289">
        <f t="shared" si="35"/>
        <v>102483.28</v>
      </c>
    </row>
    <row r="91" spans="1:8" s="57" customFormat="1" ht="15.6" x14ac:dyDescent="0.3">
      <c r="A91" s="324">
        <f>A90+1</f>
        <v>71</v>
      </c>
      <c r="B91" s="325" t="s">
        <v>1477</v>
      </c>
      <c r="C91" s="324" t="s">
        <v>220</v>
      </c>
      <c r="D91" s="328">
        <v>10</v>
      </c>
      <c r="E91" s="296">
        <v>6693.5419200000006</v>
      </c>
      <c r="F91" s="289">
        <f t="shared" si="34"/>
        <v>66935.42</v>
      </c>
      <c r="G91" s="289">
        <f t="shared" si="35"/>
        <v>80322.5</v>
      </c>
    </row>
    <row r="92" spans="1:8" s="57" customFormat="1" ht="15.6" x14ac:dyDescent="0.3">
      <c r="A92" s="324">
        <f t="shared" ref="A92:A102" si="36">A91+1</f>
        <v>72</v>
      </c>
      <c r="B92" s="325" t="s">
        <v>1478</v>
      </c>
      <c r="C92" s="324" t="s">
        <v>220</v>
      </c>
      <c r="D92" s="328">
        <v>4</v>
      </c>
      <c r="E92" s="296">
        <v>6693.5419200000006</v>
      </c>
      <c r="F92" s="289">
        <f t="shared" si="34"/>
        <v>26774.17</v>
      </c>
      <c r="G92" s="289">
        <f t="shared" si="35"/>
        <v>32129</v>
      </c>
    </row>
    <row r="93" spans="1:8" s="57" customFormat="1" ht="27.6" x14ac:dyDescent="0.3">
      <c r="A93" s="324">
        <f t="shared" si="36"/>
        <v>73</v>
      </c>
      <c r="B93" s="325" t="s">
        <v>1479</v>
      </c>
      <c r="C93" s="324" t="s">
        <v>194</v>
      </c>
      <c r="D93" s="328">
        <v>4</v>
      </c>
      <c r="E93" s="296">
        <v>1313.1070164</v>
      </c>
      <c r="F93" s="289">
        <f t="shared" si="34"/>
        <v>5252.43</v>
      </c>
      <c r="G93" s="289">
        <f t="shared" si="35"/>
        <v>6302.92</v>
      </c>
    </row>
    <row r="94" spans="1:8" s="57" customFormat="1" ht="15.6" x14ac:dyDescent="0.3">
      <c r="A94" s="324">
        <f t="shared" si="36"/>
        <v>74</v>
      </c>
      <c r="B94" s="325" t="s">
        <v>1480</v>
      </c>
      <c r="C94" s="324" t="s">
        <v>220</v>
      </c>
      <c r="D94" s="328">
        <v>32</v>
      </c>
      <c r="E94" s="296">
        <v>15415.169832</v>
      </c>
      <c r="F94" s="289">
        <f t="shared" si="34"/>
        <v>493285.43</v>
      </c>
      <c r="G94" s="289">
        <f t="shared" si="35"/>
        <v>591942.52</v>
      </c>
      <c r="H94" s="271" t="s">
        <v>1265</v>
      </c>
    </row>
    <row r="95" spans="1:8" s="57" customFormat="1" ht="15.6" x14ac:dyDescent="0.3">
      <c r="A95" s="324">
        <f t="shared" si="36"/>
        <v>75</v>
      </c>
      <c r="B95" s="325" t="s">
        <v>1481</v>
      </c>
      <c r="C95" s="324" t="s">
        <v>220</v>
      </c>
      <c r="D95" s="328">
        <v>2</v>
      </c>
      <c r="E95" s="296">
        <v>4757.3491050000002</v>
      </c>
      <c r="F95" s="289">
        <f t="shared" si="34"/>
        <v>9514.7000000000007</v>
      </c>
      <c r="G95" s="289">
        <f t="shared" si="35"/>
        <v>11417.64</v>
      </c>
    </row>
    <row r="96" spans="1:8" s="57" customFormat="1" ht="15.6" x14ac:dyDescent="0.3">
      <c r="A96" s="324">
        <f t="shared" si="36"/>
        <v>76</v>
      </c>
      <c r="B96" s="325" t="s">
        <v>1482</v>
      </c>
      <c r="C96" s="324" t="s">
        <v>220</v>
      </c>
      <c r="D96" s="328">
        <v>2</v>
      </c>
      <c r="E96" s="296">
        <v>1679.464017</v>
      </c>
      <c r="F96" s="289">
        <f t="shared" si="34"/>
        <v>3358.93</v>
      </c>
      <c r="G96" s="289">
        <f t="shared" si="35"/>
        <v>4030.72</v>
      </c>
    </row>
    <row r="97" spans="1:8" s="57" customFormat="1" ht="15.6" x14ac:dyDescent="0.3">
      <c r="A97" s="324">
        <f t="shared" si="36"/>
        <v>77</v>
      </c>
      <c r="B97" s="325" t="s">
        <v>1483</v>
      </c>
      <c r="C97" s="324" t="s">
        <v>220</v>
      </c>
      <c r="D97" s="328">
        <v>2</v>
      </c>
      <c r="E97" s="296">
        <v>2186.8430760000001</v>
      </c>
      <c r="F97" s="289">
        <f t="shared" si="34"/>
        <v>4373.6899999999996</v>
      </c>
      <c r="G97" s="289">
        <f t="shared" si="35"/>
        <v>5248.43</v>
      </c>
    </row>
    <row r="98" spans="1:8" s="57" customFormat="1" ht="15.6" x14ac:dyDescent="0.3">
      <c r="A98" s="324">
        <f t="shared" si="36"/>
        <v>78</v>
      </c>
      <c r="B98" s="325" t="s">
        <v>1484</v>
      </c>
      <c r="C98" s="324" t="s">
        <v>220</v>
      </c>
      <c r="D98" s="328">
        <v>2</v>
      </c>
      <c r="E98" s="296">
        <v>2669.9165134546156</v>
      </c>
      <c r="F98" s="289">
        <f t="shared" si="34"/>
        <v>5339.83</v>
      </c>
      <c r="G98" s="289">
        <f t="shared" si="35"/>
        <v>6407.8</v>
      </c>
    </row>
    <row r="99" spans="1:8" s="57" customFormat="1" ht="27.6" x14ac:dyDescent="0.3">
      <c r="A99" s="324">
        <f t="shared" si="36"/>
        <v>79</v>
      </c>
      <c r="B99" s="325" t="s">
        <v>1485</v>
      </c>
      <c r="C99" s="324" t="s">
        <v>431</v>
      </c>
      <c r="D99" s="383">
        <v>4</v>
      </c>
      <c r="E99" s="296">
        <v>217.397088</v>
      </c>
      <c r="F99" s="289">
        <f t="shared" si="34"/>
        <v>869.59</v>
      </c>
      <c r="G99" s="289">
        <f t="shared" si="35"/>
        <v>1043.51</v>
      </c>
    </row>
    <row r="100" spans="1:8" s="57" customFormat="1" ht="15.6" x14ac:dyDescent="0.3">
      <c r="A100" s="324">
        <f t="shared" si="36"/>
        <v>80</v>
      </c>
      <c r="B100" s="325" t="s">
        <v>1486</v>
      </c>
      <c r="C100" s="324" t="s">
        <v>220</v>
      </c>
      <c r="D100" s="328">
        <v>2</v>
      </c>
      <c r="E100" s="296">
        <v>4592.5134839999992</v>
      </c>
      <c r="F100" s="289">
        <f t="shared" si="34"/>
        <v>9185.0300000000007</v>
      </c>
      <c r="G100" s="289">
        <f t="shared" si="35"/>
        <v>11022.04</v>
      </c>
      <c r="H100" s="271"/>
    </row>
    <row r="101" spans="1:8" s="57" customFormat="1" ht="15.6" x14ac:dyDescent="0.3">
      <c r="A101" s="324">
        <f t="shared" si="36"/>
        <v>81</v>
      </c>
      <c r="B101" s="325" t="s">
        <v>1487</v>
      </c>
      <c r="C101" s="324" t="s">
        <v>194</v>
      </c>
      <c r="D101" s="383">
        <v>2.8</v>
      </c>
      <c r="E101" s="296">
        <v>22658.640570000003</v>
      </c>
      <c r="F101" s="289">
        <f t="shared" si="34"/>
        <v>63444.19</v>
      </c>
      <c r="G101" s="289">
        <f t="shared" si="35"/>
        <v>76133.03</v>
      </c>
    </row>
    <row r="102" spans="1:8" s="57" customFormat="1" ht="15.6" x14ac:dyDescent="0.3">
      <c r="A102" s="324">
        <f t="shared" si="36"/>
        <v>82</v>
      </c>
      <c r="B102" s="325" t="s">
        <v>1488</v>
      </c>
      <c r="C102" s="324" t="s">
        <v>194</v>
      </c>
      <c r="D102" s="328">
        <v>82</v>
      </c>
      <c r="E102" s="296">
        <v>26.388001800000001</v>
      </c>
      <c r="F102" s="289">
        <f t="shared" si="34"/>
        <v>2163.8200000000002</v>
      </c>
      <c r="G102" s="289">
        <f t="shared" si="35"/>
        <v>2596.58</v>
      </c>
    </row>
    <row r="103" spans="1:8" x14ac:dyDescent="0.3">
      <c r="A103" s="475" t="s">
        <v>716</v>
      </c>
      <c r="B103" s="476"/>
      <c r="C103" s="476"/>
      <c r="D103" s="476"/>
      <c r="E103" s="477"/>
      <c r="F103" s="158">
        <f>SUM(F7:F102)</f>
        <v>5286292.7600000007</v>
      </c>
      <c r="G103" s="322">
        <f>SUM(G7:G102)</f>
        <v>6343551.3599999966</v>
      </c>
    </row>
  </sheetData>
  <autoFilter ref="A1:H103" xr:uid="{00000000-0001-0000-1500-000000000000}"/>
  <mergeCells count="9"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J93"/>
  <sheetViews>
    <sheetView topLeftCell="A85" zoomScaleNormal="100" zoomScaleSheetLayoutView="80" workbookViewId="0">
      <selection activeCell="E1" sqref="E1:G3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86" t="s">
        <v>231</v>
      </c>
      <c r="F1" s="486" t="s">
        <v>410</v>
      </c>
      <c r="G1" s="486" t="s">
        <v>409</v>
      </c>
    </row>
    <row r="2" spans="1:10" ht="14.55" customHeight="1" x14ac:dyDescent="0.3">
      <c r="A2" s="481"/>
      <c r="B2" s="484"/>
      <c r="C2" s="486"/>
      <c r="D2" s="486"/>
      <c r="E2" s="486"/>
      <c r="F2" s="486"/>
      <c r="G2" s="486"/>
      <c r="J2" s="382"/>
    </row>
    <row r="3" spans="1:10" ht="27.6" customHeight="1" x14ac:dyDescent="0.3">
      <c r="A3" s="482"/>
      <c r="B3" s="485"/>
      <c r="C3" s="486"/>
      <c r="D3" s="486"/>
      <c r="E3" s="486"/>
      <c r="F3" s="486"/>
      <c r="G3" s="486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78" t="s">
        <v>1454</v>
      </c>
      <c r="C5" s="479"/>
      <c r="D5" s="479"/>
      <c r="E5" s="175"/>
      <c r="F5" s="176"/>
      <c r="G5" s="177"/>
    </row>
    <row r="6" spans="1:10" ht="20.25" customHeight="1" x14ac:dyDescent="0.3">
      <c r="A6" s="66"/>
      <c r="B6" s="73" t="s">
        <v>1489</v>
      </c>
      <c r="C6" s="66"/>
      <c r="D6" s="71"/>
      <c r="E6" s="172"/>
      <c r="F6" s="102"/>
      <c r="G6" s="102"/>
    </row>
    <row r="7" spans="1:10" ht="20.25" customHeight="1" x14ac:dyDescent="0.3">
      <c r="A7" s="66"/>
      <c r="B7" s="73" t="s">
        <v>1345</v>
      </c>
      <c r="C7" s="66"/>
      <c r="D7" s="71"/>
      <c r="E7" s="172"/>
      <c r="F7" s="102"/>
      <c r="G7" s="102"/>
    </row>
    <row r="8" spans="1:10" ht="15.6" x14ac:dyDescent="0.3">
      <c r="A8" s="286">
        <f>A7+1</f>
        <v>1</v>
      </c>
      <c r="B8" s="291" t="s">
        <v>1399</v>
      </c>
      <c r="C8" s="286" t="s">
        <v>220</v>
      </c>
      <c r="D8" s="299">
        <v>16</v>
      </c>
      <c r="E8" s="172">
        <v>2873.9571000000001</v>
      </c>
      <c r="F8" s="289">
        <f>ROUND(E8*D8,2)</f>
        <v>45983.31</v>
      </c>
      <c r="G8" s="289">
        <f t="shared" ref="G8" si="0">ROUND(F8*1.2,2)</f>
        <v>55179.97</v>
      </c>
    </row>
    <row r="9" spans="1:10" ht="15.6" x14ac:dyDescent="0.3">
      <c r="A9" s="286"/>
      <c r="B9" s="294" t="s">
        <v>1347</v>
      </c>
      <c r="C9" s="293"/>
      <c r="D9" s="299"/>
      <c r="E9" s="172">
        <v>0</v>
      </c>
      <c r="F9" s="289"/>
      <c r="G9" s="289"/>
    </row>
    <row r="10" spans="1:10" ht="15.6" x14ac:dyDescent="0.3">
      <c r="A10" s="286"/>
      <c r="B10" s="294" t="s">
        <v>1348</v>
      </c>
      <c r="C10" s="286"/>
      <c r="D10" s="288"/>
      <c r="E10" s="172">
        <v>0</v>
      </c>
      <c r="F10" s="289"/>
      <c r="G10" s="289"/>
    </row>
    <row r="11" spans="1:10" ht="15.6" x14ac:dyDescent="0.3">
      <c r="A11" s="286">
        <f>A8+1</f>
        <v>2</v>
      </c>
      <c r="B11" s="291" t="s">
        <v>1400</v>
      </c>
      <c r="C11" s="286" t="s">
        <v>193</v>
      </c>
      <c r="D11" s="288">
        <v>6</v>
      </c>
      <c r="E11" s="172">
        <v>7049.5719000000008</v>
      </c>
      <c r="F11" s="289">
        <f t="shared" ref="F11:F20" si="1">ROUND(E11*D11,2)</f>
        <v>42297.43</v>
      </c>
      <c r="G11" s="289">
        <f t="shared" ref="G11:G20" si="2">ROUND(F11*1.2,2)</f>
        <v>50756.92</v>
      </c>
    </row>
    <row r="12" spans="1:10" ht="15.6" x14ac:dyDescent="0.3">
      <c r="A12" s="286">
        <f>A11+1</f>
        <v>3</v>
      </c>
      <c r="B12" s="291" t="s">
        <v>1490</v>
      </c>
      <c r="C12" s="286" t="s">
        <v>193</v>
      </c>
      <c r="D12" s="288">
        <v>1.77</v>
      </c>
      <c r="E12" s="172">
        <v>6793.106670000001</v>
      </c>
      <c r="F12" s="289">
        <f t="shared" si="1"/>
        <v>12023.8</v>
      </c>
      <c r="G12" s="289">
        <f t="shared" si="2"/>
        <v>14428.56</v>
      </c>
    </row>
    <row r="13" spans="1:10" ht="15.6" x14ac:dyDescent="0.3">
      <c r="A13" s="286">
        <f>A12+1</f>
        <v>4</v>
      </c>
      <c r="B13" s="291" t="s">
        <v>1491</v>
      </c>
      <c r="C13" s="286" t="s">
        <v>193</v>
      </c>
      <c r="D13" s="288">
        <v>9.51</v>
      </c>
      <c r="E13" s="172">
        <v>1701.1764000000003</v>
      </c>
      <c r="F13" s="289">
        <f t="shared" si="1"/>
        <v>16178.19</v>
      </c>
      <c r="G13" s="289">
        <f t="shared" si="2"/>
        <v>19413.830000000002</v>
      </c>
    </row>
    <row r="14" spans="1:10" ht="15.6" x14ac:dyDescent="0.3">
      <c r="A14" s="286">
        <f>A13+1</f>
        <v>5</v>
      </c>
      <c r="B14" s="291" t="s">
        <v>1492</v>
      </c>
      <c r="C14" s="286" t="s">
        <v>239</v>
      </c>
      <c r="D14" s="288">
        <v>0.6</v>
      </c>
      <c r="E14" s="172">
        <v>109545.45</v>
      </c>
      <c r="F14" s="289">
        <f t="shared" si="1"/>
        <v>65727.27</v>
      </c>
      <c r="G14" s="289">
        <f t="shared" si="2"/>
        <v>78872.72</v>
      </c>
    </row>
    <row r="15" spans="1:10" ht="15.6" x14ac:dyDescent="0.3">
      <c r="A15" s="286">
        <f t="shared" ref="A15:A18" si="3">A14+1</f>
        <v>6</v>
      </c>
      <c r="B15" s="291" t="s">
        <v>1493</v>
      </c>
      <c r="C15" s="286" t="s">
        <v>239</v>
      </c>
      <c r="D15" s="288">
        <v>0.12</v>
      </c>
      <c r="E15" s="172">
        <v>109545.45</v>
      </c>
      <c r="F15" s="289">
        <f t="shared" si="1"/>
        <v>13145.45</v>
      </c>
      <c r="G15" s="289">
        <f t="shared" si="2"/>
        <v>15774.54</v>
      </c>
    </row>
    <row r="16" spans="1:10" ht="15.6" x14ac:dyDescent="0.3">
      <c r="A16" s="286">
        <f t="shared" si="3"/>
        <v>7</v>
      </c>
      <c r="B16" s="291" t="s">
        <v>1403</v>
      </c>
      <c r="C16" s="286" t="s">
        <v>239</v>
      </c>
      <c r="D16" s="288">
        <v>0.17</v>
      </c>
      <c r="E16" s="172">
        <v>109545.45</v>
      </c>
      <c r="F16" s="289">
        <f t="shared" si="1"/>
        <v>18622.73</v>
      </c>
      <c r="G16" s="289">
        <f t="shared" si="2"/>
        <v>22347.279999999999</v>
      </c>
    </row>
    <row r="17" spans="1:7" ht="15.6" x14ac:dyDescent="0.3">
      <c r="A17" s="286">
        <f t="shared" si="3"/>
        <v>8</v>
      </c>
      <c r="B17" s="291" t="s">
        <v>1494</v>
      </c>
      <c r="C17" s="286" t="s">
        <v>239</v>
      </c>
      <c r="D17" s="302">
        <v>5.3999999999999999E-2</v>
      </c>
      <c r="E17" s="172">
        <v>114700.53</v>
      </c>
      <c r="F17" s="289">
        <f t="shared" si="1"/>
        <v>6193.83</v>
      </c>
      <c r="G17" s="289">
        <f t="shared" si="2"/>
        <v>7432.6</v>
      </c>
    </row>
    <row r="18" spans="1:7" ht="15.6" x14ac:dyDescent="0.3">
      <c r="A18" s="286">
        <f t="shared" si="3"/>
        <v>9</v>
      </c>
      <c r="B18" s="291" t="s">
        <v>1407</v>
      </c>
      <c r="C18" s="286" t="s">
        <v>193</v>
      </c>
      <c r="D18" s="288">
        <v>0.48</v>
      </c>
      <c r="E18" s="172">
        <v>5283.9570000000003</v>
      </c>
      <c r="F18" s="289">
        <f t="shared" si="1"/>
        <v>2536.3000000000002</v>
      </c>
      <c r="G18" s="289">
        <f t="shared" si="2"/>
        <v>3043.56</v>
      </c>
    </row>
    <row r="19" spans="1:7" ht="15.6" x14ac:dyDescent="0.3">
      <c r="A19" s="286">
        <f>A17+1</f>
        <v>9</v>
      </c>
      <c r="B19" s="291" t="s">
        <v>388</v>
      </c>
      <c r="C19" s="286" t="s">
        <v>254</v>
      </c>
      <c r="D19" s="288">
        <v>47.88</v>
      </c>
      <c r="E19" s="172">
        <v>402.09624000000002</v>
      </c>
      <c r="F19" s="289">
        <f t="shared" si="1"/>
        <v>19252.37</v>
      </c>
      <c r="G19" s="289">
        <f t="shared" si="2"/>
        <v>23102.84</v>
      </c>
    </row>
    <row r="20" spans="1:7" ht="15.6" x14ac:dyDescent="0.3">
      <c r="A20" s="286">
        <f t="shared" ref="A20" si="4">A19+1</f>
        <v>10</v>
      </c>
      <c r="B20" s="291" t="s">
        <v>1406</v>
      </c>
      <c r="C20" s="286" t="s">
        <v>387</v>
      </c>
      <c r="D20" s="288">
        <f>10.26*20/16</f>
        <v>12.824999999999999</v>
      </c>
      <c r="E20" s="172">
        <v>322.1925</v>
      </c>
      <c r="F20" s="289">
        <f t="shared" si="1"/>
        <v>4132.12</v>
      </c>
      <c r="G20" s="289">
        <f t="shared" si="2"/>
        <v>4958.54</v>
      </c>
    </row>
    <row r="21" spans="1:7" ht="20.25" customHeight="1" x14ac:dyDescent="0.3">
      <c r="A21" s="286"/>
      <c r="B21" s="294" t="s">
        <v>1495</v>
      </c>
      <c r="C21" s="286"/>
      <c r="D21" s="299"/>
      <c r="E21" s="172">
        <v>0</v>
      </c>
      <c r="F21" s="289"/>
      <c r="G21" s="289"/>
    </row>
    <row r="22" spans="1:7" ht="20.25" customHeight="1" x14ac:dyDescent="0.3">
      <c r="A22" s="286"/>
      <c r="B22" s="294" t="s">
        <v>1345</v>
      </c>
      <c r="C22" s="286"/>
      <c r="D22" s="299"/>
      <c r="E22" s="172">
        <v>0</v>
      </c>
      <c r="F22" s="289"/>
      <c r="G22" s="289"/>
    </row>
    <row r="23" spans="1:7" ht="15.6" x14ac:dyDescent="0.3">
      <c r="A23" s="286">
        <f>A20+1</f>
        <v>11</v>
      </c>
      <c r="B23" s="291" t="s">
        <v>1399</v>
      </c>
      <c r="C23" s="286" t="s">
        <v>220</v>
      </c>
      <c r="D23" s="299">
        <v>13</v>
      </c>
      <c r="E23" s="172">
        <v>2873.9571000000001</v>
      </c>
      <c r="F23" s="289">
        <f>ROUND(E23*D23,2)</f>
        <v>37361.440000000002</v>
      </c>
      <c r="G23" s="289">
        <f t="shared" ref="G23" si="5">ROUND(F23*1.2,2)</f>
        <v>44833.73</v>
      </c>
    </row>
    <row r="24" spans="1:7" ht="15.6" x14ac:dyDescent="0.3">
      <c r="A24" s="286"/>
      <c r="B24" s="294" t="s">
        <v>1347</v>
      </c>
      <c r="C24" s="293"/>
      <c r="D24" s="299"/>
      <c r="E24" s="172">
        <v>0</v>
      </c>
      <c r="F24" s="289"/>
      <c r="G24" s="289"/>
    </row>
    <row r="25" spans="1:7" ht="15.6" x14ac:dyDescent="0.3">
      <c r="A25" s="286"/>
      <c r="B25" s="294" t="s">
        <v>1348</v>
      </c>
      <c r="C25" s="286"/>
      <c r="D25" s="288"/>
      <c r="E25" s="172">
        <v>0</v>
      </c>
      <c r="F25" s="289"/>
      <c r="G25" s="289"/>
    </row>
    <row r="26" spans="1:7" ht="15.6" x14ac:dyDescent="0.3">
      <c r="A26" s="286">
        <f>A23+1</f>
        <v>12</v>
      </c>
      <c r="B26" s="291" t="s">
        <v>1400</v>
      </c>
      <c r="C26" s="286" t="s">
        <v>193</v>
      </c>
      <c r="D26" s="288">
        <v>4.51</v>
      </c>
      <c r="E26" s="172">
        <v>7049.5719000000008</v>
      </c>
      <c r="F26" s="289">
        <f t="shared" ref="F26:F35" si="6">ROUND(E26*D26,2)</f>
        <v>31793.57</v>
      </c>
      <c r="G26" s="289">
        <f t="shared" ref="G26:G35" si="7">ROUND(F26*1.2,2)</f>
        <v>38152.28</v>
      </c>
    </row>
    <row r="27" spans="1:7" ht="15.6" x14ac:dyDescent="0.3">
      <c r="A27" s="286">
        <f>A26+1</f>
        <v>13</v>
      </c>
      <c r="B27" s="291" t="s">
        <v>1490</v>
      </c>
      <c r="C27" s="286" t="s">
        <v>193</v>
      </c>
      <c r="D27" s="288">
        <v>1.5</v>
      </c>
      <c r="E27" s="172">
        <v>6793.106670000001</v>
      </c>
      <c r="F27" s="289">
        <f t="shared" si="6"/>
        <v>10189.66</v>
      </c>
      <c r="G27" s="289">
        <f t="shared" si="7"/>
        <v>12227.59</v>
      </c>
    </row>
    <row r="28" spans="1:7" ht="15.6" x14ac:dyDescent="0.3">
      <c r="A28" s="286">
        <f>A27+1</f>
        <v>14</v>
      </c>
      <c r="B28" s="291" t="s">
        <v>1491</v>
      </c>
      <c r="C28" s="286" t="s">
        <v>193</v>
      </c>
      <c r="D28" s="288">
        <v>7.4</v>
      </c>
      <c r="E28" s="172">
        <v>1701.1764000000003</v>
      </c>
      <c r="F28" s="289">
        <f t="shared" si="6"/>
        <v>12588.71</v>
      </c>
      <c r="G28" s="289">
        <f t="shared" si="7"/>
        <v>15106.45</v>
      </c>
    </row>
    <row r="29" spans="1:7" ht="15.6" x14ac:dyDescent="0.3">
      <c r="A29" s="286">
        <f>A28+1</f>
        <v>15</v>
      </c>
      <c r="B29" s="291" t="s">
        <v>1492</v>
      </c>
      <c r="C29" s="286" t="s">
        <v>239</v>
      </c>
      <c r="D29" s="302">
        <v>0.53200000000000003</v>
      </c>
      <c r="E29" s="172">
        <v>109545.45</v>
      </c>
      <c r="F29" s="289">
        <f t="shared" si="6"/>
        <v>58278.18</v>
      </c>
      <c r="G29" s="289">
        <f t="shared" si="7"/>
        <v>69933.820000000007</v>
      </c>
    </row>
    <row r="30" spans="1:7" ht="15.6" x14ac:dyDescent="0.3">
      <c r="A30" s="286">
        <f t="shared" ref="A30:A33" si="8">A29+1</f>
        <v>16</v>
      </c>
      <c r="B30" s="291" t="s">
        <v>1493</v>
      </c>
      <c r="C30" s="286" t="s">
        <v>239</v>
      </c>
      <c r="D30" s="302">
        <v>9.9000000000000005E-2</v>
      </c>
      <c r="E30" s="172">
        <v>109545.45</v>
      </c>
      <c r="F30" s="289">
        <f t="shared" si="6"/>
        <v>10845</v>
      </c>
      <c r="G30" s="289">
        <f t="shared" si="7"/>
        <v>13014</v>
      </c>
    </row>
    <row r="31" spans="1:7" ht="15.6" x14ac:dyDescent="0.3">
      <c r="A31" s="286">
        <f t="shared" si="8"/>
        <v>17</v>
      </c>
      <c r="B31" s="291" t="s">
        <v>1403</v>
      </c>
      <c r="C31" s="286" t="s">
        <v>239</v>
      </c>
      <c r="D31" s="288">
        <v>0.03</v>
      </c>
      <c r="E31" s="172">
        <v>109545.45</v>
      </c>
      <c r="F31" s="289">
        <f t="shared" si="6"/>
        <v>3286.36</v>
      </c>
      <c r="G31" s="289">
        <f t="shared" si="7"/>
        <v>3943.63</v>
      </c>
    </row>
    <row r="32" spans="1:7" ht="15.6" x14ac:dyDescent="0.3">
      <c r="A32" s="286">
        <f t="shared" si="8"/>
        <v>18</v>
      </c>
      <c r="B32" s="291" t="s">
        <v>1494</v>
      </c>
      <c r="C32" s="286" t="s">
        <v>239</v>
      </c>
      <c r="D32" s="302">
        <v>5.3999999999999999E-2</v>
      </c>
      <c r="E32" s="172">
        <v>114700.53</v>
      </c>
      <c r="F32" s="289">
        <f t="shared" si="6"/>
        <v>6193.83</v>
      </c>
      <c r="G32" s="289">
        <f t="shared" si="7"/>
        <v>7432.6</v>
      </c>
    </row>
    <row r="33" spans="1:7" ht="15.6" x14ac:dyDescent="0.3">
      <c r="A33" s="286">
        <f t="shared" si="8"/>
        <v>19</v>
      </c>
      <c r="B33" s="291" t="s">
        <v>1407</v>
      </c>
      <c r="C33" s="286" t="s">
        <v>193</v>
      </c>
      <c r="D33" s="288">
        <v>0.41</v>
      </c>
      <c r="E33" s="172">
        <v>5283.9570000000003</v>
      </c>
      <c r="F33" s="289">
        <f t="shared" si="6"/>
        <v>2166.42</v>
      </c>
      <c r="G33" s="289">
        <f t="shared" si="7"/>
        <v>2599.6999999999998</v>
      </c>
    </row>
    <row r="34" spans="1:7" ht="15.6" x14ac:dyDescent="0.3">
      <c r="A34" s="286">
        <f>A32+1</f>
        <v>19</v>
      </c>
      <c r="B34" s="291" t="s">
        <v>388</v>
      </c>
      <c r="C34" s="286" t="s">
        <v>254</v>
      </c>
      <c r="D34" s="288">
        <v>40.880000000000003</v>
      </c>
      <c r="E34" s="172">
        <v>402.09624000000002</v>
      </c>
      <c r="F34" s="289">
        <f t="shared" si="6"/>
        <v>16437.689999999999</v>
      </c>
      <c r="G34" s="289">
        <f t="shared" si="7"/>
        <v>19725.23</v>
      </c>
    </row>
    <row r="35" spans="1:7" ht="15.6" x14ac:dyDescent="0.3">
      <c r="A35" s="286">
        <f t="shared" ref="A35" si="9">A34+1</f>
        <v>20</v>
      </c>
      <c r="B35" s="291" t="s">
        <v>1406</v>
      </c>
      <c r="C35" s="286" t="s">
        <v>387</v>
      </c>
      <c r="D35" s="288">
        <f>8.76*20/16</f>
        <v>10.95</v>
      </c>
      <c r="E35" s="172">
        <v>322.1925</v>
      </c>
      <c r="F35" s="289">
        <f t="shared" si="6"/>
        <v>3528.01</v>
      </c>
      <c r="G35" s="289">
        <f t="shared" si="7"/>
        <v>4233.6099999999997</v>
      </c>
    </row>
    <row r="36" spans="1:7" s="57" customFormat="1" ht="15.6" x14ac:dyDescent="0.3">
      <c r="A36" s="286"/>
      <c r="B36" s="294" t="s">
        <v>1466</v>
      </c>
      <c r="C36" s="286"/>
      <c r="D36" s="288"/>
      <c r="E36" s="172">
        <v>0</v>
      </c>
      <c r="F36" s="289"/>
      <c r="G36" s="289"/>
    </row>
    <row r="37" spans="1:7" ht="15.6" x14ac:dyDescent="0.3">
      <c r="A37" s="286">
        <f>A35+1</f>
        <v>21</v>
      </c>
      <c r="B37" s="291" t="s">
        <v>1400</v>
      </c>
      <c r="C37" s="286" t="s">
        <v>193</v>
      </c>
      <c r="D37" s="288">
        <v>2.5499999999999998</v>
      </c>
      <c r="E37" s="172">
        <v>7049.5719000000008</v>
      </c>
      <c r="F37" s="289">
        <f t="shared" ref="F37:F43" si="10">ROUND(E37*D37,2)</f>
        <v>17976.41</v>
      </c>
      <c r="G37" s="289">
        <f t="shared" ref="G37:G43" si="11">ROUND(F37*1.2,2)</f>
        <v>21571.69</v>
      </c>
    </row>
    <row r="38" spans="1:7" ht="15.6" x14ac:dyDescent="0.3">
      <c r="A38" s="286">
        <f>A37+1</f>
        <v>22</v>
      </c>
      <c r="B38" s="291" t="s">
        <v>1490</v>
      </c>
      <c r="C38" s="286" t="s">
        <v>193</v>
      </c>
      <c r="D38" s="288">
        <v>1.46</v>
      </c>
      <c r="E38" s="172">
        <v>6793.106670000001</v>
      </c>
      <c r="F38" s="289">
        <f t="shared" si="10"/>
        <v>9917.94</v>
      </c>
      <c r="G38" s="289">
        <f t="shared" si="11"/>
        <v>11901.53</v>
      </c>
    </row>
    <row r="39" spans="1:7" ht="15.6" x14ac:dyDescent="0.3">
      <c r="A39" s="286">
        <f>A38+1</f>
        <v>23</v>
      </c>
      <c r="B39" s="291" t="s">
        <v>1491</v>
      </c>
      <c r="C39" s="286" t="s">
        <v>193</v>
      </c>
      <c r="D39" s="288">
        <v>1.64</v>
      </c>
      <c r="E39" s="172">
        <v>1701.1764000000003</v>
      </c>
      <c r="F39" s="289">
        <f t="shared" si="10"/>
        <v>2789.93</v>
      </c>
      <c r="G39" s="289">
        <f t="shared" si="11"/>
        <v>3347.92</v>
      </c>
    </row>
    <row r="40" spans="1:7" s="57" customFormat="1" ht="15.6" x14ac:dyDescent="0.3">
      <c r="A40" s="286">
        <f t="shared" ref="A40:A43" si="12">A39+1</f>
        <v>24</v>
      </c>
      <c r="B40" s="291" t="s">
        <v>1496</v>
      </c>
      <c r="C40" s="286" t="s">
        <v>239</v>
      </c>
      <c r="D40" s="302">
        <v>0.154</v>
      </c>
      <c r="E40" s="172">
        <v>109545.45</v>
      </c>
      <c r="F40" s="289">
        <f t="shared" si="10"/>
        <v>16870</v>
      </c>
      <c r="G40" s="289">
        <f t="shared" si="11"/>
        <v>20244</v>
      </c>
    </row>
    <row r="41" spans="1:7" s="57" customFormat="1" ht="15.6" x14ac:dyDescent="0.3">
      <c r="A41" s="286">
        <f t="shared" si="12"/>
        <v>25</v>
      </c>
      <c r="B41" s="291" t="s">
        <v>1497</v>
      </c>
      <c r="C41" s="286" t="s">
        <v>239</v>
      </c>
      <c r="D41" s="302">
        <v>4.0000000000000001E-3</v>
      </c>
      <c r="E41" s="172">
        <v>109545.45</v>
      </c>
      <c r="F41" s="289">
        <f t="shared" si="10"/>
        <v>438.18</v>
      </c>
      <c r="G41" s="289">
        <f t="shared" si="11"/>
        <v>525.82000000000005</v>
      </c>
    </row>
    <row r="42" spans="1:7" ht="15.6" x14ac:dyDescent="0.3">
      <c r="A42" s="286">
        <f t="shared" si="12"/>
        <v>26</v>
      </c>
      <c r="B42" s="291" t="s">
        <v>388</v>
      </c>
      <c r="C42" s="286" t="s">
        <v>254</v>
      </c>
      <c r="D42" s="288">
        <v>23.7</v>
      </c>
      <c r="E42" s="172">
        <v>402.09624000000002</v>
      </c>
      <c r="F42" s="289">
        <f t="shared" si="10"/>
        <v>9529.68</v>
      </c>
      <c r="G42" s="289">
        <f t="shared" si="11"/>
        <v>11435.62</v>
      </c>
    </row>
    <row r="43" spans="1:7" ht="15.6" x14ac:dyDescent="0.3">
      <c r="A43" s="286">
        <f t="shared" si="12"/>
        <v>27</v>
      </c>
      <c r="B43" s="291" t="s">
        <v>1406</v>
      </c>
      <c r="C43" s="286" t="s">
        <v>387</v>
      </c>
      <c r="D43" s="288">
        <f>5.1*20/16</f>
        <v>6.375</v>
      </c>
      <c r="E43" s="172">
        <v>322.1925</v>
      </c>
      <c r="F43" s="289">
        <f t="shared" si="10"/>
        <v>2053.98</v>
      </c>
      <c r="G43" s="289">
        <f t="shared" si="11"/>
        <v>2464.7800000000002</v>
      </c>
    </row>
    <row r="44" spans="1:7" s="57" customFormat="1" ht="15.6" x14ac:dyDescent="0.3">
      <c r="A44" s="286"/>
      <c r="B44" s="294" t="s">
        <v>1470</v>
      </c>
      <c r="C44" s="286"/>
      <c r="D44" s="288"/>
      <c r="E44" s="172">
        <v>0</v>
      </c>
      <c r="F44" s="289"/>
      <c r="G44" s="289"/>
    </row>
    <row r="45" spans="1:7" ht="15.6" x14ac:dyDescent="0.3">
      <c r="A45" s="286">
        <f>A43+1</f>
        <v>28</v>
      </c>
      <c r="B45" s="291" t="s">
        <v>1400</v>
      </c>
      <c r="C45" s="286" t="s">
        <v>193</v>
      </c>
      <c r="D45" s="288">
        <v>2.93</v>
      </c>
      <c r="E45" s="172">
        <v>7049.5719000000008</v>
      </c>
      <c r="F45" s="289">
        <f t="shared" ref="F45:F51" si="13">ROUND(E45*D45,2)</f>
        <v>20655.25</v>
      </c>
      <c r="G45" s="289">
        <f t="shared" ref="G45:G51" si="14">ROUND(F45*1.2,2)</f>
        <v>24786.3</v>
      </c>
    </row>
    <row r="46" spans="1:7" ht="15.6" x14ac:dyDescent="0.3">
      <c r="A46" s="286">
        <f>A45+1</f>
        <v>29</v>
      </c>
      <c r="B46" s="291" t="s">
        <v>1490</v>
      </c>
      <c r="C46" s="286" t="s">
        <v>193</v>
      </c>
      <c r="D46" s="288">
        <v>1.67</v>
      </c>
      <c r="E46" s="172">
        <v>6793.106670000001</v>
      </c>
      <c r="F46" s="289">
        <f t="shared" si="13"/>
        <v>11344.49</v>
      </c>
      <c r="G46" s="289">
        <f t="shared" si="14"/>
        <v>13613.39</v>
      </c>
    </row>
    <row r="47" spans="1:7" ht="15.6" x14ac:dyDescent="0.3">
      <c r="A47" s="286">
        <f>A46+1</f>
        <v>30</v>
      </c>
      <c r="B47" s="291" t="s">
        <v>1491</v>
      </c>
      <c r="C47" s="286" t="s">
        <v>193</v>
      </c>
      <c r="D47" s="288">
        <v>1.88</v>
      </c>
      <c r="E47" s="172">
        <v>1701.1764000000003</v>
      </c>
      <c r="F47" s="289">
        <f t="shared" si="13"/>
        <v>3198.21</v>
      </c>
      <c r="G47" s="289">
        <f t="shared" si="14"/>
        <v>3837.85</v>
      </c>
    </row>
    <row r="48" spans="1:7" s="57" customFormat="1" ht="15.6" x14ac:dyDescent="0.3">
      <c r="A48" s="286">
        <f t="shared" ref="A48:A51" si="15">A47+1</f>
        <v>31</v>
      </c>
      <c r="B48" s="291" t="s">
        <v>1496</v>
      </c>
      <c r="C48" s="286" t="s">
        <v>239</v>
      </c>
      <c r="D48" s="302">
        <v>0.17799999999999999</v>
      </c>
      <c r="E48" s="172">
        <v>109545.45</v>
      </c>
      <c r="F48" s="289">
        <f t="shared" si="13"/>
        <v>19499.09</v>
      </c>
      <c r="G48" s="289">
        <f t="shared" si="14"/>
        <v>23398.91</v>
      </c>
    </row>
    <row r="49" spans="1:7" s="57" customFormat="1" ht="15.6" x14ac:dyDescent="0.3">
      <c r="A49" s="286">
        <f t="shared" si="15"/>
        <v>32</v>
      </c>
      <c r="B49" s="291" t="s">
        <v>1497</v>
      </c>
      <c r="C49" s="286" t="s">
        <v>239</v>
      </c>
      <c r="D49" s="302">
        <v>5.0000000000000001E-3</v>
      </c>
      <c r="E49" s="172">
        <v>109545.45</v>
      </c>
      <c r="F49" s="289">
        <f t="shared" si="13"/>
        <v>547.73</v>
      </c>
      <c r="G49" s="289">
        <f t="shared" si="14"/>
        <v>657.28</v>
      </c>
    </row>
    <row r="50" spans="1:7" ht="15.6" x14ac:dyDescent="0.3">
      <c r="A50" s="286">
        <f t="shared" si="15"/>
        <v>33</v>
      </c>
      <c r="B50" s="291" t="s">
        <v>388</v>
      </c>
      <c r="C50" s="286" t="s">
        <v>254</v>
      </c>
      <c r="D50" s="288">
        <v>27.1</v>
      </c>
      <c r="E50" s="172">
        <v>402.09624000000002</v>
      </c>
      <c r="F50" s="289">
        <f t="shared" si="13"/>
        <v>10896.81</v>
      </c>
      <c r="G50" s="289">
        <f t="shared" si="14"/>
        <v>13076.17</v>
      </c>
    </row>
    <row r="51" spans="1:7" ht="15.6" x14ac:dyDescent="0.3">
      <c r="A51" s="286">
        <f t="shared" si="15"/>
        <v>34</v>
      </c>
      <c r="B51" s="291" t="s">
        <v>1406</v>
      </c>
      <c r="C51" s="286" t="s">
        <v>387</v>
      </c>
      <c r="D51" s="288">
        <f>5.8*20/16</f>
        <v>7.25</v>
      </c>
      <c r="E51" s="172">
        <v>322.1925</v>
      </c>
      <c r="F51" s="289">
        <f t="shared" si="13"/>
        <v>2335.9</v>
      </c>
      <c r="G51" s="289">
        <f t="shared" si="14"/>
        <v>2803.08</v>
      </c>
    </row>
    <row r="52" spans="1:7" s="57" customFormat="1" ht="15.6" x14ac:dyDescent="0.3">
      <c r="A52" s="286"/>
      <c r="B52" s="294" t="s">
        <v>1471</v>
      </c>
      <c r="C52" s="286"/>
      <c r="D52" s="288"/>
      <c r="E52" s="172">
        <v>0</v>
      </c>
      <c r="F52" s="289"/>
      <c r="G52" s="289"/>
    </row>
    <row r="53" spans="1:7" ht="15.6" x14ac:dyDescent="0.3">
      <c r="A53" s="286">
        <f>A51+1</f>
        <v>35</v>
      </c>
      <c r="B53" s="291" t="s">
        <v>1400</v>
      </c>
      <c r="C53" s="286" t="s">
        <v>193</v>
      </c>
      <c r="D53" s="288">
        <v>1.68</v>
      </c>
      <c r="E53" s="172">
        <v>7049.5719000000008</v>
      </c>
      <c r="F53" s="289">
        <f t="shared" ref="F53:F59" si="16">ROUND(E53*D53,2)</f>
        <v>11843.28</v>
      </c>
      <c r="G53" s="289">
        <f t="shared" ref="G53:G59" si="17">ROUND(F53*1.2,2)</f>
        <v>14211.94</v>
      </c>
    </row>
    <row r="54" spans="1:7" ht="15.6" x14ac:dyDescent="0.3">
      <c r="A54" s="286">
        <f>A53+1</f>
        <v>36</v>
      </c>
      <c r="B54" s="291" t="s">
        <v>1490</v>
      </c>
      <c r="C54" s="286" t="s">
        <v>193</v>
      </c>
      <c r="D54" s="288">
        <v>0.96</v>
      </c>
      <c r="E54" s="172">
        <v>6793.106670000001</v>
      </c>
      <c r="F54" s="289">
        <f t="shared" si="16"/>
        <v>6521.38</v>
      </c>
      <c r="G54" s="289">
        <f t="shared" si="17"/>
        <v>7825.66</v>
      </c>
    </row>
    <row r="55" spans="1:7" ht="15.6" x14ac:dyDescent="0.3">
      <c r="A55" s="286">
        <f>A54+1</f>
        <v>37</v>
      </c>
      <c r="B55" s="291" t="s">
        <v>1491</v>
      </c>
      <c r="C55" s="286" t="s">
        <v>193</v>
      </c>
      <c r="D55" s="288">
        <v>1.08</v>
      </c>
      <c r="E55" s="172">
        <v>1701.1764000000003</v>
      </c>
      <c r="F55" s="289">
        <f t="shared" si="16"/>
        <v>1837.27</v>
      </c>
      <c r="G55" s="289">
        <f t="shared" si="17"/>
        <v>2204.7199999999998</v>
      </c>
    </row>
    <row r="56" spans="1:7" s="57" customFormat="1" ht="15.6" x14ac:dyDescent="0.3">
      <c r="A56" s="286">
        <f t="shared" ref="A56:A59" si="18">A55+1</f>
        <v>38</v>
      </c>
      <c r="B56" s="291" t="s">
        <v>1496</v>
      </c>
      <c r="C56" s="286" t="s">
        <v>239</v>
      </c>
      <c r="D56" s="302">
        <v>0.11</v>
      </c>
      <c r="E56" s="172">
        <v>109545.45</v>
      </c>
      <c r="F56" s="289">
        <f t="shared" si="16"/>
        <v>12050</v>
      </c>
      <c r="G56" s="289">
        <f t="shared" si="17"/>
        <v>14460</v>
      </c>
    </row>
    <row r="57" spans="1:7" s="57" customFormat="1" ht="15.6" x14ac:dyDescent="0.3">
      <c r="A57" s="286">
        <f t="shared" si="18"/>
        <v>39</v>
      </c>
      <c r="B57" s="291" t="s">
        <v>1497</v>
      </c>
      <c r="C57" s="286" t="s">
        <v>239</v>
      </c>
      <c r="D57" s="302">
        <v>3.0000000000000001E-3</v>
      </c>
      <c r="E57" s="172">
        <v>109545.45</v>
      </c>
      <c r="F57" s="289">
        <f t="shared" si="16"/>
        <v>328.64</v>
      </c>
      <c r="G57" s="289">
        <f t="shared" si="17"/>
        <v>394.37</v>
      </c>
    </row>
    <row r="58" spans="1:7" ht="15.6" x14ac:dyDescent="0.3">
      <c r="A58" s="286">
        <f t="shared" si="18"/>
        <v>40</v>
      </c>
      <c r="B58" s="291" t="s">
        <v>388</v>
      </c>
      <c r="C58" s="286" t="s">
        <v>254</v>
      </c>
      <c r="D58" s="288">
        <v>15.9</v>
      </c>
      <c r="E58" s="172">
        <v>402.09624000000002</v>
      </c>
      <c r="F58" s="289">
        <f t="shared" si="16"/>
        <v>6393.33</v>
      </c>
      <c r="G58" s="289">
        <f t="shared" si="17"/>
        <v>7672</v>
      </c>
    </row>
    <row r="59" spans="1:7" ht="15.6" x14ac:dyDescent="0.3">
      <c r="A59" s="286">
        <f t="shared" si="18"/>
        <v>41</v>
      </c>
      <c r="B59" s="291" t="s">
        <v>1406</v>
      </c>
      <c r="C59" s="286" t="s">
        <v>387</v>
      </c>
      <c r="D59" s="288">
        <f>3.4*20/16</f>
        <v>4.25</v>
      </c>
      <c r="E59" s="172">
        <v>322.1925</v>
      </c>
      <c r="F59" s="289">
        <f t="shared" si="16"/>
        <v>1369.32</v>
      </c>
      <c r="G59" s="289">
        <f t="shared" si="17"/>
        <v>1643.18</v>
      </c>
    </row>
    <row r="60" spans="1:7" s="57" customFormat="1" ht="15.6" x14ac:dyDescent="0.3">
      <c r="A60" s="286"/>
      <c r="B60" s="294" t="s">
        <v>1472</v>
      </c>
      <c r="C60" s="286"/>
      <c r="D60" s="288"/>
      <c r="E60" s="172">
        <v>0</v>
      </c>
      <c r="F60" s="289"/>
      <c r="G60" s="289"/>
    </row>
    <row r="61" spans="1:7" ht="15.6" x14ac:dyDescent="0.3">
      <c r="A61" s="286">
        <f>A59+1</f>
        <v>42</v>
      </c>
      <c r="B61" s="291" t="s">
        <v>1400</v>
      </c>
      <c r="C61" s="286" t="s">
        <v>193</v>
      </c>
      <c r="D61" s="288">
        <v>2.8</v>
      </c>
      <c r="E61" s="172">
        <v>7049.5719000000008</v>
      </c>
      <c r="F61" s="289">
        <f t="shared" ref="F61:F67" si="19">ROUND(E61*D61,2)</f>
        <v>19738.8</v>
      </c>
      <c r="G61" s="289">
        <f t="shared" ref="G61:G67" si="20">ROUND(F61*1.2,2)</f>
        <v>23686.560000000001</v>
      </c>
    </row>
    <row r="62" spans="1:7" ht="15.6" x14ac:dyDescent="0.3">
      <c r="A62" s="286">
        <f>A61+1</f>
        <v>43</v>
      </c>
      <c r="B62" s="291" t="s">
        <v>1490</v>
      </c>
      <c r="C62" s="286" t="s">
        <v>193</v>
      </c>
      <c r="D62" s="288">
        <v>1.6</v>
      </c>
      <c r="E62" s="172">
        <v>6793.106670000001</v>
      </c>
      <c r="F62" s="289">
        <f t="shared" si="19"/>
        <v>10868.97</v>
      </c>
      <c r="G62" s="289">
        <f t="shared" si="20"/>
        <v>13042.76</v>
      </c>
    </row>
    <row r="63" spans="1:7" ht="15.6" x14ac:dyDescent="0.3">
      <c r="A63" s="286">
        <f>A62+1</f>
        <v>44</v>
      </c>
      <c r="B63" s="291" t="s">
        <v>1491</v>
      </c>
      <c r="C63" s="286" t="s">
        <v>193</v>
      </c>
      <c r="D63" s="288">
        <v>1.8</v>
      </c>
      <c r="E63" s="172">
        <v>1701.1764000000003</v>
      </c>
      <c r="F63" s="289">
        <f t="shared" si="19"/>
        <v>3062.12</v>
      </c>
      <c r="G63" s="289">
        <f t="shared" si="20"/>
        <v>3674.54</v>
      </c>
    </row>
    <row r="64" spans="1:7" s="57" customFormat="1" ht="15.6" x14ac:dyDescent="0.3">
      <c r="A64" s="286">
        <f t="shared" ref="A64:A67" si="21">A63+1</f>
        <v>45</v>
      </c>
      <c r="B64" s="291" t="s">
        <v>1496</v>
      </c>
      <c r="C64" s="286" t="s">
        <v>239</v>
      </c>
      <c r="D64" s="302">
        <v>0.154</v>
      </c>
      <c r="E64" s="172">
        <v>109545.45</v>
      </c>
      <c r="F64" s="289">
        <f t="shared" si="19"/>
        <v>16870</v>
      </c>
      <c r="G64" s="289">
        <f t="shared" si="20"/>
        <v>20244</v>
      </c>
    </row>
    <row r="65" spans="1:7" s="57" customFormat="1" ht="15.6" x14ac:dyDescent="0.3">
      <c r="A65" s="286">
        <f t="shared" si="21"/>
        <v>46</v>
      </c>
      <c r="B65" s="291" t="s">
        <v>1497</v>
      </c>
      <c r="C65" s="286" t="s">
        <v>239</v>
      </c>
      <c r="D65" s="302">
        <v>4.0000000000000001E-3</v>
      </c>
      <c r="E65" s="172">
        <v>109545.45</v>
      </c>
      <c r="F65" s="289">
        <f t="shared" si="19"/>
        <v>438.18</v>
      </c>
      <c r="G65" s="289">
        <f t="shared" si="20"/>
        <v>525.82000000000005</v>
      </c>
    </row>
    <row r="66" spans="1:7" ht="15.6" x14ac:dyDescent="0.3">
      <c r="A66" s="286">
        <f t="shared" si="21"/>
        <v>47</v>
      </c>
      <c r="B66" s="291" t="s">
        <v>388</v>
      </c>
      <c r="C66" s="286" t="s">
        <v>254</v>
      </c>
      <c r="D66" s="288">
        <v>26</v>
      </c>
      <c r="E66" s="172">
        <v>402.09624000000002</v>
      </c>
      <c r="F66" s="289">
        <f t="shared" si="19"/>
        <v>10454.5</v>
      </c>
      <c r="G66" s="289">
        <f t="shared" si="20"/>
        <v>12545.4</v>
      </c>
    </row>
    <row r="67" spans="1:7" ht="15.6" x14ac:dyDescent="0.3">
      <c r="A67" s="286">
        <f t="shared" si="21"/>
        <v>48</v>
      </c>
      <c r="B67" s="291" t="s">
        <v>1406</v>
      </c>
      <c r="C67" s="286" t="s">
        <v>387</v>
      </c>
      <c r="D67" s="288">
        <f>5.6*20/16</f>
        <v>7</v>
      </c>
      <c r="E67" s="172">
        <v>322.1925</v>
      </c>
      <c r="F67" s="289">
        <f t="shared" si="19"/>
        <v>2255.35</v>
      </c>
      <c r="G67" s="289">
        <f t="shared" si="20"/>
        <v>2706.42</v>
      </c>
    </row>
    <row r="68" spans="1:7" s="57" customFormat="1" ht="15.6" x14ac:dyDescent="0.3">
      <c r="A68" s="286"/>
      <c r="B68" s="294" t="s">
        <v>1473</v>
      </c>
      <c r="C68" s="286"/>
      <c r="D68" s="288"/>
      <c r="E68" s="172">
        <v>0</v>
      </c>
      <c r="F68" s="289"/>
      <c r="G68" s="289"/>
    </row>
    <row r="69" spans="1:7" ht="15.6" x14ac:dyDescent="0.3">
      <c r="A69" s="286">
        <f>A67+1</f>
        <v>49</v>
      </c>
      <c r="B69" s="291" t="s">
        <v>1400</v>
      </c>
      <c r="C69" s="286" t="s">
        <v>193</v>
      </c>
      <c r="D69" s="288">
        <v>1.68</v>
      </c>
      <c r="E69" s="172">
        <v>7049.5719000000008</v>
      </c>
      <c r="F69" s="289">
        <f t="shared" ref="F69:F75" si="22">ROUND(E69*D69,2)</f>
        <v>11843.28</v>
      </c>
      <c r="G69" s="289">
        <f t="shared" ref="G69:G75" si="23">ROUND(F69*1.2,2)</f>
        <v>14211.94</v>
      </c>
    </row>
    <row r="70" spans="1:7" ht="15.6" x14ac:dyDescent="0.3">
      <c r="A70" s="286">
        <f>A69+1</f>
        <v>50</v>
      </c>
      <c r="B70" s="291" t="s">
        <v>1490</v>
      </c>
      <c r="C70" s="286" t="s">
        <v>193</v>
      </c>
      <c r="D70" s="288">
        <v>0.96</v>
      </c>
      <c r="E70" s="172">
        <v>6793.106670000001</v>
      </c>
      <c r="F70" s="289">
        <f t="shared" si="22"/>
        <v>6521.38</v>
      </c>
      <c r="G70" s="289">
        <f t="shared" si="23"/>
        <v>7825.66</v>
      </c>
    </row>
    <row r="71" spans="1:7" ht="15.6" x14ac:dyDescent="0.3">
      <c r="A71" s="286">
        <f>A70+1</f>
        <v>51</v>
      </c>
      <c r="B71" s="291" t="s">
        <v>1491</v>
      </c>
      <c r="C71" s="286" t="s">
        <v>193</v>
      </c>
      <c r="D71" s="288">
        <v>1.08</v>
      </c>
      <c r="E71" s="172">
        <v>1701.1764000000003</v>
      </c>
      <c r="F71" s="289">
        <f t="shared" si="22"/>
        <v>1837.27</v>
      </c>
      <c r="G71" s="289">
        <f t="shared" si="23"/>
        <v>2204.7199999999998</v>
      </c>
    </row>
    <row r="72" spans="1:7" s="57" customFormat="1" ht="15.6" x14ac:dyDescent="0.3">
      <c r="A72" s="286">
        <f t="shared" ref="A72:A75" si="24">A71+1</f>
        <v>52</v>
      </c>
      <c r="B72" s="291" t="s">
        <v>1496</v>
      </c>
      <c r="C72" s="286" t="s">
        <v>239</v>
      </c>
      <c r="D72" s="302">
        <v>0.11</v>
      </c>
      <c r="E72" s="172">
        <v>109545.45</v>
      </c>
      <c r="F72" s="289">
        <f t="shared" si="22"/>
        <v>12050</v>
      </c>
      <c r="G72" s="289">
        <f t="shared" si="23"/>
        <v>14460</v>
      </c>
    </row>
    <row r="73" spans="1:7" s="57" customFormat="1" ht="15.6" x14ac:dyDescent="0.3">
      <c r="A73" s="286">
        <f t="shared" si="24"/>
        <v>53</v>
      </c>
      <c r="B73" s="291" t="s">
        <v>1497</v>
      </c>
      <c r="C73" s="286" t="s">
        <v>239</v>
      </c>
      <c r="D73" s="302">
        <v>3.0000000000000001E-3</v>
      </c>
      <c r="E73" s="172">
        <v>109545.45</v>
      </c>
      <c r="F73" s="289">
        <f t="shared" si="22"/>
        <v>328.64</v>
      </c>
      <c r="G73" s="289">
        <f t="shared" si="23"/>
        <v>394.37</v>
      </c>
    </row>
    <row r="74" spans="1:7" ht="15.6" x14ac:dyDescent="0.3">
      <c r="A74" s="286">
        <f t="shared" si="24"/>
        <v>54</v>
      </c>
      <c r="B74" s="291" t="s">
        <v>388</v>
      </c>
      <c r="C74" s="286" t="s">
        <v>254</v>
      </c>
      <c r="D74" s="288">
        <v>15.9</v>
      </c>
      <c r="E74" s="172">
        <v>402.09624000000002</v>
      </c>
      <c r="F74" s="289">
        <f t="shared" si="22"/>
        <v>6393.33</v>
      </c>
      <c r="G74" s="289">
        <f t="shared" si="23"/>
        <v>7672</v>
      </c>
    </row>
    <row r="75" spans="1:7" ht="15.6" x14ac:dyDescent="0.3">
      <c r="A75" s="286">
        <f t="shared" si="24"/>
        <v>55</v>
      </c>
      <c r="B75" s="291" t="s">
        <v>1406</v>
      </c>
      <c r="C75" s="286" t="s">
        <v>387</v>
      </c>
      <c r="D75" s="288">
        <f>3.4*20/16</f>
        <v>4.25</v>
      </c>
      <c r="E75" s="172">
        <v>322.1925</v>
      </c>
      <c r="F75" s="289">
        <f t="shared" si="22"/>
        <v>1369.32</v>
      </c>
      <c r="G75" s="289">
        <f t="shared" si="23"/>
        <v>1643.18</v>
      </c>
    </row>
    <row r="76" spans="1:7" s="57" customFormat="1" ht="15.6" x14ac:dyDescent="0.3">
      <c r="A76" s="286"/>
      <c r="B76" s="294" t="s">
        <v>1364</v>
      </c>
      <c r="C76" s="286"/>
      <c r="D76" s="288"/>
      <c r="E76" s="172">
        <v>0</v>
      </c>
      <c r="F76" s="289"/>
      <c r="G76" s="289"/>
    </row>
    <row r="77" spans="1:7" s="57" customFormat="1" ht="15.6" x14ac:dyDescent="0.3">
      <c r="A77" s="286">
        <f>A75+1</f>
        <v>56</v>
      </c>
      <c r="B77" s="291" t="s">
        <v>1498</v>
      </c>
      <c r="C77" s="286" t="s">
        <v>194</v>
      </c>
      <c r="D77" s="299">
        <v>122</v>
      </c>
      <c r="E77" s="172">
        <v>4943.7217200000005</v>
      </c>
      <c r="F77" s="289">
        <f t="shared" ref="F77:F92" si="25">ROUND(E77*D77,2)</f>
        <v>603134.05000000005</v>
      </c>
      <c r="G77" s="289">
        <f t="shared" ref="G77:G92" si="26">ROUND(F77*1.2,2)</f>
        <v>723760.86</v>
      </c>
    </row>
    <row r="78" spans="1:7" s="57" customFormat="1" ht="15.6" x14ac:dyDescent="0.3">
      <c r="A78" s="286">
        <f>A77+1</f>
        <v>57</v>
      </c>
      <c r="B78" s="291" t="s">
        <v>1499</v>
      </c>
      <c r="C78" s="286" t="s">
        <v>194</v>
      </c>
      <c r="D78" s="299">
        <v>18</v>
      </c>
      <c r="E78" s="172">
        <v>0</v>
      </c>
      <c r="F78" s="289">
        <f t="shared" si="25"/>
        <v>0</v>
      </c>
      <c r="G78" s="289">
        <f t="shared" si="26"/>
        <v>0</v>
      </c>
    </row>
    <row r="79" spans="1:7" s="57" customFormat="1" ht="15.6" x14ac:dyDescent="0.3">
      <c r="A79" s="286">
        <f>A78+1</f>
        <v>58</v>
      </c>
      <c r="B79" s="291" t="s">
        <v>1500</v>
      </c>
      <c r="C79" s="286" t="s">
        <v>220</v>
      </c>
      <c r="D79" s="299">
        <v>32</v>
      </c>
      <c r="E79" s="172">
        <v>2335.2512400000001</v>
      </c>
      <c r="F79" s="289">
        <f t="shared" si="25"/>
        <v>74728.039999999994</v>
      </c>
      <c r="G79" s="289">
        <f t="shared" si="26"/>
        <v>89673.65</v>
      </c>
    </row>
    <row r="80" spans="1:7" s="57" customFormat="1" ht="15.6" x14ac:dyDescent="0.3">
      <c r="A80" s="286">
        <f t="shared" ref="A80:A92" si="27">A79+1</f>
        <v>59</v>
      </c>
      <c r="B80" s="291" t="s">
        <v>1501</v>
      </c>
      <c r="C80" s="286" t="s">
        <v>220</v>
      </c>
      <c r="D80" s="299">
        <v>10</v>
      </c>
      <c r="E80" s="172">
        <v>23621.865330000001</v>
      </c>
      <c r="F80" s="289">
        <f t="shared" si="25"/>
        <v>236218.65</v>
      </c>
      <c r="G80" s="289">
        <f t="shared" si="26"/>
        <v>283462.38</v>
      </c>
    </row>
    <row r="81" spans="1:7" s="57" customFormat="1" ht="15.6" x14ac:dyDescent="0.3">
      <c r="A81" s="286">
        <f t="shared" si="27"/>
        <v>60</v>
      </c>
      <c r="B81" s="291" t="s">
        <v>1502</v>
      </c>
      <c r="C81" s="286" t="s">
        <v>220</v>
      </c>
      <c r="D81" s="299">
        <v>4</v>
      </c>
      <c r="E81" s="172">
        <v>22037.967000000004</v>
      </c>
      <c r="F81" s="289">
        <f t="shared" si="25"/>
        <v>88151.87</v>
      </c>
      <c r="G81" s="289">
        <f t="shared" si="26"/>
        <v>105782.24</v>
      </c>
    </row>
    <row r="82" spans="1:7" s="57" customFormat="1" ht="15.6" x14ac:dyDescent="0.3">
      <c r="A82" s="286">
        <f t="shared" si="27"/>
        <v>61</v>
      </c>
      <c r="B82" s="291" t="s">
        <v>1503</v>
      </c>
      <c r="C82" s="286" t="s">
        <v>194</v>
      </c>
      <c r="D82" s="299">
        <v>4</v>
      </c>
      <c r="E82" s="172">
        <v>1054.2138599999998</v>
      </c>
      <c r="F82" s="289">
        <f t="shared" si="25"/>
        <v>4216.8599999999997</v>
      </c>
      <c r="G82" s="289">
        <f t="shared" si="26"/>
        <v>5060.2299999999996</v>
      </c>
    </row>
    <row r="83" spans="1:7" s="57" customFormat="1" ht="15.6" x14ac:dyDescent="0.3">
      <c r="A83" s="286">
        <f t="shared" si="27"/>
        <v>62</v>
      </c>
      <c r="B83" s="291" t="s">
        <v>1504</v>
      </c>
      <c r="C83" s="286" t="s">
        <v>220</v>
      </c>
      <c r="D83" s="299">
        <v>2</v>
      </c>
      <c r="E83" s="172">
        <v>62363.580300000009</v>
      </c>
      <c r="F83" s="289">
        <f t="shared" si="25"/>
        <v>124727.16</v>
      </c>
      <c r="G83" s="289">
        <f t="shared" si="26"/>
        <v>149672.59</v>
      </c>
    </row>
    <row r="84" spans="1:7" s="57" customFormat="1" ht="15.6" x14ac:dyDescent="0.3">
      <c r="A84" s="286">
        <f t="shared" si="27"/>
        <v>63</v>
      </c>
      <c r="B84" s="291" t="s">
        <v>1505</v>
      </c>
      <c r="C84" s="286" t="s">
        <v>220</v>
      </c>
      <c r="D84" s="299">
        <v>2</v>
      </c>
      <c r="E84" s="172">
        <v>5283.9570000000003</v>
      </c>
      <c r="F84" s="289">
        <f t="shared" si="25"/>
        <v>10567.91</v>
      </c>
      <c r="G84" s="289">
        <f t="shared" si="26"/>
        <v>12681.49</v>
      </c>
    </row>
    <row r="85" spans="1:7" s="57" customFormat="1" ht="15.6" x14ac:dyDescent="0.3">
      <c r="A85" s="286">
        <f t="shared" si="27"/>
        <v>64</v>
      </c>
      <c r="B85" s="291" t="s">
        <v>1042</v>
      </c>
      <c r="C85" s="286" t="s">
        <v>220</v>
      </c>
      <c r="D85" s="299">
        <v>2</v>
      </c>
      <c r="E85" s="172">
        <v>7255.7750999999998</v>
      </c>
      <c r="F85" s="289">
        <f t="shared" si="25"/>
        <v>14511.55</v>
      </c>
      <c r="G85" s="289">
        <f t="shared" si="26"/>
        <v>17413.86</v>
      </c>
    </row>
    <row r="86" spans="1:7" s="57" customFormat="1" ht="15.6" x14ac:dyDescent="0.3">
      <c r="A86" s="286">
        <f t="shared" si="27"/>
        <v>65</v>
      </c>
      <c r="B86" s="291" t="s">
        <v>1506</v>
      </c>
      <c r="C86" s="286" t="s">
        <v>220</v>
      </c>
      <c r="D86" s="299">
        <v>2</v>
      </c>
      <c r="E86" s="172">
        <v>2474.4384</v>
      </c>
      <c r="F86" s="289">
        <f t="shared" si="25"/>
        <v>4948.88</v>
      </c>
      <c r="G86" s="289">
        <f t="shared" si="26"/>
        <v>5938.66</v>
      </c>
    </row>
    <row r="87" spans="1:7" s="57" customFormat="1" ht="15.6" x14ac:dyDescent="0.3">
      <c r="A87" s="286">
        <f t="shared" si="27"/>
        <v>66</v>
      </c>
      <c r="B87" s="291" t="s">
        <v>1507</v>
      </c>
      <c r="C87" s="286" t="s">
        <v>220</v>
      </c>
      <c r="D87" s="299">
        <v>2</v>
      </c>
      <c r="E87" s="172">
        <v>2152.2458999999999</v>
      </c>
      <c r="F87" s="289">
        <f t="shared" si="25"/>
        <v>4304.49</v>
      </c>
      <c r="G87" s="289">
        <f t="shared" si="26"/>
        <v>5165.3900000000003</v>
      </c>
    </row>
    <row r="88" spans="1:7" s="57" customFormat="1" ht="27.6" x14ac:dyDescent="0.3">
      <c r="A88" s="286">
        <f t="shared" si="27"/>
        <v>67</v>
      </c>
      <c r="B88" s="291" t="s">
        <v>1508</v>
      </c>
      <c r="C88" s="286" t="s">
        <v>254</v>
      </c>
      <c r="D88" s="292">
        <v>0.4</v>
      </c>
      <c r="E88" s="172">
        <v>2448.663</v>
      </c>
      <c r="F88" s="289">
        <f t="shared" si="25"/>
        <v>979.47</v>
      </c>
      <c r="G88" s="289">
        <f t="shared" si="26"/>
        <v>1175.3599999999999</v>
      </c>
    </row>
    <row r="89" spans="1:7" s="57" customFormat="1" ht="15.6" x14ac:dyDescent="0.3">
      <c r="A89" s="286">
        <f t="shared" si="27"/>
        <v>68</v>
      </c>
      <c r="B89" s="291" t="s">
        <v>1044</v>
      </c>
      <c r="C89" s="286" t="s">
        <v>220</v>
      </c>
      <c r="D89" s="299">
        <v>2</v>
      </c>
      <c r="E89" s="172">
        <v>15465.24</v>
      </c>
      <c r="F89" s="289">
        <f t="shared" si="25"/>
        <v>30930.48</v>
      </c>
      <c r="G89" s="289">
        <f t="shared" si="26"/>
        <v>37116.58</v>
      </c>
    </row>
    <row r="90" spans="1:7" s="57" customFormat="1" ht="15.6" x14ac:dyDescent="0.3">
      <c r="A90" s="286">
        <f t="shared" si="27"/>
        <v>69</v>
      </c>
      <c r="B90" s="291" t="s">
        <v>1509</v>
      </c>
      <c r="C90" s="286" t="s">
        <v>194</v>
      </c>
      <c r="D90" s="292">
        <v>2.8</v>
      </c>
      <c r="E90" s="172">
        <v>10127.15466</v>
      </c>
      <c r="F90" s="289">
        <f t="shared" si="25"/>
        <v>28356.03</v>
      </c>
      <c r="G90" s="289">
        <f t="shared" si="26"/>
        <v>34027.24</v>
      </c>
    </row>
    <row r="91" spans="1:7" s="57" customFormat="1" ht="15.6" x14ac:dyDescent="0.3">
      <c r="A91" s="286">
        <f t="shared" si="27"/>
        <v>70</v>
      </c>
      <c r="B91" s="291" t="s">
        <v>1510</v>
      </c>
      <c r="C91" s="286" t="s">
        <v>194</v>
      </c>
      <c r="D91" s="299">
        <v>82</v>
      </c>
      <c r="E91" s="172">
        <v>24.486630000000002</v>
      </c>
      <c r="F91" s="289">
        <f t="shared" si="25"/>
        <v>2007.9</v>
      </c>
      <c r="G91" s="289">
        <f t="shared" si="26"/>
        <v>2409.48</v>
      </c>
    </row>
    <row r="92" spans="1:7" ht="27.6" x14ac:dyDescent="0.3">
      <c r="A92" s="286">
        <f t="shared" si="27"/>
        <v>71</v>
      </c>
      <c r="B92" s="291" t="s">
        <v>407</v>
      </c>
      <c r="C92" s="286" t="s">
        <v>243</v>
      </c>
      <c r="D92" s="299">
        <v>1</v>
      </c>
      <c r="E92" s="172">
        <v>167540.1</v>
      </c>
      <c r="F92" s="289">
        <f t="shared" si="25"/>
        <v>167540.1</v>
      </c>
      <c r="G92" s="289">
        <f t="shared" si="26"/>
        <v>201048.12</v>
      </c>
    </row>
    <row r="93" spans="1:7" ht="22.5" customHeight="1" x14ac:dyDescent="0.3">
      <c r="A93" s="493" t="s">
        <v>408</v>
      </c>
      <c r="B93" s="493"/>
      <c r="C93" s="493"/>
      <c r="D93" s="493"/>
      <c r="E93" s="493"/>
      <c r="F93" s="83">
        <f>SUM(F7:F92)</f>
        <v>2106513.0699999994</v>
      </c>
      <c r="G93" s="83">
        <f>SUM(G7:G92)</f>
        <v>2527815.7100000009</v>
      </c>
    </row>
  </sheetData>
  <mergeCells count="9"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6"/>
  <sheetViews>
    <sheetView topLeftCell="A142" zoomScaleNormal="100" zoomScaleSheetLayoutView="70" workbookViewId="0">
      <selection activeCell="G236" sqref="G236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91" t="s">
        <v>441</v>
      </c>
      <c r="F1" s="489" t="s">
        <v>433</v>
      </c>
      <c r="G1" s="487" t="s">
        <v>409</v>
      </c>
    </row>
    <row r="2" spans="1:10" ht="14.55" customHeight="1" x14ac:dyDescent="0.3">
      <c r="A2" s="481"/>
      <c r="B2" s="484"/>
      <c r="C2" s="486"/>
      <c r="D2" s="486"/>
      <c r="E2" s="491"/>
      <c r="F2" s="489"/>
      <c r="G2" s="487"/>
      <c r="J2" s="382"/>
    </row>
    <row r="3" spans="1:10" ht="56.1" customHeight="1" x14ac:dyDescent="0.3">
      <c r="A3" s="482"/>
      <c r="B3" s="485"/>
      <c r="C3" s="486"/>
      <c r="D3" s="486"/>
      <c r="E3" s="492"/>
      <c r="F3" s="490"/>
      <c r="G3" s="488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78" t="s">
        <v>232</v>
      </c>
      <c r="C5" s="479"/>
      <c r="D5" s="479"/>
      <c r="E5" s="175"/>
      <c r="F5" s="176"/>
      <c r="G5" s="323">
        <f>SUM(G7:G106)</f>
        <v>65527251.669999972</v>
      </c>
    </row>
    <row r="6" spans="1:10" ht="20.25" customHeight="1" x14ac:dyDescent="0.3">
      <c r="A6" s="307"/>
      <c r="B6" s="62" t="s">
        <v>442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464.82929999999999</v>
      </c>
      <c r="F7" s="102">
        <f t="shared" ref="F7:F15" si="0">ROUND(E7*D7,2)</f>
        <v>502015.64</v>
      </c>
      <c r="G7" s="102">
        <f t="shared" ref="G7:G61" si="1">ROUND(F7*1.2,2)</f>
        <v>602418.77</v>
      </c>
    </row>
    <row r="8" spans="1:10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2541.5435879999995</v>
      </c>
      <c r="F8" s="102">
        <f t="shared" si="0"/>
        <v>50830.87</v>
      </c>
      <c r="G8" s="102">
        <f t="shared" si="1"/>
        <v>60997.04</v>
      </c>
    </row>
    <row r="9" spans="1:10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4948.6442400000005</v>
      </c>
      <c r="F9" s="102">
        <f t="shared" si="0"/>
        <v>8630435.5500000007</v>
      </c>
      <c r="G9" s="102">
        <f t="shared" si="1"/>
        <v>10356522.66</v>
      </c>
    </row>
    <row r="10" spans="1:10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71.512200000000007</v>
      </c>
      <c r="F10" s="102">
        <f t="shared" si="0"/>
        <v>77948.3</v>
      </c>
      <c r="G10" s="102">
        <f t="shared" si="1"/>
        <v>93537.96</v>
      </c>
    </row>
    <row r="11" spans="1:10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464.82929999999999</v>
      </c>
      <c r="F11" s="102">
        <f t="shared" si="0"/>
        <v>478774.18</v>
      </c>
      <c r="G11" s="102">
        <f t="shared" si="1"/>
        <v>574529.02</v>
      </c>
    </row>
    <row r="12" spans="1:10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1285.789356</v>
      </c>
      <c r="F12" s="102">
        <f t="shared" si="0"/>
        <v>12857.89</v>
      </c>
      <c r="G12" s="102">
        <f t="shared" si="1"/>
        <v>15429.47</v>
      </c>
    </row>
    <row r="13" spans="1:10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464.82929999999999</v>
      </c>
      <c r="F13" s="102">
        <f t="shared" si="0"/>
        <v>3718.63</v>
      </c>
      <c r="G13" s="102">
        <f t="shared" si="1"/>
        <v>4462.3599999999997</v>
      </c>
    </row>
    <row r="14" spans="1:10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1285.789356</v>
      </c>
      <c r="F14" s="102">
        <f t="shared" si="0"/>
        <v>2571.58</v>
      </c>
      <c r="G14" s="102">
        <f t="shared" si="1"/>
        <v>3085.9</v>
      </c>
    </row>
    <row r="15" spans="1:10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290.33953199999996</v>
      </c>
      <c r="F15" s="102">
        <f t="shared" si="0"/>
        <v>2903.4</v>
      </c>
      <c r="G15" s="102">
        <f t="shared" si="1"/>
        <v>3484.08</v>
      </c>
    </row>
    <row r="16" spans="1:10" ht="15.6" x14ac:dyDescent="0.3">
      <c r="A16" s="66"/>
      <c r="B16" s="62" t="s">
        <v>233</v>
      </c>
      <c r="C16" s="66"/>
      <c r="D16" s="71"/>
      <c r="E16" s="172">
        <v>0</v>
      </c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1589.001084</v>
      </c>
      <c r="F17" s="102">
        <f t="shared" ref="F17:F23" si="3">ROUND(E17*D17,2)</f>
        <v>266952.18</v>
      </c>
      <c r="G17" s="102">
        <f t="shared" si="1"/>
        <v>320342.62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361.85173199999997</v>
      </c>
      <c r="F18" s="102">
        <f t="shared" si="3"/>
        <v>372707.28</v>
      </c>
      <c r="G18" s="102">
        <f t="shared" si="1"/>
        <v>447248.74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669.3541919999999</v>
      </c>
      <c r="F19" s="102">
        <f t="shared" si="3"/>
        <v>689434.82</v>
      </c>
      <c r="G19" s="102">
        <f t="shared" si="1"/>
        <v>827321.78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2109.6098999999999</v>
      </c>
      <c r="F20" s="102">
        <f t="shared" si="3"/>
        <v>255262.8</v>
      </c>
      <c r="G20" s="102">
        <f t="shared" si="1"/>
        <v>306315.36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1630.4781600000001</v>
      </c>
      <c r="F21" s="102">
        <f t="shared" si="3"/>
        <v>1255468.18</v>
      </c>
      <c r="G21" s="102">
        <f t="shared" si="1"/>
        <v>1506561.82</v>
      </c>
    </row>
    <row r="22" spans="1:7" ht="15.6" x14ac:dyDescent="0.3">
      <c r="A22" s="66">
        <f t="shared" ref="A22:A23" si="4">A21+1</f>
        <v>15</v>
      </c>
      <c r="B22" s="67" t="s">
        <v>457</v>
      </c>
      <c r="C22" s="66" t="s">
        <v>431</v>
      </c>
      <c r="D22" s="71">
        <v>150</v>
      </c>
      <c r="E22" s="172">
        <v>2059.5513599999999</v>
      </c>
      <c r="F22" s="102">
        <f t="shared" si="3"/>
        <v>308932.7</v>
      </c>
      <c r="G22" s="102">
        <f t="shared" si="1"/>
        <v>370719.24</v>
      </c>
    </row>
    <row r="23" spans="1:7" ht="15.6" x14ac:dyDescent="0.3">
      <c r="A23" s="66">
        <f t="shared" si="4"/>
        <v>16</v>
      </c>
      <c r="B23" s="67" t="s">
        <v>458</v>
      </c>
      <c r="C23" s="66" t="s">
        <v>194</v>
      </c>
      <c r="D23" s="71">
        <v>100</v>
      </c>
      <c r="E23" s="172">
        <v>1723.4440200000001</v>
      </c>
      <c r="F23" s="102">
        <f t="shared" si="3"/>
        <v>172344.4</v>
      </c>
      <c r="G23" s="102">
        <f t="shared" si="1"/>
        <v>206813.28</v>
      </c>
    </row>
    <row r="24" spans="1:7" ht="15.6" x14ac:dyDescent="0.3">
      <c r="A24" s="66"/>
      <c r="B24" s="62" t="s">
        <v>244</v>
      </c>
      <c r="C24" s="66"/>
      <c r="D24" s="71"/>
      <c r="E24" s="172">
        <v>0</v>
      </c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3358.2129119999995</v>
      </c>
      <c r="F25" s="102">
        <f>ROUND(E25*D25,2)</f>
        <v>523881.21</v>
      </c>
      <c r="G25" s="102">
        <f t="shared" si="1"/>
        <v>628657.44999999995</v>
      </c>
    </row>
    <row r="26" spans="1:7" ht="15.6" x14ac:dyDescent="0.3">
      <c r="A26" s="307"/>
      <c r="B26" s="62" t="s">
        <v>251</v>
      </c>
      <c r="C26" s="63"/>
      <c r="D26" s="63"/>
      <c r="E26" s="172">
        <v>0</v>
      </c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72">
        <v>0</v>
      </c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5690.9408759999997</v>
      </c>
      <c r="F28" s="102">
        <f>ROUND(E28*D28,2)</f>
        <v>10926.61</v>
      </c>
      <c r="G28" s="102">
        <f t="shared" si="1"/>
        <v>13111.93</v>
      </c>
    </row>
    <row r="29" spans="1:7" ht="15.6" x14ac:dyDescent="0.3">
      <c r="A29" s="66">
        <f t="shared" ref="A29:A37" si="5">A28+1</f>
        <v>19</v>
      </c>
      <c r="B29" s="67" t="s">
        <v>462</v>
      </c>
      <c r="C29" s="66" t="s">
        <v>193</v>
      </c>
      <c r="D29" s="68">
        <v>7.2</v>
      </c>
      <c r="E29" s="172">
        <v>12046.945211999999</v>
      </c>
      <c r="F29" s="102">
        <f>ROUND(E29*D29,2)</f>
        <v>86738.01</v>
      </c>
      <c r="G29" s="102">
        <f t="shared" si="1"/>
        <v>104085.61</v>
      </c>
    </row>
    <row r="30" spans="1:7" ht="15.6" x14ac:dyDescent="0.3">
      <c r="A30" s="66">
        <f t="shared" si="5"/>
        <v>20</v>
      </c>
      <c r="B30" s="67" t="s">
        <v>463</v>
      </c>
      <c r="C30" s="66" t="s">
        <v>239</v>
      </c>
      <c r="D30" s="77">
        <v>0.13239999999999999</v>
      </c>
      <c r="E30" s="172">
        <v>214952.80100399995</v>
      </c>
      <c r="F30" s="102">
        <f>ROUND(E30*D30,2)</f>
        <v>28459.75</v>
      </c>
      <c r="G30" s="102">
        <f t="shared" si="1"/>
        <v>34151.699999999997</v>
      </c>
    </row>
    <row r="31" spans="1:7" ht="15.6" x14ac:dyDescent="0.3">
      <c r="A31" s="66">
        <f t="shared" si="5"/>
        <v>21</v>
      </c>
      <c r="B31" s="67" t="s">
        <v>464</v>
      </c>
      <c r="C31" s="66" t="s">
        <v>431</v>
      </c>
      <c r="D31" s="68">
        <v>35.840000000000003</v>
      </c>
      <c r="E31" s="172">
        <v>457.67808000000002</v>
      </c>
      <c r="F31" s="102">
        <f>ROUND(E31*D31,2)</f>
        <v>16403.18</v>
      </c>
      <c r="G31" s="102">
        <f t="shared" si="1"/>
        <v>19683.82</v>
      </c>
    </row>
    <row r="32" spans="1:7" ht="15.6" x14ac:dyDescent="0.3">
      <c r="A32" s="66"/>
      <c r="B32" s="73" t="s">
        <v>263</v>
      </c>
      <c r="C32" s="66"/>
      <c r="D32" s="68"/>
      <c r="E32" s="172">
        <v>0</v>
      </c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5690.9408759999997</v>
      </c>
      <c r="F33" s="102">
        <f>ROUND(E33*D33,2)</f>
        <v>10243.69</v>
      </c>
      <c r="G33" s="102">
        <f t="shared" si="1"/>
        <v>12292.43</v>
      </c>
    </row>
    <row r="34" spans="1:7" ht="15.6" x14ac:dyDescent="0.3">
      <c r="A34" s="66">
        <f t="shared" si="5"/>
        <v>23</v>
      </c>
      <c r="B34" s="67" t="s">
        <v>462</v>
      </c>
      <c r="C34" s="66" t="s">
        <v>193</v>
      </c>
      <c r="D34" s="68">
        <v>3.6</v>
      </c>
      <c r="E34" s="172">
        <v>12064.10814</v>
      </c>
      <c r="F34" s="102">
        <f>ROUND(E34*D34,2)</f>
        <v>43430.79</v>
      </c>
      <c r="G34" s="102">
        <f t="shared" si="1"/>
        <v>52116.95</v>
      </c>
    </row>
    <row r="35" spans="1:7" ht="15.6" x14ac:dyDescent="0.3">
      <c r="A35" s="66">
        <f t="shared" si="5"/>
        <v>24</v>
      </c>
      <c r="B35" s="67" t="s">
        <v>465</v>
      </c>
      <c r="C35" s="66" t="s">
        <v>239</v>
      </c>
      <c r="D35" s="77">
        <v>0.12640000000000001</v>
      </c>
      <c r="E35" s="172">
        <v>105822.32331600001</v>
      </c>
      <c r="F35" s="102">
        <f>ROUND(E35*D35,2)</f>
        <v>13375.94</v>
      </c>
      <c r="G35" s="102">
        <f t="shared" si="1"/>
        <v>16051.13</v>
      </c>
    </row>
    <row r="36" spans="1:7" ht="15.6" x14ac:dyDescent="0.3">
      <c r="A36" s="66">
        <f t="shared" si="5"/>
        <v>25</v>
      </c>
      <c r="B36" s="67" t="s">
        <v>466</v>
      </c>
      <c r="C36" s="66" t="s">
        <v>239</v>
      </c>
      <c r="D36" s="81">
        <v>0.20216000000000001</v>
      </c>
      <c r="E36" s="172">
        <v>214952.80100399995</v>
      </c>
      <c r="F36" s="102">
        <f>ROUND(E36*D36,2)</f>
        <v>43454.86</v>
      </c>
      <c r="G36" s="102">
        <f t="shared" si="1"/>
        <v>52145.83</v>
      </c>
    </row>
    <row r="37" spans="1:7" ht="15.6" x14ac:dyDescent="0.3">
      <c r="A37" s="66">
        <f t="shared" si="5"/>
        <v>26</v>
      </c>
      <c r="B37" s="67" t="s">
        <v>464</v>
      </c>
      <c r="C37" s="66" t="s">
        <v>431</v>
      </c>
      <c r="D37" s="68">
        <v>26.4</v>
      </c>
      <c r="E37" s="172">
        <v>457.67808000000002</v>
      </c>
      <c r="F37" s="102">
        <f>ROUND(E37*D37,2)</f>
        <v>12082.7</v>
      </c>
      <c r="G37" s="102">
        <f t="shared" si="1"/>
        <v>14499.24</v>
      </c>
    </row>
    <row r="38" spans="1:7" ht="15.6" x14ac:dyDescent="0.3">
      <c r="A38" s="66"/>
      <c r="B38" s="62" t="s">
        <v>283</v>
      </c>
      <c r="C38" s="74"/>
      <c r="D38" s="75"/>
      <c r="E38" s="172">
        <v>0</v>
      </c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72">
        <v>0</v>
      </c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214952.80100399995</v>
      </c>
      <c r="F40" s="102">
        <f>ROUND(E40*D40,2)</f>
        <v>476335.41</v>
      </c>
      <c r="G40" s="102">
        <f t="shared" si="1"/>
        <v>571602.49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217.397088</v>
      </c>
      <c r="F41" s="102">
        <f>ROUND(E41*D41,2)</f>
        <v>12043.8</v>
      </c>
      <c r="G41" s="102">
        <f t="shared" si="1"/>
        <v>14452.56</v>
      </c>
    </row>
    <row r="42" spans="1:7" ht="15.6" x14ac:dyDescent="0.3">
      <c r="A42" s="66">
        <f t="shared" ref="A42:A44" si="6">A41+1</f>
        <v>29</v>
      </c>
      <c r="B42" s="67" t="s">
        <v>469</v>
      </c>
      <c r="C42" s="66" t="s">
        <v>431</v>
      </c>
      <c r="D42" s="72">
        <v>55.4</v>
      </c>
      <c r="E42" s="172">
        <v>217.397088</v>
      </c>
      <c r="F42" s="102">
        <f>ROUND(E42*D42,2)</f>
        <v>12043.8</v>
      </c>
      <c r="G42" s="102">
        <f t="shared" si="1"/>
        <v>14452.56</v>
      </c>
    </row>
    <row r="43" spans="1:7" ht="15.6" x14ac:dyDescent="0.3">
      <c r="A43" s="66">
        <f t="shared" si="6"/>
        <v>30</v>
      </c>
      <c r="B43" s="67" t="s">
        <v>470</v>
      </c>
      <c r="C43" s="74" t="s">
        <v>431</v>
      </c>
      <c r="D43" s="68">
        <v>1.08</v>
      </c>
      <c r="E43" s="172">
        <v>2079.5747759999999</v>
      </c>
      <c r="F43" s="102">
        <f>ROUND(E43*D43,2)</f>
        <v>2245.94</v>
      </c>
      <c r="G43" s="102">
        <f t="shared" si="1"/>
        <v>2695.13</v>
      </c>
    </row>
    <row r="44" spans="1:7" ht="15.6" x14ac:dyDescent="0.3">
      <c r="A44" s="66">
        <f t="shared" si="6"/>
        <v>31</v>
      </c>
      <c r="B44" s="67" t="s">
        <v>471</v>
      </c>
      <c r="C44" s="74" t="s">
        <v>193</v>
      </c>
      <c r="D44" s="68">
        <v>0.84</v>
      </c>
      <c r="E44" s="172">
        <v>18038.237327999999</v>
      </c>
      <c r="F44" s="102">
        <f>ROUND(E44*D44,2)</f>
        <v>15152.12</v>
      </c>
      <c r="G44" s="102">
        <f t="shared" si="1"/>
        <v>18182.54</v>
      </c>
    </row>
    <row r="45" spans="1:7" ht="15.6" x14ac:dyDescent="0.3">
      <c r="A45" s="66"/>
      <c r="B45" s="73" t="s">
        <v>472</v>
      </c>
      <c r="C45" s="74"/>
      <c r="D45" s="185"/>
      <c r="E45" s="172">
        <v>0</v>
      </c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105822.32331600001</v>
      </c>
      <c r="F46" s="102">
        <f>ROUND(E46*D46,2)</f>
        <v>271386.64</v>
      </c>
      <c r="G46" s="102">
        <f t="shared" si="1"/>
        <v>325663.96999999997</v>
      </c>
    </row>
    <row r="47" spans="1:7" ht="15.6" x14ac:dyDescent="0.3">
      <c r="A47" s="66">
        <f t="shared" ref="A47:A53" si="7">A46+1</f>
        <v>33</v>
      </c>
      <c r="B47" s="67" t="s">
        <v>468</v>
      </c>
      <c r="C47" s="66" t="s">
        <v>431</v>
      </c>
      <c r="D47" s="71">
        <v>65</v>
      </c>
      <c r="E47" s="172">
        <v>217.397088</v>
      </c>
      <c r="F47" s="102">
        <f>ROUND(E47*D47,2)</f>
        <v>14130.81</v>
      </c>
      <c r="G47" s="102">
        <f t="shared" si="1"/>
        <v>16956.97</v>
      </c>
    </row>
    <row r="48" spans="1:7" ht="15.6" x14ac:dyDescent="0.3">
      <c r="A48" s="66">
        <f t="shared" si="7"/>
        <v>34</v>
      </c>
      <c r="B48" s="67" t="s">
        <v>469</v>
      </c>
      <c r="C48" s="66" t="s">
        <v>431</v>
      </c>
      <c r="D48" s="71">
        <v>65</v>
      </c>
      <c r="E48" s="172">
        <v>217.397088</v>
      </c>
      <c r="F48" s="102">
        <f>ROUND(E48*D48,2)</f>
        <v>14130.81</v>
      </c>
      <c r="G48" s="102">
        <f t="shared" si="1"/>
        <v>16956.97</v>
      </c>
    </row>
    <row r="49" spans="1:7" ht="15.6" x14ac:dyDescent="0.3">
      <c r="A49" s="66"/>
      <c r="B49" s="62" t="s">
        <v>314</v>
      </c>
      <c r="C49" s="74"/>
      <c r="D49" s="185"/>
      <c r="E49" s="172">
        <v>0</v>
      </c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72">
        <v>0</v>
      </c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5690.9408759999997</v>
      </c>
      <c r="F51" s="102">
        <f>ROUND(E51*D51,2)</f>
        <v>626</v>
      </c>
      <c r="G51" s="102">
        <f t="shared" si="1"/>
        <v>751.2</v>
      </c>
    </row>
    <row r="52" spans="1:7" ht="15.6" x14ac:dyDescent="0.3">
      <c r="A52" s="66">
        <f t="shared" si="7"/>
        <v>36</v>
      </c>
      <c r="B52" s="67" t="s">
        <v>474</v>
      </c>
      <c r="C52" s="66" t="s">
        <v>193</v>
      </c>
      <c r="D52" s="68">
        <v>0.5</v>
      </c>
      <c r="E52" s="172">
        <v>29450.154203999999</v>
      </c>
      <c r="F52" s="102">
        <f>ROUND(E52*D52,2)</f>
        <v>14725.08</v>
      </c>
      <c r="G52" s="102">
        <f t="shared" si="1"/>
        <v>17670.099999999999</v>
      </c>
    </row>
    <row r="53" spans="1:7" ht="15.6" x14ac:dyDescent="0.3">
      <c r="A53" s="66">
        <f t="shared" si="7"/>
        <v>37</v>
      </c>
      <c r="B53" s="67" t="s">
        <v>475</v>
      </c>
      <c r="C53" s="66" t="s">
        <v>239</v>
      </c>
      <c r="D53" s="76">
        <v>0.20300000000000001</v>
      </c>
      <c r="E53" s="172">
        <v>99363.34141199998</v>
      </c>
      <c r="F53" s="102">
        <f>ROUND(E53*D53,2)</f>
        <v>20170.759999999998</v>
      </c>
      <c r="G53" s="102">
        <f t="shared" si="1"/>
        <v>24204.91</v>
      </c>
    </row>
    <row r="54" spans="1:7" ht="15.6" x14ac:dyDescent="0.3">
      <c r="A54" s="66"/>
      <c r="B54" s="73" t="s">
        <v>320</v>
      </c>
      <c r="C54" s="74"/>
      <c r="D54" s="68"/>
      <c r="E54" s="172">
        <v>0</v>
      </c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2388.5074800000002</v>
      </c>
      <c r="F55" s="102">
        <f t="shared" ref="F55:F61" si="8">ROUND(E55*D55,2)</f>
        <v>28662.09</v>
      </c>
      <c r="G55" s="102">
        <f t="shared" si="1"/>
        <v>34394.51</v>
      </c>
    </row>
    <row r="56" spans="1:7" ht="15.6" x14ac:dyDescent="0.3">
      <c r="A56" s="66">
        <f t="shared" ref="A56:A61" si="9">A55+1</f>
        <v>39</v>
      </c>
      <c r="B56" s="67" t="s">
        <v>477</v>
      </c>
      <c r="C56" s="74" t="s">
        <v>194</v>
      </c>
      <c r="D56" s="68">
        <v>9.56</v>
      </c>
      <c r="E56" s="172">
        <v>2859.0577560000002</v>
      </c>
      <c r="F56" s="102">
        <f t="shared" si="8"/>
        <v>27332.59</v>
      </c>
      <c r="G56" s="102">
        <f t="shared" si="1"/>
        <v>32799.11</v>
      </c>
    </row>
    <row r="57" spans="1:7" ht="15.6" x14ac:dyDescent="0.3">
      <c r="A57" s="66">
        <f t="shared" si="9"/>
        <v>40</v>
      </c>
      <c r="B57" s="67" t="s">
        <v>478</v>
      </c>
      <c r="C57" s="74" t="s">
        <v>431</v>
      </c>
      <c r="D57" s="68">
        <v>8.6</v>
      </c>
      <c r="E57" s="172">
        <v>1441.2535526511631</v>
      </c>
      <c r="F57" s="102">
        <f t="shared" si="8"/>
        <v>12394.78</v>
      </c>
      <c r="G57" s="102">
        <f t="shared" si="1"/>
        <v>14873.74</v>
      </c>
    </row>
    <row r="58" spans="1:7" ht="15.6" x14ac:dyDescent="0.3">
      <c r="A58" s="66">
        <f t="shared" si="9"/>
        <v>41</v>
      </c>
      <c r="B58" s="67" t="s">
        <v>479</v>
      </c>
      <c r="C58" s="74" t="s">
        <v>431</v>
      </c>
      <c r="D58" s="68">
        <v>8.6</v>
      </c>
      <c r="E58" s="172">
        <v>121.57074</v>
      </c>
      <c r="F58" s="102">
        <f t="shared" si="8"/>
        <v>1045.51</v>
      </c>
      <c r="G58" s="102">
        <f t="shared" si="1"/>
        <v>1254.6099999999999</v>
      </c>
    </row>
    <row r="59" spans="1:7" ht="15.6" x14ac:dyDescent="0.3">
      <c r="A59" s="66">
        <f t="shared" si="9"/>
        <v>42</v>
      </c>
      <c r="B59" s="67" t="s">
        <v>480</v>
      </c>
      <c r="C59" s="74" t="s">
        <v>431</v>
      </c>
      <c r="D59" s="68">
        <v>8.6</v>
      </c>
      <c r="E59" s="172">
        <v>149.98968828</v>
      </c>
      <c r="F59" s="102">
        <f t="shared" si="8"/>
        <v>1289.9100000000001</v>
      </c>
      <c r="G59" s="102">
        <f t="shared" si="1"/>
        <v>1547.89</v>
      </c>
    </row>
    <row r="60" spans="1:7" ht="15.6" x14ac:dyDescent="0.3">
      <c r="A60" s="66">
        <f t="shared" si="9"/>
        <v>43</v>
      </c>
      <c r="B60" s="67" t="s">
        <v>481</v>
      </c>
      <c r="C60" s="74" t="s">
        <v>431</v>
      </c>
      <c r="D60" s="68">
        <v>8.6</v>
      </c>
      <c r="E60" s="172">
        <v>217.397088</v>
      </c>
      <c r="F60" s="102">
        <f t="shared" si="8"/>
        <v>1869.61</v>
      </c>
      <c r="G60" s="102">
        <f t="shared" si="1"/>
        <v>2243.5300000000002</v>
      </c>
    </row>
    <row r="61" spans="1:7" ht="15.6" x14ac:dyDescent="0.3">
      <c r="A61" s="66">
        <f t="shared" si="9"/>
        <v>44</v>
      </c>
      <c r="B61" s="67" t="s">
        <v>482</v>
      </c>
      <c r="C61" s="74" t="s">
        <v>431</v>
      </c>
      <c r="D61" s="68">
        <v>8.6</v>
      </c>
      <c r="E61" s="172">
        <v>217.397088</v>
      </c>
      <c r="F61" s="102">
        <f t="shared" si="8"/>
        <v>1869.61</v>
      </c>
      <c r="G61" s="102">
        <f t="shared" si="1"/>
        <v>2243.5300000000002</v>
      </c>
    </row>
    <row r="62" spans="1:7" ht="22.5" customHeight="1" x14ac:dyDescent="0.3">
      <c r="A62" s="174"/>
      <c r="B62" s="478" t="s">
        <v>341</v>
      </c>
      <c r="C62" s="479"/>
      <c r="D62" s="479"/>
      <c r="E62" s="186"/>
      <c r="F62" s="186"/>
      <c r="G62" s="340">
        <f>SUM(G64:G82)</f>
        <v>1612966.88</v>
      </c>
    </row>
    <row r="63" spans="1:7" ht="15.6" x14ac:dyDescent="0.3">
      <c r="A63" s="66"/>
      <c r="B63" s="62" t="s">
        <v>342</v>
      </c>
      <c r="C63" s="74"/>
      <c r="D63" s="75"/>
      <c r="E63" s="172">
        <v>0</v>
      </c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1773.5025600000001</v>
      </c>
      <c r="F64" s="102">
        <f>ROUND(E64*D64,2)</f>
        <v>11350.42</v>
      </c>
      <c r="G64" s="102">
        <f t="shared" ref="G64:G82" si="10">ROUND(F64*1.2,2)</f>
        <v>13620.5</v>
      </c>
    </row>
    <row r="65" spans="1:7" ht="15.6" x14ac:dyDescent="0.3">
      <c r="A65" s="66">
        <f t="shared" ref="A65:A82" si="11">A64+1</f>
        <v>46</v>
      </c>
      <c r="B65" s="67" t="s">
        <v>484</v>
      </c>
      <c r="C65" s="66" t="s">
        <v>194</v>
      </c>
      <c r="D65" s="71">
        <v>65</v>
      </c>
      <c r="E65" s="172">
        <v>3511.2490199999997</v>
      </c>
      <c r="F65" s="102">
        <f>ROUND(E65*D65,2)</f>
        <v>228231.19</v>
      </c>
      <c r="G65" s="102">
        <f t="shared" si="10"/>
        <v>273877.43</v>
      </c>
    </row>
    <row r="66" spans="1:7" ht="15.6" x14ac:dyDescent="0.3">
      <c r="A66" s="66">
        <f t="shared" si="11"/>
        <v>47</v>
      </c>
      <c r="B66" s="67" t="s">
        <v>485</v>
      </c>
      <c r="C66" s="66" t="s">
        <v>431</v>
      </c>
      <c r="D66" s="68">
        <v>50.49</v>
      </c>
      <c r="E66" s="172">
        <v>450.52686</v>
      </c>
      <c r="F66" s="102">
        <f>ROUND(E66*D66,2)</f>
        <v>22747.1</v>
      </c>
      <c r="G66" s="102">
        <f t="shared" si="10"/>
        <v>27296.52</v>
      </c>
    </row>
    <row r="67" spans="1:7" ht="15.6" x14ac:dyDescent="0.3">
      <c r="A67" s="66"/>
      <c r="B67" s="73" t="s">
        <v>486</v>
      </c>
      <c r="C67" s="74"/>
      <c r="D67" s="68"/>
      <c r="E67" s="172">
        <v>0</v>
      </c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2541.5435879999995</v>
      </c>
      <c r="F68" s="102">
        <f t="shared" ref="F68:F73" si="12">ROUND(E68*D68,2)</f>
        <v>9530.7900000000009</v>
      </c>
      <c r="G68" s="102">
        <f t="shared" si="10"/>
        <v>11436.95</v>
      </c>
    </row>
    <row r="69" spans="1:7" ht="15.6" x14ac:dyDescent="0.3">
      <c r="A69" s="66">
        <f t="shared" si="11"/>
        <v>49</v>
      </c>
      <c r="B69" s="67" t="s">
        <v>488</v>
      </c>
      <c r="C69" s="66" t="s">
        <v>193</v>
      </c>
      <c r="D69" s="68">
        <v>1.25</v>
      </c>
      <c r="E69" s="172">
        <v>1285.789356</v>
      </c>
      <c r="F69" s="102">
        <f t="shared" si="12"/>
        <v>1607.24</v>
      </c>
      <c r="G69" s="102">
        <f t="shared" si="10"/>
        <v>1928.69</v>
      </c>
    </row>
    <row r="70" spans="1:7" ht="15.6" x14ac:dyDescent="0.3">
      <c r="A70" s="66">
        <f t="shared" si="11"/>
        <v>50</v>
      </c>
      <c r="B70" s="67" t="s">
        <v>489</v>
      </c>
      <c r="C70" s="66" t="s">
        <v>193</v>
      </c>
      <c r="D70" s="68">
        <v>2.2000000000000002</v>
      </c>
      <c r="E70" s="172">
        <v>8661.5576639999999</v>
      </c>
      <c r="F70" s="102">
        <f t="shared" si="12"/>
        <v>19055.43</v>
      </c>
      <c r="G70" s="102">
        <f t="shared" si="10"/>
        <v>22866.52</v>
      </c>
    </row>
    <row r="71" spans="1:7" ht="15.6" x14ac:dyDescent="0.3">
      <c r="A71" s="66">
        <f t="shared" si="11"/>
        <v>51</v>
      </c>
      <c r="B71" s="67" t="s">
        <v>485</v>
      </c>
      <c r="C71" s="66" t="s">
        <v>431</v>
      </c>
      <c r="D71" s="68">
        <v>7.62</v>
      </c>
      <c r="E71" s="172">
        <v>450.52686</v>
      </c>
      <c r="F71" s="102">
        <f t="shared" si="12"/>
        <v>3433.01</v>
      </c>
      <c r="G71" s="102">
        <f t="shared" si="10"/>
        <v>4119.6099999999997</v>
      </c>
    </row>
    <row r="72" spans="1:7" ht="15.6" x14ac:dyDescent="0.3">
      <c r="A72" s="66">
        <f t="shared" si="11"/>
        <v>52</v>
      </c>
      <c r="B72" s="67" t="s">
        <v>490</v>
      </c>
      <c r="C72" s="66" t="s">
        <v>193</v>
      </c>
      <c r="D72" s="68">
        <v>1.7</v>
      </c>
      <c r="E72" s="172">
        <v>9724.228955999999</v>
      </c>
      <c r="F72" s="102">
        <f t="shared" si="12"/>
        <v>16531.189999999999</v>
      </c>
      <c r="G72" s="102">
        <f t="shared" si="10"/>
        <v>19837.43</v>
      </c>
    </row>
    <row r="73" spans="1:7" ht="15.6" x14ac:dyDescent="0.3">
      <c r="A73" s="66">
        <f t="shared" si="11"/>
        <v>53</v>
      </c>
      <c r="B73" s="67" t="s">
        <v>491</v>
      </c>
      <c r="C73" s="66" t="s">
        <v>431</v>
      </c>
      <c r="D73" s="68">
        <v>0.71440000000000003</v>
      </c>
      <c r="E73" s="172">
        <v>477.70149600000002</v>
      </c>
      <c r="F73" s="102">
        <f t="shared" si="12"/>
        <v>341.27</v>
      </c>
      <c r="G73" s="102">
        <f t="shared" si="10"/>
        <v>409.52</v>
      </c>
    </row>
    <row r="74" spans="1:7" ht="15.6" x14ac:dyDescent="0.3">
      <c r="A74" s="66"/>
      <c r="B74" s="62" t="s">
        <v>352</v>
      </c>
      <c r="C74" s="74"/>
      <c r="D74" s="75"/>
      <c r="E74" s="172">
        <v>0</v>
      </c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464.82929999999999</v>
      </c>
      <c r="F75" s="102">
        <f t="shared" ref="F75:F82" si="13">ROUND(E75*D75,2)</f>
        <v>106910.74</v>
      </c>
      <c r="G75" s="102">
        <f t="shared" si="10"/>
        <v>128292.89</v>
      </c>
    </row>
    <row r="76" spans="1:7" ht="15.6" x14ac:dyDescent="0.3">
      <c r="A76" s="66">
        <f t="shared" si="11"/>
        <v>55</v>
      </c>
      <c r="B76" s="67" t="s">
        <v>444</v>
      </c>
      <c r="C76" s="74" t="s">
        <v>193</v>
      </c>
      <c r="D76" s="68">
        <v>2.92</v>
      </c>
      <c r="E76" s="172">
        <v>2541.5435879999995</v>
      </c>
      <c r="F76" s="102">
        <f t="shared" si="13"/>
        <v>7421.31</v>
      </c>
      <c r="G76" s="102">
        <f t="shared" si="10"/>
        <v>8905.57</v>
      </c>
    </row>
    <row r="77" spans="1:7" ht="15.6" x14ac:dyDescent="0.3">
      <c r="A77" s="66">
        <f t="shared" si="11"/>
        <v>56</v>
      </c>
      <c r="B77" s="67" t="s">
        <v>493</v>
      </c>
      <c r="C77" s="74" t="s">
        <v>239</v>
      </c>
      <c r="D77" s="68">
        <v>41.12</v>
      </c>
      <c r="E77" s="172">
        <v>4948.6442400000005</v>
      </c>
      <c r="F77" s="102">
        <f t="shared" si="13"/>
        <v>203488.25</v>
      </c>
      <c r="G77" s="102">
        <f t="shared" si="10"/>
        <v>244185.9</v>
      </c>
    </row>
    <row r="78" spans="1:7" ht="20.25" customHeight="1" x14ac:dyDescent="0.3">
      <c r="A78" s="66">
        <f t="shared" si="11"/>
        <v>57</v>
      </c>
      <c r="B78" s="67" t="s">
        <v>449</v>
      </c>
      <c r="C78" s="74" t="s">
        <v>193</v>
      </c>
      <c r="D78" s="71">
        <v>200</v>
      </c>
      <c r="E78" s="172">
        <v>464.82929999999999</v>
      </c>
      <c r="F78" s="102">
        <f t="shared" si="13"/>
        <v>92965.86</v>
      </c>
      <c r="G78" s="102">
        <f t="shared" si="10"/>
        <v>111559.03</v>
      </c>
    </row>
    <row r="79" spans="1:7" ht="15.6" x14ac:dyDescent="0.3">
      <c r="A79" s="66">
        <f t="shared" si="11"/>
        <v>58</v>
      </c>
      <c r="B79" s="67" t="s">
        <v>450</v>
      </c>
      <c r="C79" s="74" t="s">
        <v>193</v>
      </c>
      <c r="D79" s="68">
        <v>7.22</v>
      </c>
      <c r="E79" s="172">
        <v>1285.789356</v>
      </c>
      <c r="F79" s="102">
        <f t="shared" si="13"/>
        <v>9283.4</v>
      </c>
      <c r="G79" s="102">
        <f t="shared" si="10"/>
        <v>11140.08</v>
      </c>
    </row>
    <row r="80" spans="1:7" ht="15.6" x14ac:dyDescent="0.3">
      <c r="A80" s="66">
        <f t="shared" si="11"/>
        <v>59</v>
      </c>
      <c r="B80" s="67" t="s">
        <v>461</v>
      </c>
      <c r="C80" s="74" t="s">
        <v>193</v>
      </c>
      <c r="D80" s="68">
        <v>7.3</v>
      </c>
      <c r="E80" s="172">
        <v>5690.9408759999997</v>
      </c>
      <c r="F80" s="102">
        <f t="shared" si="13"/>
        <v>41543.870000000003</v>
      </c>
      <c r="G80" s="102">
        <f t="shared" si="10"/>
        <v>49852.639999999999</v>
      </c>
    </row>
    <row r="81" spans="1:7" ht="15.6" x14ac:dyDescent="0.3">
      <c r="A81" s="66">
        <f t="shared" si="11"/>
        <v>60</v>
      </c>
      <c r="B81" s="67" t="s">
        <v>494</v>
      </c>
      <c r="C81" s="74" t="s">
        <v>193</v>
      </c>
      <c r="D81" s="68">
        <v>25.7</v>
      </c>
      <c r="E81" s="172">
        <v>17448.9768</v>
      </c>
      <c r="F81" s="102">
        <f t="shared" si="13"/>
        <v>448438.7</v>
      </c>
      <c r="G81" s="102">
        <f t="shared" si="10"/>
        <v>538126.43999999994</v>
      </c>
    </row>
    <row r="82" spans="1:7" ht="15.6" x14ac:dyDescent="0.3">
      <c r="A82" s="66">
        <f t="shared" si="11"/>
        <v>61</v>
      </c>
      <c r="B82" s="67" t="s">
        <v>485</v>
      </c>
      <c r="C82" s="66" t="s">
        <v>431</v>
      </c>
      <c r="D82" s="68">
        <v>269.14999999999998</v>
      </c>
      <c r="E82" s="172">
        <v>450.52686</v>
      </c>
      <c r="F82" s="102">
        <f t="shared" si="13"/>
        <v>121259.3</v>
      </c>
      <c r="G82" s="102">
        <f t="shared" si="10"/>
        <v>145511.16</v>
      </c>
    </row>
    <row r="83" spans="1:7" ht="19.5" customHeight="1" x14ac:dyDescent="0.3">
      <c r="A83" s="174"/>
      <c r="B83" s="478" t="s">
        <v>364</v>
      </c>
      <c r="C83" s="479"/>
      <c r="D83" s="479"/>
      <c r="E83" s="186"/>
      <c r="F83" s="186"/>
      <c r="G83" s="340">
        <f>SUM(G85:G106)</f>
        <v>22270892.700000003</v>
      </c>
    </row>
    <row r="84" spans="1:7" ht="15.6" x14ac:dyDescent="0.3">
      <c r="A84" s="66"/>
      <c r="B84" s="62" t="s">
        <v>495</v>
      </c>
      <c r="C84" s="74"/>
      <c r="D84" s="75"/>
      <c r="E84" s="172">
        <v>0</v>
      </c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178.78050000000002</v>
      </c>
      <c r="F85" s="102">
        <f t="shared" ref="F85:F90" si="14">ROUND(E85*D85,2)</f>
        <v>198267.57</v>
      </c>
      <c r="G85" s="102">
        <f t="shared" ref="G85:G90" si="15">ROUND(F85*1.2,2)</f>
        <v>237921.08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464.82929999999999</v>
      </c>
      <c r="F86" s="102">
        <f t="shared" si="14"/>
        <v>515495.69</v>
      </c>
      <c r="G86" s="102">
        <f t="shared" si="15"/>
        <v>618594.82999999996</v>
      </c>
    </row>
    <row r="87" spans="1:7" ht="15.6" x14ac:dyDescent="0.3">
      <c r="A87" s="66">
        <f t="shared" ref="A87:A90" si="16">A86+1</f>
        <v>64</v>
      </c>
      <c r="B87" s="67" t="s">
        <v>446</v>
      </c>
      <c r="C87" s="74" t="s">
        <v>193</v>
      </c>
      <c r="D87" s="71">
        <v>1109</v>
      </c>
      <c r="E87" s="172">
        <v>71.512200000000007</v>
      </c>
      <c r="F87" s="102">
        <f t="shared" si="14"/>
        <v>79307.03</v>
      </c>
      <c r="G87" s="102">
        <f t="shared" si="15"/>
        <v>95168.44</v>
      </c>
    </row>
    <row r="88" spans="1:7" ht="15.6" x14ac:dyDescent="0.3">
      <c r="A88" s="66">
        <f t="shared" si="16"/>
        <v>65</v>
      </c>
      <c r="B88" s="67" t="s">
        <v>498</v>
      </c>
      <c r="C88" s="74" t="s">
        <v>193</v>
      </c>
      <c r="D88" s="71">
        <v>1109</v>
      </c>
      <c r="E88" s="172">
        <v>464.82929999999999</v>
      </c>
      <c r="F88" s="102">
        <f t="shared" si="14"/>
        <v>515495.69</v>
      </c>
      <c r="G88" s="102">
        <f t="shared" si="15"/>
        <v>618594.82999999996</v>
      </c>
    </row>
    <row r="89" spans="1:7" ht="27.6" x14ac:dyDescent="0.3">
      <c r="A89" s="66">
        <f t="shared" si="16"/>
        <v>66</v>
      </c>
      <c r="B89" s="67" t="s">
        <v>499</v>
      </c>
      <c r="C89" s="66" t="s">
        <v>239</v>
      </c>
      <c r="D89" s="72">
        <v>1752.2</v>
      </c>
      <c r="E89" s="172">
        <v>4948.6442400000005</v>
      </c>
      <c r="F89" s="102">
        <f t="shared" si="14"/>
        <v>8671014.4399999995</v>
      </c>
      <c r="G89" s="102">
        <f t="shared" si="15"/>
        <v>10405217.33</v>
      </c>
    </row>
    <row r="90" spans="1:7" ht="15.6" x14ac:dyDescent="0.3">
      <c r="A90" s="66">
        <f t="shared" si="16"/>
        <v>67</v>
      </c>
      <c r="B90" s="67" t="s">
        <v>500</v>
      </c>
      <c r="C90" s="74" t="s">
        <v>431</v>
      </c>
      <c r="D90" s="71">
        <v>2637</v>
      </c>
      <c r="E90" s="172">
        <v>464.82929999999999</v>
      </c>
      <c r="F90" s="102">
        <f t="shared" si="14"/>
        <v>1225754.8600000001</v>
      </c>
      <c r="G90" s="102">
        <f t="shared" si="15"/>
        <v>1470905.83</v>
      </c>
    </row>
    <row r="91" spans="1:7" ht="15.6" x14ac:dyDescent="0.3">
      <c r="A91" s="66"/>
      <c r="B91" s="62" t="s">
        <v>365</v>
      </c>
      <c r="C91" s="74"/>
      <c r="D91" s="75"/>
      <c r="E91" s="172">
        <v>0</v>
      </c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464.82929999999999</v>
      </c>
      <c r="F92" s="102">
        <f t="shared" ref="F92:F99" si="17">ROUND(E92*D92,2)</f>
        <v>229430.45</v>
      </c>
      <c r="G92" s="102">
        <f t="shared" ref="G92:G99" si="18">ROUND(F92*1.2,2)</f>
        <v>275316.53999999998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464.82929999999999</v>
      </c>
      <c r="F93" s="102">
        <f t="shared" si="17"/>
        <v>229160.84</v>
      </c>
      <c r="G93" s="102">
        <f t="shared" si="18"/>
        <v>274993.01</v>
      </c>
    </row>
    <row r="94" spans="1:7" ht="15.6" x14ac:dyDescent="0.3">
      <c r="A94" s="466">
        <f t="shared" ref="A94:A99" si="19">A93+1</f>
        <v>70</v>
      </c>
      <c r="B94" s="67" t="s">
        <v>503</v>
      </c>
      <c r="C94" s="74" t="s">
        <v>239</v>
      </c>
      <c r="D94" s="71">
        <v>780</v>
      </c>
      <c r="E94" s="172">
        <f>'исключение-свод'!D1</f>
        <v>4948.6400000000003</v>
      </c>
      <c r="F94" s="102">
        <f t="shared" si="17"/>
        <v>3859939.2</v>
      </c>
      <c r="G94" s="102">
        <f t="shared" si="18"/>
        <v>4631927.04</v>
      </c>
    </row>
    <row r="95" spans="1:7" ht="15.6" x14ac:dyDescent="0.3">
      <c r="A95" s="66">
        <f t="shared" si="19"/>
        <v>71</v>
      </c>
      <c r="B95" s="67" t="s">
        <v>504</v>
      </c>
      <c r="C95" s="74" t="s">
        <v>193</v>
      </c>
      <c r="D95" s="71">
        <v>281</v>
      </c>
      <c r="E95" s="172">
        <v>1589.001084</v>
      </c>
      <c r="F95" s="102">
        <f t="shared" si="17"/>
        <v>446509.3</v>
      </c>
      <c r="G95" s="102">
        <f t="shared" si="18"/>
        <v>535811.16</v>
      </c>
    </row>
    <row r="96" spans="1:7" ht="15.6" x14ac:dyDescent="0.3">
      <c r="A96" s="66">
        <f t="shared" si="19"/>
        <v>72</v>
      </c>
      <c r="B96" s="67" t="s">
        <v>505</v>
      </c>
      <c r="C96" s="74" t="s">
        <v>193</v>
      </c>
      <c r="D96" s="72">
        <v>141.69999999999999</v>
      </c>
      <c r="E96" s="172">
        <v>2508.6479759999997</v>
      </c>
      <c r="F96" s="102">
        <f t="shared" si="17"/>
        <v>355475.42</v>
      </c>
      <c r="G96" s="102">
        <f t="shared" si="18"/>
        <v>426570.5</v>
      </c>
    </row>
    <row r="97" spans="1:7" ht="27.6" x14ac:dyDescent="0.3">
      <c r="A97" s="66">
        <f t="shared" si="19"/>
        <v>73</v>
      </c>
      <c r="B97" s="67" t="s">
        <v>506</v>
      </c>
      <c r="C97" s="74" t="s">
        <v>193</v>
      </c>
      <c r="D97" s="72">
        <v>71.5</v>
      </c>
      <c r="E97" s="172">
        <v>2508.6479759999997</v>
      </c>
      <c r="F97" s="102">
        <f t="shared" si="17"/>
        <v>179368.33</v>
      </c>
      <c r="G97" s="102">
        <f t="shared" si="18"/>
        <v>215242</v>
      </c>
    </row>
    <row r="98" spans="1:7" ht="15.6" x14ac:dyDescent="0.3">
      <c r="A98" s="66">
        <f t="shared" si="19"/>
        <v>74</v>
      </c>
      <c r="B98" s="67" t="s">
        <v>507</v>
      </c>
      <c r="C98" s="74" t="s">
        <v>239</v>
      </c>
      <c r="D98" s="72">
        <v>1.4</v>
      </c>
      <c r="E98" s="172">
        <v>2651.6723759999995</v>
      </c>
      <c r="F98" s="102">
        <f t="shared" si="17"/>
        <v>3712.34</v>
      </c>
      <c r="G98" s="102">
        <f t="shared" si="18"/>
        <v>4454.8100000000004</v>
      </c>
    </row>
    <row r="99" spans="1:7" ht="15.6" x14ac:dyDescent="0.3">
      <c r="A99" s="66">
        <f t="shared" si="19"/>
        <v>75</v>
      </c>
      <c r="B99" s="67" t="s">
        <v>508</v>
      </c>
      <c r="C99" s="74" t="s">
        <v>431</v>
      </c>
      <c r="D99" s="71">
        <v>851</v>
      </c>
      <c r="E99" s="172">
        <v>1630.4781600000001</v>
      </c>
      <c r="F99" s="102">
        <f t="shared" si="17"/>
        <v>1387536.91</v>
      </c>
      <c r="G99" s="102">
        <f t="shared" si="18"/>
        <v>1665044.29</v>
      </c>
    </row>
    <row r="100" spans="1:7" ht="15.6" x14ac:dyDescent="0.3">
      <c r="A100" s="286"/>
      <c r="B100" s="303" t="s">
        <v>922</v>
      </c>
      <c r="C100" s="293"/>
      <c r="D100" s="299"/>
      <c r="E100" s="172">
        <v>0</v>
      </c>
      <c r="F100" s="289"/>
      <c r="G100" s="289"/>
    </row>
    <row r="101" spans="1:7" ht="27.6" x14ac:dyDescent="0.3">
      <c r="A101" s="286">
        <f>A99+1</f>
        <v>76</v>
      </c>
      <c r="B101" s="315" t="s">
        <v>923</v>
      </c>
      <c r="C101" s="286" t="s">
        <v>220</v>
      </c>
      <c r="D101" s="299">
        <v>3</v>
      </c>
      <c r="E101" s="172">
        <v>4917.1788720000004</v>
      </c>
      <c r="F101" s="289">
        <f>ROUND(E101*D101,2)</f>
        <v>14751.54</v>
      </c>
      <c r="G101" s="289">
        <f t="shared" ref="G101:G102" si="20">ROUND(F101*1.2,2)</f>
        <v>17701.849999999999</v>
      </c>
    </row>
    <row r="102" spans="1:7" ht="15.6" x14ac:dyDescent="0.3">
      <c r="A102" s="286">
        <f>A101+1</f>
        <v>77</v>
      </c>
      <c r="B102" s="315" t="s">
        <v>924</v>
      </c>
      <c r="C102" s="286" t="s">
        <v>220</v>
      </c>
      <c r="D102" s="299">
        <v>3</v>
      </c>
      <c r="E102" s="172">
        <v>2972.0470319999999</v>
      </c>
      <c r="F102" s="289">
        <f>ROUND(E102*D102,2)</f>
        <v>8916.14</v>
      </c>
      <c r="G102" s="289">
        <f t="shared" si="20"/>
        <v>10699.37</v>
      </c>
    </row>
    <row r="103" spans="1:7" ht="15.6" x14ac:dyDescent="0.3">
      <c r="A103" s="66"/>
      <c r="B103" s="62" t="s">
        <v>371</v>
      </c>
      <c r="C103" s="74"/>
      <c r="D103" s="71"/>
      <c r="E103" s="172">
        <v>0</v>
      </c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464.82929999999999</v>
      </c>
      <c r="F104" s="102">
        <f>ROUND(E104*D104,2)</f>
        <v>211032.5</v>
      </c>
      <c r="G104" s="102">
        <f t="shared" ref="G104:G106" si="21">ROUND(F104*1.2,2)</f>
        <v>253239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785.20395599999995</v>
      </c>
      <c r="F105" s="102">
        <f>ROUND(E105*D105,2)</f>
        <v>356482.6</v>
      </c>
      <c r="G105" s="102">
        <f t="shared" si="21"/>
        <v>427779.12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157.32684</v>
      </c>
      <c r="F106" s="102">
        <f>ROUND(E106*D106,2)</f>
        <v>71426.39</v>
      </c>
      <c r="G106" s="102">
        <f t="shared" si="21"/>
        <v>85711.67</v>
      </c>
    </row>
    <row r="107" spans="1:7" ht="22.5" customHeight="1" x14ac:dyDescent="0.3">
      <c r="A107" s="174"/>
      <c r="B107" s="478" t="s">
        <v>375</v>
      </c>
      <c r="C107" s="479"/>
      <c r="D107" s="479"/>
      <c r="E107" s="186"/>
      <c r="F107" s="186"/>
      <c r="G107" s="340">
        <f>SUM(G110:G136)</f>
        <v>2232334.8800000004</v>
      </c>
    </row>
    <row r="108" spans="1:7" ht="15.6" x14ac:dyDescent="0.3">
      <c r="A108" s="66"/>
      <c r="B108" s="62" t="s">
        <v>512</v>
      </c>
      <c r="C108" s="74"/>
      <c r="D108" s="71"/>
      <c r="E108" s="172">
        <v>0</v>
      </c>
      <c r="F108" s="88"/>
      <c r="G108" s="128"/>
    </row>
    <row r="109" spans="1:7" ht="15.6" x14ac:dyDescent="0.3">
      <c r="A109" s="66"/>
      <c r="B109" s="62" t="s">
        <v>513</v>
      </c>
      <c r="C109" s="74"/>
      <c r="D109" s="71"/>
      <c r="E109" s="172">
        <v>0</v>
      </c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464.82929999999999</v>
      </c>
      <c r="F110" s="102">
        <f t="shared" ref="F110:F116" si="22">ROUND(E110*D110,2)</f>
        <v>105981.08</v>
      </c>
      <c r="G110" s="102">
        <f t="shared" ref="G110:G116" si="23">ROUND(F110*1.2,2)</f>
        <v>127177.3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2541.5435879999995</v>
      </c>
      <c r="F111" s="102">
        <f t="shared" si="22"/>
        <v>462560.93</v>
      </c>
      <c r="G111" s="102">
        <f t="shared" si="23"/>
        <v>555073.12</v>
      </c>
    </row>
    <row r="112" spans="1:7" ht="15.6" x14ac:dyDescent="0.3">
      <c r="A112" s="66">
        <f t="shared" ref="A112:A116" si="24">A111+1</f>
        <v>83</v>
      </c>
      <c r="B112" s="67" t="s">
        <v>515</v>
      </c>
      <c r="C112" s="66" t="s">
        <v>193</v>
      </c>
      <c r="D112" s="71">
        <v>2</v>
      </c>
      <c r="E112" s="172">
        <v>2541.5435879999995</v>
      </c>
      <c r="F112" s="102">
        <f t="shared" si="22"/>
        <v>5083.09</v>
      </c>
      <c r="G112" s="102">
        <f t="shared" si="23"/>
        <v>6099.71</v>
      </c>
    </row>
    <row r="113" spans="1:7" ht="15.6" x14ac:dyDescent="0.3">
      <c r="A113" s="66">
        <f t="shared" si="24"/>
        <v>84</v>
      </c>
      <c r="B113" s="67" t="s">
        <v>516</v>
      </c>
      <c r="C113" s="66" t="s">
        <v>193</v>
      </c>
      <c r="D113" s="71">
        <v>360</v>
      </c>
      <c r="E113" s="172">
        <v>178.78050000000002</v>
      </c>
      <c r="F113" s="102">
        <f t="shared" si="22"/>
        <v>64360.98</v>
      </c>
      <c r="G113" s="102">
        <f t="shared" si="23"/>
        <v>77233.179999999993</v>
      </c>
    </row>
    <row r="114" spans="1:7" ht="15.6" x14ac:dyDescent="0.3">
      <c r="A114" s="66">
        <f t="shared" si="24"/>
        <v>85</v>
      </c>
      <c r="B114" s="67" t="s">
        <v>517</v>
      </c>
      <c r="C114" s="66" t="s">
        <v>193</v>
      </c>
      <c r="D114" s="71">
        <v>28</v>
      </c>
      <c r="E114" s="172">
        <v>1285.789356</v>
      </c>
      <c r="F114" s="102">
        <f t="shared" si="22"/>
        <v>36002.1</v>
      </c>
      <c r="G114" s="102">
        <f t="shared" si="23"/>
        <v>43202.52</v>
      </c>
    </row>
    <row r="115" spans="1:7" ht="15.6" x14ac:dyDescent="0.3">
      <c r="A115" s="66">
        <f t="shared" si="24"/>
        <v>86</v>
      </c>
      <c r="B115" s="67" t="s">
        <v>518</v>
      </c>
      <c r="C115" s="66" t="s">
        <v>239</v>
      </c>
      <c r="D115" s="72">
        <v>52.8</v>
      </c>
      <c r="E115" s="172">
        <v>464.82929999999999</v>
      </c>
      <c r="F115" s="102">
        <f t="shared" si="22"/>
        <v>24542.99</v>
      </c>
      <c r="G115" s="102">
        <f t="shared" si="23"/>
        <v>29451.59</v>
      </c>
    </row>
    <row r="116" spans="1:7" ht="15.6" x14ac:dyDescent="0.3">
      <c r="A116" s="466">
        <f t="shared" si="24"/>
        <v>87</v>
      </c>
      <c r="B116" s="67" t="s">
        <v>503</v>
      </c>
      <c r="C116" s="66" t="s">
        <v>239</v>
      </c>
      <c r="D116" s="72">
        <v>52.8</v>
      </c>
      <c r="E116" s="172">
        <f>'исключение-свод'!D1</f>
        <v>4948.6400000000003</v>
      </c>
      <c r="F116" s="102">
        <f t="shared" si="22"/>
        <v>261288.19</v>
      </c>
      <c r="G116" s="102">
        <f t="shared" si="23"/>
        <v>313545.83</v>
      </c>
    </row>
    <row r="117" spans="1:7" ht="15.6" x14ac:dyDescent="0.3">
      <c r="A117" s="66"/>
      <c r="B117" s="62" t="s">
        <v>519</v>
      </c>
      <c r="C117" s="66"/>
      <c r="D117" s="72"/>
      <c r="E117" s="172">
        <v>0</v>
      </c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2033.8069679999999</v>
      </c>
      <c r="F118" s="102">
        <f>ROUND(E118*D118,2)</f>
        <v>1627.05</v>
      </c>
      <c r="G118" s="102">
        <f t="shared" ref="G118:G120" si="25">ROUND(F118*1.2,2)</f>
        <v>1952.46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1973.7367200000001</v>
      </c>
      <c r="F119" s="102">
        <f>ROUND(E119*D119,2)</f>
        <v>5921.21</v>
      </c>
      <c r="G119" s="102">
        <f t="shared" si="25"/>
        <v>7105.45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1973.7367200000001</v>
      </c>
      <c r="F120" s="102">
        <f>ROUND(E120*D120,2)</f>
        <v>17763.63</v>
      </c>
      <c r="G120" s="102">
        <f t="shared" si="25"/>
        <v>21316.36</v>
      </c>
    </row>
    <row r="121" spans="1:7" ht="15.6" x14ac:dyDescent="0.3">
      <c r="A121" s="66"/>
      <c r="B121" s="62" t="s">
        <v>523</v>
      </c>
      <c r="C121" s="66"/>
      <c r="D121" s="71"/>
      <c r="E121" s="172">
        <v>0</v>
      </c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770.9015159999999</v>
      </c>
      <c r="F122" s="102">
        <f>ROUND(E122*D122,2)</f>
        <v>22356.14</v>
      </c>
      <c r="G122" s="102">
        <f t="shared" ref="G122" si="26">ROUND(F122*1.2,2)</f>
        <v>26827.37</v>
      </c>
    </row>
    <row r="123" spans="1:7" ht="15.6" x14ac:dyDescent="0.3">
      <c r="A123" s="66"/>
      <c r="B123" s="62" t="s">
        <v>525</v>
      </c>
      <c r="C123" s="66"/>
      <c r="D123" s="71"/>
      <c r="E123" s="172">
        <v>0</v>
      </c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25993.254456000002</v>
      </c>
      <c r="F124" s="102">
        <f>ROUND(E124*D124,2)</f>
        <v>84218.14</v>
      </c>
      <c r="G124" s="102">
        <f t="shared" ref="G124:G126" si="27">ROUND(F124*1.2,2)</f>
        <v>101061.77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36150.847343999994</v>
      </c>
      <c r="F125" s="102">
        <f>ROUND(E125*D125,2)</f>
        <v>126527.97</v>
      </c>
      <c r="G125" s="102">
        <f t="shared" si="27"/>
        <v>151833.56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99795.275100000013</v>
      </c>
      <c r="F126" s="102">
        <f>ROUND(E126*D126,2)</f>
        <v>748.46</v>
      </c>
      <c r="G126" s="102">
        <f t="shared" si="27"/>
        <v>898.15</v>
      </c>
    </row>
    <row r="127" spans="1:7" ht="27.6" x14ac:dyDescent="0.3">
      <c r="A127" s="66"/>
      <c r="B127" s="62" t="s">
        <v>529</v>
      </c>
      <c r="C127" s="66"/>
      <c r="D127" s="71"/>
      <c r="E127" s="172">
        <v>0</v>
      </c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464.82929999999999</v>
      </c>
      <c r="F128" s="102">
        <f t="shared" ref="F128:F136" si="28">ROUND(E128*D128,2)</f>
        <v>154323.32999999999</v>
      </c>
      <c r="G128" s="102">
        <f t="shared" ref="G128:G136" si="29">ROUND(F128*1.2,2)</f>
        <v>185188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2541.5435879999995</v>
      </c>
      <c r="F129" s="102">
        <f t="shared" si="28"/>
        <v>25415.439999999999</v>
      </c>
      <c r="G129" s="102">
        <f t="shared" si="29"/>
        <v>30498.53</v>
      </c>
    </row>
    <row r="130" spans="1:7" ht="15.6" x14ac:dyDescent="0.3">
      <c r="A130" s="66">
        <f t="shared" ref="A130:A136" si="30">A129+1</f>
        <v>97</v>
      </c>
      <c r="B130" s="67" t="s">
        <v>530</v>
      </c>
      <c r="C130" s="66" t="s">
        <v>194</v>
      </c>
      <c r="D130" s="71">
        <v>27</v>
      </c>
      <c r="E130" s="172">
        <v>6988.172184</v>
      </c>
      <c r="F130" s="102">
        <f t="shared" si="28"/>
        <v>188680.65</v>
      </c>
      <c r="G130" s="102">
        <f t="shared" si="29"/>
        <v>226416.78</v>
      </c>
    </row>
    <row r="131" spans="1:7" ht="27.6" x14ac:dyDescent="0.3">
      <c r="A131" s="66">
        <f t="shared" si="30"/>
        <v>98</v>
      </c>
      <c r="B131" s="67" t="s">
        <v>531</v>
      </c>
      <c r="C131" s="66" t="s">
        <v>194</v>
      </c>
      <c r="D131" s="71">
        <v>27</v>
      </c>
      <c r="E131" s="172">
        <v>592.12101599999994</v>
      </c>
      <c r="F131" s="102">
        <f t="shared" si="28"/>
        <v>15987.27</v>
      </c>
      <c r="G131" s="102">
        <f t="shared" si="29"/>
        <v>19184.72</v>
      </c>
    </row>
    <row r="132" spans="1:7" ht="15.6" x14ac:dyDescent="0.3">
      <c r="A132" s="66">
        <f t="shared" si="30"/>
        <v>99</v>
      </c>
      <c r="B132" s="67" t="s">
        <v>532</v>
      </c>
      <c r="C132" s="66" t="s">
        <v>194</v>
      </c>
      <c r="D132" s="71">
        <v>27</v>
      </c>
      <c r="E132" s="172">
        <v>5296.1935320000002</v>
      </c>
      <c r="F132" s="102">
        <f t="shared" si="28"/>
        <v>142997.23000000001</v>
      </c>
      <c r="G132" s="102">
        <f t="shared" si="29"/>
        <v>171596.68</v>
      </c>
    </row>
    <row r="133" spans="1:7" ht="15.6" x14ac:dyDescent="0.3">
      <c r="A133" s="66">
        <f t="shared" si="30"/>
        <v>100</v>
      </c>
      <c r="B133" s="67" t="s">
        <v>516</v>
      </c>
      <c r="C133" s="66" t="s">
        <v>193</v>
      </c>
      <c r="D133" s="71">
        <v>321</v>
      </c>
      <c r="E133" s="172">
        <v>178.78050000000002</v>
      </c>
      <c r="F133" s="102">
        <f t="shared" si="28"/>
        <v>57388.54</v>
      </c>
      <c r="G133" s="102">
        <f t="shared" si="29"/>
        <v>68866.25</v>
      </c>
    </row>
    <row r="134" spans="1:7" ht="15.6" x14ac:dyDescent="0.3">
      <c r="A134" s="66">
        <f t="shared" si="30"/>
        <v>101</v>
      </c>
      <c r="B134" s="67" t="s">
        <v>517</v>
      </c>
      <c r="C134" s="66" t="s">
        <v>193</v>
      </c>
      <c r="D134" s="71">
        <v>17</v>
      </c>
      <c r="E134" s="172">
        <v>1285.789356</v>
      </c>
      <c r="F134" s="102">
        <f t="shared" si="28"/>
        <v>21858.42</v>
      </c>
      <c r="G134" s="102">
        <f t="shared" si="29"/>
        <v>26230.1</v>
      </c>
    </row>
    <row r="135" spans="1:7" ht="15.6" x14ac:dyDescent="0.3">
      <c r="A135" s="66">
        <f t="shared" si="30"/>
        <v>102</v>
      </c>
      <c r="B135" s="67" t="s">
        <v>518</v>
      </c>
      <c r="C135" s="66" t="s">
        <v>239</v>
      </c>
      <c r="D135" s="72">
        <v>6.4</v>
      </c>
      <c r="E135" s="172">
        <v>464.82929999999999</v>
      </c>
      <c r="F135" s="102">
        <f t="shared" si="28"/>
        <v>2974.91</v>
      </c>
      <c r="G135" s="102">
        <f t="shared" si="29"/>
        <v>3569.89</v>
      </c>
    </row>
    <row r="136" spans="1:7" ht="15.6" x14ac:dyDescent="0.3">
      <c r="A136" s="466">
        <f t="shared" si="30"/>
        <v>103</v>
      </c>
      <c r="B136" s="67" t="s">
        <v>503</v>
      </c>
      <c r="C136" s="66" t="s">
        <v>239</v>
      </c>
      <c r="D136" s="72">
        <v>6.4</v>
      </c>
      <c r="E136" s="172">
        <f>'исключение-свод'!D1</f>
        <v>4948.6400000000003</v>
      </c>
      <c r="F136" s="102">
        <f t="shared" si="28"/>
        <v>31671.3</v>
      </c>
      <c r="G136" s="102">
        <f t="shared" si="29"/>
        <v>38005.56</v>
      </c>
    </row>
    <row r="137" spans="1:7" ht="21" customHeight="1" x14ac:dyDescent="0.3">
      <c r="A137" s="174"/>
      <c r="B137" s="478" t="s">
        <v>399</v>
      </c>
      <c r="C137" s="479"/>
      <c r="D137" s="479"/>
      <c r="E137" s="186"/>
      <c r="F137" s="186"/>
      <c r="G137" s="340">
        <f>SUM(G140:G235)</f>
        <v>4960422.9000000013</v>
      </c>
    </row>
    <row r="138" spans="1:7" ht="15.6" x14ac:dyDescent="0.3">
      <c r="A138" s="66"/>
      <c r="B138" s="62" t="s">
        <v>512</v>
      </c>
      <c r="C138" s="74"/>
      <c r="D138" s="71"/>
      <c r="E138" s="172">
        <v>0</v>
      </c>
      <c r="F138" s="88"/>
      <c r="G138" s="128"/>
    </row>
    <row r="139" spans="1:7" ht="15.6" x14ac:dyDescent="0.3">
      <c r="A139" s="66"/>
      <c r="B139" s="62" t="s">
        <v>708</v>
      </c>
      <c r="C139" s="66"/>
      <c r="D139" s="72"/>
      <c r="E139" s="172">
        <v>0</v>
      </c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26674.582968600003</v>
      </c>
      <c r="F140" s="102">
        <f t="shared" ref="F140:F145" si="31">ROUND(E140*D140,2)</f>
        <v>144042.75</v>
      </c>
      <c r="G140" s="102">
        <f t="shared" ref="G140:G145" si="32">ROUND(F140*1.2,2)</f>
        <v>172851.3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44540.334819169802</v>
      </c>
      <c r="F141" s="102">
        <f t="shared" si="31"/>
        <v>91753.09</v>
      </c>
      <c r="G141" s="102">
        <f t="shared" si="32"/>
        <v>110103.71</v>
      </c>
    </row>
    <row r="142" spans="1:7" ht="15.6" x14ac:dyDescent="0.3">
      <c r="A142" s="87">
        <f t="shared" ref="A142:A145" si="33">A141+1</f>
        <v>106</v>
      </c>
      <c r="B142" s="244" t="s">
        <v>927</v>
      </c>
      <c r="C142" s="87" t="s">
        <v>239</v>
      </c>
      <c r="D142" s="227">
        <v>1.95</v>
      </c>
      <c r="E142" s="172">
        <v>44540.334819169802</v>
      </c>
      <c r="F142" s="103">
        <f t="shared" si="31"/>
        <v>86853.65</v>
      </c>
      <c r="G142" s="103">
        <f t="shared" si="32"/>
        <v>104224.38</v>
      </c>
    </row>
    <row r="143" spans="1:7" ht="15.6" x14ac:dyDescent="0.3">
      <c r="A143" s="66">
        <f t="shared" si="33"/>
        <v>107</v>
      </c>
      <c r="B143" s="67" t="s">
        <v>535</v>
      </c>
      <c r="C143" s="66" t="s">
        <v>239</v>
      </c>
      <c r="D143" s="227">
        <v>1.65</v>
      </c>
      <c r="E143" s="172">
        <v>44540.33481916981</v>
      </c>
      <c r="F143" s="102">
        <f t="shared" si="31"/>
        <v>73491.55</v>
      </c>
      <c r="G143" s="102">
        <f t="shared" si="32"/>
        <v>88189.86</v>
      </c>
    </row>
    <row r="144" spans="1:7" ht="15.6" x14ac:dyDescent="0.3">
      <c r="A144" s="66">
        <f t="shared" si="33"/>
        <v>108</v>
      </c>
      <c r="B144" s="67" t="s">
        <v>536</v>
      </c>
      <c r="C144" s="66" t="s">
        <v>239</v>
      </c>
      <c r="D144" s="227">
        <v>20</v>
      </c>
      <c r="E144" s="172">
        <v>357.56100000000004</v>
      </c>
      <c r="F144" s="102">
        <f t="shared" si="31"/>
        <v>7151.22</v>
      </c>
      <c r="G144" s="102">
        <f t="shared" si="32"/>
        <v>8581.4599999999991</v>
      </c>
    </row>
    <row r="145" spans="1:7" ht="15.6" x14ac:dyDescent="0.3">
      <c r="A145" s="66">
        <f t="shared" si="33"/>
        <v>109</v>
      </c>
      <c r="B145" s="80" t="s">
        <v>446</v>
      </c>
      <c r="C145" s="66" t="s">
        <v>193</v>
      </c>
      <c r="D145" s="227">
        <v>20</v>
      </c>
      <c r="E145" s="172">
        <v>71.512200000000007</v>
      </c>
      <c r="F145" s="102">
        <f t="shared" si="31"/>
        <v>1430.24</v>
      </c>
      <c r="G145" s="102">
        <f t="shared" si="32"/>
        <v>1716.29</v>
      </c>
    </row>
    <row r="146" spans="1:7" ht="15.6" x14ac:dyDescent="0.3">
      <c r="A146" s="66"/>
      <c r="B146" s="187" t="s">
        <v>513</v>
      </c>
      <c r="C146" s="74"/>
      <c r="D146" s="228"/>
      <c r="E146" s="172">
        <v>0</v>
      </c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464.82929999999999</v>
      </c>
      <c r="F147" s="102">
        <f>ROUND(E147*D147,2)</f>
        <v>35977.79</v>
      </c>
      <c r="G147" s="102">
        <f t="shared" ref="G147:G151" si="34">ROUND(F147*1.2,2)</f>
        <v>43173.35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2541.02870016</v>
      </c>
      <c r="F148" s="102">
        <f>ROUND(E148*D148,2)</f>
        <v>3811.54</v>
      </c>
      <c r="G148" s="102">
        <f t="shared" si="34"/>
        <v>4573.8500000000004</v>
      </c>
    </row>
    <row r="149" spans="1:7" ht="15.6" x14ac:dyDescent="0.3">
      <c r="A149" s="66">
        <f t="shared" ref="A149:A151" si="35">A148+1</f>
        <v>111</v>
      </c>
      <c r="B149" s="67" t="s">
        <v>537</v>
      </c>
      <c r="C149" s="66" t="s">
        <v>193</v>
      </c>
      <c r="D149" s="228">
        <v>80.099999999999994</v>
      </c>
      <c r="E149" s="172">
        <v>178.78050000000002</v>
      </c>
      <c r="F149" s="102">
        <f>ROUND(E149*D149,2)</f>
        <v>14320.32</v>
      </c>
      <c r="G149" s="102">
        <f t="shared" si="34"/>
        <v>17184.38</v>
      </c>
    </row>
    <row r="150" spans="1:7" ht="15.6" x14ac:dyDescent="0.3">
      <c r="A150" s="66">
        <f t="shared" si="35"/>
        <v>112</v>
      </c>
      <c r="B150" s="67" t="s">
        <v>538</v>
      </c>
      <c r="C150" s="66" t="s">
        <v>193</v>
      </c>
      <c r="D150" s="228">
        <v>4.2</v>
      </c>
      <c r="E150" s="172">
        <v>1285.5748194000003</v>
      </c>
      <c r="F150" s="102">
        <f>ROUND(E150*D150,2)</f>
        <v>5399.41</v>
      </c>
      <c r="G150" s="102">
        <f t="shared" si="34"/>
        <v>6479.29</v>
      </c>
    </row>
    <row r="151" spans="1:7" ht="15.6" x14ac:dyDescent="0.3">
      <c r="A151" s="66">
        <f t="shared" si="35"/>
        <v>113</v>
      </c>
      <c r="B151" s="67" t="s">
        <v>539</v>
      </c>
      <c r="C151" s="66" t="s">
        <v>239</v>
      </c>
      <c r="D151" s="227">
        <v>8.64</v>
      </c>
      <c r="E151" s="172">
        <v>178.78050000000002</v>
      </c>
      <c r="F151" s="102">
        <f>ROUND(E151*D151,2)</f>
        <v>1544.66</v>
      </c>
      <c r="G151" s="102">
        <f t="shared" si="34"/>
        <v>1853.59</v>
      </c>
    </row>
    <row r="152" spans="1:7" ht="15.6" x14ac:dyDescent="0.3">
      <c r="A152" s="66"/>
      <c r="B152" s="62" t="s">
        <v>513</v>
      </c>
      <c r="C152" s="74"/>
      <c r="D152" s="153"/>
      <c r="E152" s="172">
        <v>0</v>
      </c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464.82929999999999</v>
      </c>
      <c r="F153" s="102">
        <f t="shared" ref="F153:F159" si="36">ROUND(E153*D153,2)</f>
        <v>329238.59000000003</v>
      </c>
      <c r="G153" s="102">
        <f t="shared" ref="G153:G159" si="37">ROUND(F153*1.2,2)</f>
        <v>395086.31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2541.4444886966298</v>
      </c>
      <c r="F154" s="102">
        <f t="shared" si="36"/>
        <v>47092.97</v>
      </c>
      <c r="G154" s="102">
        <f t="shared" si="37"/>
        <v>56511.56</v>
      </c>
    </row>
    <row r="155" spans="1:7" ht="19.5" customHeight="1" x14ac:dyDescent="0.3">
      <c r="A155" s="66">
        <f t="shared" ref="A155:A159" si="38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178.78050000000002</v>
      </c>
      <c r="F155" s="102">
        <f t="shared" si="36"/>
        <v>90827.65</v>
      </c>
      <c r="G155" s="102">
        <f t="shared" si="37"/>
        <v>108993.18</v>
      </c>
    </row>
    <row r="156" spans="1:7" ht="15.6" x14ac:dyDescent="0.3">
      <c r="A156" s="66">
        <f t="shared" si="38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1285.3412128800001</v>
      </c>
      <c r="F156" s="102">
        <f t="shared" si="36"/>
        <v>163238.32999999999</v>
      </c>
      <c r="G156" s="102">
        <f t="shared" si="37"/>
        <v>195886</v>
      </c>
    </row>
    <row r="157" spans="1:7" ht="15.6" x14ac:dyDescent="0.3">
      <c r="A157" s="66">
        <f t="shared" si="38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464.82929999999999</v>
      </c>
      <c r="F157" s="102">
        <f t="shared" si="36"/>
        <v>68283.42</v>
      </c>
      <c r="G157" s="102">
        <f t="shared" si="37"/>
        <v>81940.100000000006</v>
      </c>
    </row>
    <row r="158" spans="1:7" ht="15.6" x14ac:dyDescent="0.3">
      <c r="A158" s="66">
        <f t="shared" si="38"/>
        <v>119</v>
      </c>
      <c r="B158" s="67" t="s">
        <v>541</v>
      </c>
      <c r="C158" s="66" t="s">
        <v>239</v>
      </c>
      <c r="D158" s="228">
        <f t="shared" ref="D158:D159" si="39">132.8+14.1</f>
        <v>146.9</v>
      </c>
      <c r="E158" s="172">
        <v>357.56100000000004</v>
      </c>
      <c r="F158" s="102">
        <f t="shared" si="36"/>
        <v>52525.71</v>
      </c>
      <c r="G158" s="102">
        <f t="shared" si="37"/>
        <v>63030.85</v>
      </c>
    </row>
    <row r="159" spans="1:7" ht="15.6" x14ac:dyDescent="0.3">
      <c r="A159" s="66">
        <f t="shared" si="38"/>
        <v>120</v>
      </c>
      <c r="B159" s="80" t="s">
        <v>446</v>
      </c>
      <c r="C159" s="66" t="s">
        <v>193</v>
      </c>
      <c r="D159" s="228">
        <f t="shared" si="39"/>
        <v>146.9</v>
      </c>
      <c r="E159" s="172">
        <v>71.512200000000007</v>
      </c>
      <c r="F159" s="102">
        <f t="shared" si="36"/>
        <v>10505.14</v>
      </c>
      <c r="G159" s="102">
        <f t="shared" si="37"/>
        <v>12606.17</v>
      </c>
    </row>
    <row r="160" spans="1:7" ht="27.6" x14ac:dyDescent="0.3">
      <c r="A160" s="66"/>
      <c r="B160" s="62" t="s">
        <v>940</v>
      </c>
      <c r="C160" s="66"/>
      <c r="D160" s="72"/>
      <c r="E160" s="172">
        <v>0</v>
      </c>
      <c r="F160" s="88"/>
      <c r="G160" s="128"/>
    </row>
    <row r="161" spans="1:8" ht="41.4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8924.7225600000002</v>
      </c>
      <c r="F161" s="102">
        <f t="shared" ref="F161:F183" si="40">ROUND(E161*D161,2)</f>
        <v>98171.95</v>
      </c>
      <c r="G161" s="102">
        <f t="shared" ref="G161:G224" si="41">ROUND(F161*1.2,2)</f>
        <v>117806.34</v>
      </c>
    </row>
    <row r="162" spans="1:8" ht="27.6" x14ac:dyDescent="0.3">
      <c r="A162" s="66">
        <f t="shared" ref="A162:A202" si="42">A161+1</f>
        <v>122</v>
      </c>
      <c r="B162" s="67" t="s">
        <v>543</v>
      </c>
      <c r="C162" s="66" t="s">
        <v>220</v>
      </c>
      <c r="D162" s="153">
        <v>43</v>
      </c>
      <c r="E162" s="172">
        <v>2231.18064</v>
      </c>
      <c r="F162" s="102">
        <f t="shared" si="40"/>
        <v>95940.77</v>
      </c>
      <c r="G162" s="102">
        <f t="shared" si="41"/>
        <v>115128.92</v>
      </c>
    </row>
    <row r="163" spans="1:8" ht="41.4" x14ac:dyDescent="0.3">
      <c r="A163" s="66">
        <f t="shared" si="42"/>
        <v>123</v>
      </c>
      <c r="B163" s="67" t="s">
        <v>544</v>
      </c>
      <c r="C163" s="66" t="s">
        <v>220</v>
      </c>
      <c r="D163" s="153">
        <v>14</v>
      </c>
      <c r="E163" s="172">
        <v>1516.05864</v>
      </c>
      <c r="F163" s="102">
        <f t="shared" si="40"/>
        <v>21224.82</v>
      </c>
      <c r="G163" s="102">
        <f t="shared" si="41"/>
        <v>25469.78</v>
      </c>
    </row>
    <row r="164" spans="1:8" ht="27.6" x14ac:dyDescent="0.3">
      <c r="A164" s="66">
        <f t="shared" si="42"/>
        <v>124</v>
      </c>
      <c r="B164" s="67" t="s">
        <v>545</v>
      </c>
      <c r="C164" s="66" t="s">
        <v>193</v>
      </c>
      <c r="D164" s="227">
        <v>0.02</v>
      </c>
      <c r="E164" s="172">
        <v>182207.36462399998</v>
      </c>
      <c r="F164" s="102">
        <f t="shared" si="40"/>
        <v>3644.15</v>
      </c>
      <c r="G164" s="102">
        <f t="shared" si="41"/>
        <v>4372.9799999999996</v>
      </c>
    </row>
    <row r="165" spans="1:8" ht="27.6" x14ac:dyDescent="0.3">
      <c r="A165" s="66">
        <f t="shared" si="42"/>
        <v>125</v>
      </c>
      <c r="B165" s="67" t="s">
        <v>546</v>
      </c>
      <c r="C165" s="66" t="s">
        <v>193</v>
      </c>
      <c r="D165" s="227">
        <v>5.63</v>
      </c>
      <c r="E165" s="172">
        <v>8242.7785535076946</v>
      </c>
      <c r="F165" s="102">
        <f t="shared" si="40"/>
        <v>46406.84</v>
      </c>
      <c r="G165" s="102">
        <f t="shared" si="41"/>
        <v>55688.21</v>
      </c>
    </row>
    <row r="166" spans="1:8" ht="27.6" x14ac:dyDescent="0.3">
      <c r="A166" s="87">
        <f t="shared" si="42"/>
        <v>126</v>
      </c>
      <c r="B166" s="244" t="s">
        <v>928</v>
      </c>
      <c r="C166" s="87" t="s">
        <v>431</v>
      </c>
      <c r="D166" s="227">
        <v>171.64</v>
      </c>
      <c r="E166" s="172">
        <v>1441.2535526511631</v>
      </c>
      <c r="F166" s="103">
        <f t="shared" si="40"/>
        <v>247376.76</v>
      </c>
      <c r="G166" s="103">
        <f t="shared" si="41"/>
        <v>296852.11</v>
      </c>
    </row>
    <row r="167" spans="1:8" ht="27.6" x14ac:dyDescent="0.3">
      <c r="A167" s="87">
        <f t="shared" si="42"/>
        <v>127</v>
      </c>
      <c r="B167" s="244" t="s">
        <v>929</v>
      </c>
      <c r="C167" s="251" t="s">
        <v>431</v>
      </c>
      <c r="D167" s="227">
        <v>171.64</v>
      </c>
      <c r="E167" s="172">
        <v>217.397088</v>
      </c>
      <c r="F167" s="103">
        <f t="shared" si="40"/>
        <v>37314.04</v>
      </c>
      <c r="G167" s="103">
        <f t="shared" si="41"/>
        <v>44776.85</v>
      </c>
    </row>
    <row r="168" spans="1:8" ht="27.6" x14ac:dyDescent="0.3">
      <c r="A168" s="87">
        <f t="shared" si="42"/>
        <v>128</v>
      </c>
      <c r="B168" s="244" t="s">
        <v>930</v>
      </c>
      <c r="C168" s="87" t="s">
        <v>431</v>
      </c>
      <c r="D168" s="227">
        <v>171.64</v>
      </c>
      <c r="E168" s="172">
        <v>451.29919176000004</v>
      </c>
      <c r="F168" s="103">
        <f t="shared" si="40"/>
        <v>77460.990000000005</v>
      </c>
      <c r="G168" s="103">
        <f t="shared" si="41"/>
        <v>92953.19</v>
      </c>
    </row>
    <row r="169" spans="1:8" ht="27.6" x14ac:dyDescent="0.3">
      <c r="A169" s="286">
        <f t="shared" si="42"/>
        <v>129</v>
      </c>
      <c r="B169" s="291" t="s">
        <v>1066</v>
      </c>
      <c r="C169" s="286" t="s">
        <v>193</v>
      </c>
      <c r="D169" s="288">
        <v>0.34</v>
      </c>
      <c r="E169" s="172">
        <v>43412.110317359999</v>
      </c>
      <c r="F169" s="289">
        <f t="shared" si="40"/>
        <v>14760.12</v>
      </c>
      <c r="G169" s="289">
        <f t="shared" si="41"/>
        <v>17712.14</v>
      </c>
      <c r="H169" s="211"/>
    </row>
    <row r="170" spans="1:8" ht="27.6" x14ac:dyDescent="0.3">
      <c r="A170" s="286">
        <f t="shared" si="42"/>
        <v>130</v>
      </c>
      <c r="B170" s="291" t="s">
        <v>931</v>
      </c>
      <c r="C170" s="286" t="s">
        <v>193</v>
      </c>
      <c r="D170" s="288">
        <v>0.62</v>
      </c>
      <c r="E170" s="172">
        <v>43412.110317359999</v>
      </c>
      <c r="F170" s="289">
        <f t="shared" si="40"/>
        <v>26915.51</v>
      </c>
      <c r="G170" s="289">
        <f t="shared" si="41"/>
        <v>32298.61</v>
      </c>
    </row>
    <row r="171" spans="1:8" ht="27.6" x14ac:dyDescent="0.3">
      <c r="A171" s="87">
        <f t="shared" si="42"/>
        <v>131</v>
      </c>
      <c r="B171" s="244" t="s">
        <v>928</v>
      </c>
      <c r="C171" s="87" t="s">
        <v>431</v>
      </c>
      <c r="D171" s="227">
        <v>0.8</v>
      </c>
      <c r="E171" s="172">
        <v>1441.2535526511631</v>
      </c>
      <c r="F171" s="103">
        <f t="shared" si="40"/>
        <v>1153</v>
      </c>
      <c r="G171" s="103">
        <f t="shared" si="41"/>
        <v>1383.6</v>
      </c>
    </row>
    <row r="172" spans="1:8" ht="27.6" x14ac:dyDescent="0.3">
      <c r="A172" s="87">
        <f t="shared" si="42"/>
        <v>132</v>
      </c>
      <c r="B172" s="244" t="s">
        <v>929</v>
      </c>
      <c r="C172" s="251" t="s">
        <v>431</v>
      </c>
      <c r="D172" s="227">
        <v>3.8</v>
      </c>
      <c r="E172" s="172">
        <v>217.397088</v>
      </c>
      <c r="F172" s="103">
        <f t="shared" si="40"/>
        <v>826.11</v>
      </c>
      <c r="G172" s="103">
        <f t="shared" si="41"/>
        <v>991.33</v>
      </c>
    </row>
    <row r="173" spans="1:8" ht="27.6" x14ac:dyDescent="0.3">
      <c r="A173" s="87">
        <f t="shared" si="42"/>
        <v>133</v>
      </c>
      <c r="B173" s="244" t="s">
        <v>930</v>
      </c>
      <c r="C173" s="87" t="s">
        <v>431</v>
      </c>
      <c r="D173" s="227">
        <v>3.8</v>
      </c>
      <c r="E173" s="172">
        <v>451.29919176000004</v>
      </c>
      <c r="F173" s="103">
        <f t="shared" si="40"/>
        <v>1714.94</v>
      </c>
      <c r="G173" s="103">
        <f t="shared" si="41"/>
        <v>2057.9299999999998</v>
      </c>
    </row>
    <row r="174" spans="1:8" ht="15.6" x14ac:dyDescent="0.3">
      <c r="A174" s="87">
        <f t="shared" si="42"/>
        <v>134</v>
      </c>
      <c r="B174" s="244" t="s">
        <v>932</v>
      </c>
      <c r="C174" s="87" t="s">
        <v>193</v>
      </c>
      <c r="D174" s="227">
        <v>1.5</v>
      </c>
      <c r="E174" s="172">
        <v>8239.6978685217382</v>
      </c>
      <c r="F174" s="103">
        <f t="shared" si="40"/>
        <v>12359.55</v>
      </c>
      <c r="G174" s="103">
        <f t="shared" si="41"/>
        <v>14831.46</v>
      </c>
    </row>
    <row r="175" spans="1:8" ht="27.6" x14ac:dyDescent="0.3">
      <c r="A175" s="324">
        <f t="shared" si="42"/>
        <v>135</v>
      </c>
      <c r="B175" s="325" t="s">
        <v>933</v>
      </c>
      <c r="C175" s="324" t="s">
        <v>193</v>
      </c>
      <c r="D175" s="326">
        <v>0.16</v>
      </c>
      <c r="E175" s="172">
        <v>9931.2567749999998</v>
      </c>
      <c r="F175" s="289">
        <f t="shared" si="40"/>
        <v>1589</v>
      </c>
      <c r="G175" s="289">
        <f t="shared" si="41"/>
        <v>1906.8</v>
      </c>
    </row>
    <row r="176" spans="1:8" ht="15.6" x14ac:dyDescent="0.3">
      <c r="A176" s="324">
        <f t="shared" si="42"/>
        <v>136</v>
      </c>
      <c r="B176" s="325" t="s">
        <v>934</v>
      </c>
      <c r="C176" s="324" t="s">
        <v>193</v>
      </c>
      <c r="D176" s="326">
        <v>0.6</v>
      </c>
      <c r="E176" s="172">
        <v>9930.6608400000005</v>
      </c>
      <c r="F176" s="289">
        <f t="shared" si="40"/>
        <v>5958.4</v>
      </c>
      <c r="G176" s="289">
        <f t="shared" si="41"/>
        <v>7150.08</v>
      </c>
    </row>
    <row r="177" spans="1:8" ht="27.6" x14ac:dyDescent="0.3">
      <c r="A177" s="87">
        <f t="shared" si="42"/>
        <v>137</v>
      </c>
      <c r="B177" s="244" t="s">
        <v>928</v>
      </c>
      <c r="C177" s="87" t="s">
        <v>431</v>
      </c>
      <c r="D177" s="227">
        <v>4.5</v>
      </c>
      <c r="E177" s="172">
        <v>1441.2535526511631</v>
      </c>
      <c r="F177" s="103">
        <f t="shared" si="40"/>
        <v>6485.64</v>
      </c>
      <c r="G177" s="103">
        <f t="shared" si="41"/>
        <v>7782.77</v>
      </c>
    </row>
    <row r="178" spans="1:8" ht="27.6" x14ac:dyDescent="0.3">
      <c r="A178" s="87">
        <f t="shared" si="42"/>
        <v>138</v>
      </c>
      <c r="B178" s="244" t="s">
        <v>929</v>
      </c>
      <c r="C178" s="251" t="s">
        <v>431</v>
      </c>
      <c r="D178" s="227">
        <v>4.5</v>
      </c>
      <c r="E178" s="172">
        <v>217.397088</v>
      </c>
      <c r="F178" s="103">
        <f t="shared" si="40"/>
        <v>978.29</v>
      </c>
      <c r="G178" s="103">
        <f t="shared" si="41"/>
        <v>1173.95</v>
      </c>
    </row>
    <row r="179" spans="1:8" ht="27.6" x14ac:dyDescent="0.3">
      <c r="A179" s="87">
        <f t="shared" si="42"/>
        <v>139</v>
      </c>
      <c r="B179" s="244" t="s">
        <v>930</v>
      </c>
      <c r="C179" s="87" t="s">
        <v>431</v>
      </c>
      <c r="D179" s="227">
        <v>4.5</v>
      </c>
      <c r="E179" s="172">
        <v>451.29919176000004</v>
      </c>
      <c r="F179" s="103">
        <f t="shared" si="40"/>
        <v>2030.85</v>
      </c>
      <c r="G179" s="103">
        <f t="shared" si="41"/>
        <v>2437.02</v>
      </c>
    </row>
    <row r="180" spans="1:8" ht="15.6" x14ac:dyDescent="0.3">
      <c r="A180" s="286">
        <f t="shared" si="42"/>
        <v>140</v>
      </c>
      <c r="B180" s="291" t="s">
        <v>935</v>
      </c>
      <c r="C180" s="286" t="s">
        <v>193</v>
      </c>
      <c r="D180" s="288">
        <v>0.08</v>
      </c>
      <c r="E180" s="172">
        <v>40761.953999999998</v>
      </c>
      <c r="F180" s="289">
        <f t="shared" si="40"/>
        <v>3260.96</v>
      </c>
      <c r="G180" s="289">
        <f t="shared" si="41"/>
        <v>3913.15</v>
      </c>
    </row>
    <row r="181" spans="1:8" ht="15.6" x14ac:dyDescent="0.3">
      <c r="A181" s="286">
        <f t="shared" si="42"/>
        <v>141</v>
      </c>
      <c r="B181" s="291" t="s">
        <v>939</v>
      </c>
      <c r="C181" s="286" t="s">
        <v>220</v>
      </c>
      <c r="D181" s="299">
        <v>1</v>
      </c>
      <c r="E181" s="172">
        <v>37525.311827999998</v>
      </c>
      <c r="F181" s="289">
        <f t="shared" si="40"/>
        <v>37525.31</v>
      </c>
      <c r="G181" s="289">
        <f t="shared" si="41"/>
        <v>45030.37</v>
      </c>
    </row>
    <row r="182" spans="1:8" ht="15.6" x14ac:dyDescent="0.3">
      <c r="A182" s="286">
        <f t="shared" si="42"/>
        <v>142</v>
      </c>
      <c r="B182" s="291" t="s">
        <v>1250</v>
      </c>
      <c r="C182" s="286" t="s">
        <v>254</v>
      </c>
      <c r="D182" s="288">
        <v>138.83000000000001</v>
      </c>
      <c r="E182" s="172">
        <v>31.287553324209458</v>
      </c>
      <c r="F182" s="289">
        <f t="shared" si="40"/>
        <v>4343.6499999999996</v>
      </c>
      <c r="G182" s="289">
        <f t="shared" si="41"/>
        <v>5212.38</v>
      </c>
    </row>
    <row r="183" spans="1:8" ht="15.6" x14ac:dyDescent="0.3">
      <c r="A183" s="286">
        <f t="shared" si="42"/>
        <v>143</v>
      </c>
      <c r="B183" s="291" t="s">
        <v>938</v>
      </c>
      <c r="C183" s="286" t="s">
        <v>254</v>
      </c>
      <c r="D183" s="288">
        <v>45</v>
      </c>
      <c r="E183" s="172">
        <v>164.82131856000001</v>
      </c>
      <c r="F183" s="289">
        <f t="shared" si="40"/>
        <v>7416.96</v>
      </c>
      <c r="G183" s="289">
        <f t="shared" si="41"/>
        <v>8900.35</v>
      </c>
    </row>
    <row r="184" spans="1:8" ht="15.6" x14ac:dyDescent="0.3">
      <c r="A184" s="87"/>
      <c r="B184" s="226" t="s">
        <v>941</v>
      </c>
      <c r="C184" s="87"/>
      <c r="D184" s="227"/>
      <c r="E184" s="172">
        <v>0</v>
      </c>
      <c r="F184" s="103"/>
      <c r="G184" s="103"/>
    </row>
    <row r="185" spans="1:8" s="317" customFormat="1" ht="15.6" x14ac:dyDescent="0.3">
      <c r="A185" s="286">
        <f>A183+1</f>
        <v>144</v>
      </c>
      <c r="B185" s="291" t="s">
        <v>942</v>
      </c>
      <c r="C185" s="286" t="s">
        <v>193</v>
      </c>
      <c r="D185" s="288">
        <v>9.9</v>
      </c>
      <c r="E185" s="172">
        <v>19512.135553199998</v>
      </c>
      <c r="F185" s="289">
        <f t="shared" ref="F185:F205" si="43">ROUND(E185*D185,2)</f>
        <v>193170.14</v>
      </c>
      <c r="G185" s="289">
        <f t="shared" ref="G185:G205" si="44">ROUND(F185*1.2,2)</f>
        <v>231804.17</v>
      </c>
      <c r="H185" s="327"/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2">
        <v>18982.412904599998</v>
      </c>
      <c r="F186" s="103">
        <f t="shared" si="43"/>
        <v>32270.1</v>
      </c>
      <c r="G186" s="103">
        <f t="shared" si="44"/>
        <v>38724.120000000003</v>
      </c>
    </row>
    <row r="187" spans="1:8" s="317" customFormat="1" ht="15.6" x14ac:dyDescent="0.3">
      <c r="A187" s="286">
        <f t="shared" ref="A187:A192" si="45">A186+1</f>
        <v>146</v>
      </c>
      <c r="B187" s="291" t="s">
        <v>1251</v>
      </c>
      <c r="C187" s="324" t="s">
        <v>220</v>
      </c>
      <c r="D187" s="328">
        <v>3</v>
      </c>
      <c r="E187" s="172">
        <v>4349.3720039999998</v>
      </c>
      <c r="F187" s="289">
        <f t="shared" si="43"/>
        <v>13048.12</v>
      </c>
      <c r="G187" s="289">
        <f t="shared" si="44"/>
        <v>15657.74</v>
      </c>
      <c r="H187" s="329" t="s">
        <v>1254</v>
      </c>
    </row>
    <row r="188" spans="1:8" s="317" customFormat="1" ht="15.6" x14ac:dyDescent="0.3">
      <c r="A188" s="286">
        <f t="shared" si="45"/>
        <v>147</v>
      </c>
      <c r="B188" s="291" t="s">
        <v>1252</v>
      </c>
      <c r="C188" s="324" t="s">
        <v>220</v>
      </c>
      <c r="D188" s="328">
        <v>2</v>
      </c>
      <c r="E188" s="172">
        <v>2025.225504</v>
      </c>
      <c r="F188" s="289">
        <f t="shared" si="43"/>
        <v>4050.45</v>
      </c>
      <c r="G188" s="289">
        <f t="shared" si="44"/>
        <v>4860.54</v>
      </c>
      <c r="H188" s="329" t="s">
        <v>1254</v>
      </c>
    </row>
    <row r="189" spans="1:8" s="317" customFormat="1" ht="15.6" x14ac:dyDescent="0.3">
      <c r="A189" s="286">
        <f t="shared" si="45"/>
        <v>148</v>
      </c>
      <c r="B189" s="291" t="s">
        <v>1253</v>
      </c>
      <c r="C189" s="324" t="s">
        <v>220</v>
      </c>
      <c r="D189" s="328">
        <v>1</v>
      </c>
      <c r="E189" s="172">
        <v>1850.7357359999999</v>
      </c>
      <c r="F189" s="289">
        <f t="shared" si="43"/>
        <v>1850.74</v>
      </c>
      <c r="G189" s="289">
        <f t="shared" si="44"/>
        <v>2220.89</v>
      </c>
      <c r="H189" s="329" t="s">
        <v>1254</v>
      </c>
    </row>
    <row r="190" spans="1:8" s="317" customFormat="1" ht="15.6" x14ac:dyDescent="0.3">
      <c r="A190" s="286">
        <f t="shared" si="45"/>
        <v>149</v>
      </c>
      <c r="B190" s="291" t="s">
        <v>944</v>
      </c>
      <c r="C190" s="286" t="s">
        <v>220</v>
      </c>
      <c r="D190" s="299">
        <v>2</v>
      </c>
      <c r="E190" s="172">
        <v>6134.3165159999999</v>
      </c>
      <c r="F190" s="289">
        <f t="shared" si="43"/>
        <v>12268.63</v>
      </c>
      <c r="G190" s="289">
        <f t="shared" si="44"/>
        <v>14722.36</v>
      </c>
      <c r="H190" s="327"/>
    </row>
    <row r="191" spans="1:8" s="317" customFormat="1" ht="15.6" x14ac:dyDescent="0.3">
      <c r="A191" s="286">
        <f t="shared" si="45"/>
        <v>150</v>
      </c>
      <c r="B191" s="291" t="s">
        <v>945</v>
      </c>
      <c r="C191" s="286" t="s">
        <v>220</v>
      </c>
      <c r="D191" s="299">
        <v>2</v>
      </c>
      <c r="E191" s="172">
        <v>2972.0470319999999</v>
      </c>
      <c r="F191" s="289">
        <f t="shared" si="43"/>
        <v>5944.09</v>
      </c>
      <c r="G191" s="289">
        <f t="shared" si="44"/>
        <v>7132.91</v>
      </c>
      <c r="H191" s="327"/>
    </row>
    <row r="192" spans="1:8" s="317" customFormat="1" ht="15.6" x14ac:dyDescent="0.3">
      <c r="A192" s="286">
        <f t="shared" si="45"/>
        <v>151</v>
      </c>
      <c r="B192" s="291" t="s">
        <v>946</v>
      </c>
      <c r="C192" s="286" t="s">
        <v>220</v>
      </c>
      <c r="D192" s="299">
        <v>2</v>
      </c>
      <c r="E192" s="172">
        <v>2972.0470319999999</v>
      </c>
      <c r="F192" s="289">
        <f t="shared" si="43"/>
        <v>5944.09</v>
      </c>
      <c r="G192" s="289">
        <f t="shared" si="44"/>
        <v>7132.91</v>
      </c>
      <c r="H192" s="327"/>
    </row>
    <row r="193" spans="1:8" s="317" customFormat="1" ht="27.6" x14ac:dyDescent="0.3">
      <c r="A193" s="286">
        <f>A192+1</f>
        <v>152</v>
      </c>
      <c r="B193" s="291" t="s">
        <v>947</v>
      </c>
      <c r="C193" s="286" t="s">
        <v>220</v>
      </c>
      <c r="D193" s="299">
        <v>2</v>
      </c>
      <c r="E193" s="172">
        <v>8105.1927479999995</v>
      </c>
      <c r="F193" s="289">
        <f t="shared" si="43"/>
        <v>16210.39</v>
      </c>
      <c r="G193" s="289">
        <f t="shared" si="44"/>
        <v>19452.47</v>
      </c>
      <c r="H193" s="327"/>
    </row>
    <row r="194" spans="1:8" s="317" customFormat="1" ht="27.6" x14ac:dyDescent="0.3">
      <c r="A194" s="286">
        <f t="shared" ref="A194:A196" si="46">A193+1</f>
        <v>153</v>
      </c>
      <c r="B194" s="291" t="s">
        <v>948</v>
      </c>
      <c r="C194" s="286" t="s">
        <v>220</v>
      </c>
      <c r="D194" s="299">
        <v>2</v>
      </c>
      <c r="E194" s="172">
        <v>26749.853531999997</v>
      </c>
      <c r="F194" s="289">
        <f t="shared" si="43"/>
        <v>53499.71</v>
      </c>
      <c r="G194" s="289">
        <f t="shared" si="44"/>
        <v>64199.65</v>
      </c>
      <c r="H194" s="327"/>
    </row>
    <row r="195" spans="1:8" s="317" customFormat="1" ht="27.6" x14ac:dyDescent="0.3">
      <c r="A195" s="286">
        <f t="shared" si="46"/>
        <v>154</v>
      </c>
      <c r="B195" s="291" t="s">
        <v>949</v>
      </c>
      <c r="C195" s="286" t="s">
        <v>220</v>
      </c>
      <c r="D195" s="299">
        <v>2</v>
      </c>
      <c r="E195" s="172">
        <v>9954.4982400000008</v>
      </c>
      <c r="F195" s="289">
        <f t="shared" si="43"/>
        <v>19909</v>
      </c>
      <c r="G195" s="289">
        <f t="shared" si="44"/>
        <v>23890.799999999999</v>
      </c>
      <c r="H195" s="327"/>
    </row>
    <row r="196" spans="1:8" s="317" customFormat="1" ht="27.6" x14ac:dyDescent="0.3">
      <c r="A196" s="286">
        <f t="shared" si="46"/>
        <v>155</v>
      </c>
      <c r="B196" s="291" t="s">
        <v>950</v>
      </c>
      <c r="C196" s="286" t="s">
        <v>220</v>
      </c>
      <c r="D196" s="299">
        <v>2</v>
      </c>
      <c r="E196" s="172">
        <v>3598.4939039999999</v>
      </c>
      <c r="F196" s="289">
        <f t="shared" si="43"/>
        <v>7196.99</v>
      </c>
      <c r="G196" s="289">
        <f t="shared" si="44"/>
        <v>8636.39</v>
      </c>
      <c r="H196" s="327"/>
    </row>
    <row r="197" spans="1:8" s="317" customFormat="1" ht="15.6" x14ac:dyDescent="0.3">
      <c r="A197" s="286">
        <f>A196+1</f>
        <v>156</v>
      </c>
      <c r="B197" s="291" t="s">
        <v>951</v>
      </c>
      <c r="C197" s="286" t="s">
        <v>239</v>
      </c>
      <c r="D197" s="302">
        <v>7.8E-2</v>
      </c>
      <c r="E197" s="172">
        <v>179605.64076923075</v>
      </c>
      <c r="F197" s="289">
        <f t="shared" si="43"/>
        <v>14009.24</v>
      </c>
      <c r="G197" s="289">
        <f t="shared" si="44"/>
        <v>16811.09</v>
      </c>
      <c r="H197" s="327"/>
    </row>
    <row r="198" spans="1:8" ht="27.6" x14ac:dyDescent="0.3">
      <c r="A198" s="87">
        <f t="shared" si="42"/>
        <v>157</v>
      </c>
      <c r="B198" s="244" t="s">
        <v>929</v>
      </c>
      <c r="C198" s="87" t="s">
        <v>431</v>
      </c>
      <c r="D198" s="227">
        <v>54.1</v>
      </c>
      <c r="E198" s="172">
        <v>217.397088</v>
      </c>
      <c r="F198" s="103">
        <f t="shared" si="43"/>
        <v>11761.18</v>
      </c>
      <c r="G198" s="103">
        <f t="shared" si="44"/>
        <v>14113.42</v>
      </c>
    </row>
    <row r="199" spans="1:8" ht="27.6" x14ac:dyDescent="0.3">
      <c r="A199" s="87">
        <f t="shared" si="42"/>
        <v>158</v>
      </c>
      <c r="B199" s="244" t="s">
        <v>930</v>
      </c>
      <c r="C199" s="87" t="s">
        <v>431</v>
      </c>
      <c r="D199" s="227">
        <v>54.1</v>
      </c>
      <c r="E199" s="172">
        <v>451.29919176000004</v>
      </c>
      <c r="F199" s="103">
        <f t="shared" si="43"/>
        <v>24415.29</v>
      </c>
      <c r="G199" s="103">
        <f t="shared" si="44"/>
        <v>29298.35</v>
      </c>
    </row>
    <row r="200" spans="1:8" ht="27.6" x14ac:dyDescent="0.3">
      <c r="A200" s="66">
        <f t="shared" si="42"/>
        <v>159</v>
      </c>
      <c r="B200" s="67" t="s">
        <v>547</v>
      </c>
      <c r="C200" s="66" t="s">
        <v>431</v>
      </c>
      <c r="D200" s="153">
        <v>2</v>
      </c>
      <c r="E200" s="172">
        <v>260.30440800000002</v>
      </c>
      <c r="F200" s="102">
        <f t="shared" si="43"/>
        <v>520.61</v>
      </c>
      <c r="G200" s="102">
        <f t="shared" si="44"/>
        <v>624.73</v>
      </c>
    </row>
    <row r="201" spans="1:8" ht="15.6" x14ac:dyDescent="0.3">
      <c r="A201" s="66">
        <f t="shared" si="42"/>
        <v>160</v>
      </c>
      <c r="B201" s="67" t="s">
        <v>548</v>
      </c>
      <c r="C201" s="66" t="s">
        <v>431</v>
      </c>
      <c r="D201" s="153">
        <v>2</v>
      </c>
      <c r="E201" s="172">
        <v>260.30440800000002</v>
      </c>
      <c r="F201" s="102">
        <f t="shared" si="43"/>
        <v>520.61</v>
      </c>
      <c r="G201" s="102">
        <f t="shared" si="44"/>
        <v>624.73</v>
      </c>
    </row>
    <row r="202" spans="1:8" ht="27.6" x14ac:dyDescent="0.3">
      <c r="A202" s="66">
        <f t="shared" si="42"/>
        <v>161</v>
      </c>
      <c r="B202" s="67" t="s">
        <v>549</v>
      </c>
      <c r="C202" s="66" t="s">
        <v>193</v>
      </c>
      <c r="D202" s="72">
        <v>0.2</v>
      </c>
      <c r="E202" s="172">
        <v>18982.412904599998</v>
      </c>
      <c r="F202" s="102">
        <f t="shared" si="43"/>
        <v>3796.48</v>
      </c>
      <c r="G202" s="102">
        <f t="shared" si="44"/>
        <v>4555.78</v>
      </c>
    </row>
    <row r="203" spans="1:8" ht="27.6" x14ac:dyDescent="0.3">
      <c r="A203" s="286">
        <f>A202+1</f>
        <v>162</v>
      </c>
      <c r="B203" s="291" t="s">
        <v>952</v>
      </c>
      <c r="C203" s="286" t="s">
        <v>193</v>
      </c>
      <c r="D203" s="302">
        <v>0.621</v>
      </c>
      <c r="E203" s="172">
        <v>121271.33304347825</v>
      </c>
      <c r="F203" s="289">
        <f t="shared" si="43"/>
        <v>75309.5</v>
      </c>
      <c r="G203" s="289">
        <f t="shared" si="44"/>
        <v>90371.4</v>
      </c>
    </row>
    <row r="204" spans="1:8" ht="27.6" x14ac:dyDescent="0.3">
      <c r="A204" s="286">
        <f>A203+1</f>
        <v>163</v>
      </c>
      <c r="B204" s="291" t="s">
        <v>953</v>
      </c>
      <c r="C204" s="286" t="s">
        <v>955</v>
      </c>
      <c r="D204" s="288">
        <v>23.55</v>
      </c>
      <c r="E204" s="172">
        <v>895.43286108000018</v>
      </c>
      <c r="F204" s="289">
        <f t="shared" si="43"/>
        <v>21087.439999999999</v>
      </c>
      <c r="G204" s="289">
        <f t="shared" si="44"/>
        <v>25304.93</v>
      </c>
    </row>
    <row r="205" spans="1:8" ht="15.6" x14ac:dyDescent="0.3">
      <c r="A205" s="286">
        <f>A204+1</f>
        <v>164</v>
      </c>
      <c r="B205" s="291" t="s">
        <v>954</v>
      </c>
      <c r="C205" s="286" t="s">
        <v>431</v>
      </c>
      <c r="D205" s="288">
        <v>0.3</v>
      </c>
      <c r="E205" s="172">
        <v>486.28296</v>
      </c>
      <c r="F205" s="289">
        <f t="shared" si="43"/>
        <v>145.88</v>
      </c>
      <c r="G205" s="289">
        <f t="shared" si="44"/>
        <v>175.06</v>
      </c>
    </row>
    <row r="206" spans="1:8" ht="15.6" x14ac:dyDescent="0.3">
      <c r="A206" s="66"/>
      <c r="B206" s="62" t="s">
        <v>404</v>
      </c>
      <c r="C206" s="66"/>
      <c r="D206" s="72"/>
      <c r="E206" s="172">
        <v>0</v>
      </c>
      <c r="F206" s="102"/>
      <c r="G206" s="102"/>
    </row>
    <row r="207" spans="1:8" ht="331.2" x14ac:dyDescent="0.3">
      <c r="A207" s="107">
        <f>A205+1</f>
        <v>165</v>
      </c>
      <c r="B207" s="330" t="s">
        <v>956</v>
      </c>
      <c r="C207" s="66" t="s">
        <v>194</v>
      </c>
      <c r="D207" s="228">
        <v>115</v>
      </c>
      <c r="E207" s="172">
        <v>3275.4847385519997</v>
      </c>
      <c r="F207" s="102">
        <f t="shared" ref="F207:F235" si="47">ROUND(E207*D207,2)</f>
        <v>376680.74</v>
      </c>
      <c r="G207" s="102">
        <f t="shared" si="41"/>
        <v>452016.89</v>
      </c>
      <c r="H207" s="241" t="s">
        <v>1075</v>
      </c>
    </row>
    <row r="208" spans="1:8" ht="15.6" x14ac:dyDescent="0.3">
      <c r="A208" s="107">
        <f>A207+1</f>
        <v>166</v>
      </c>
      <c r="B208" s="330" t="s">
        <v>1076</v>
      </c>
      <c r="C208" s="66" t="s">
        <v>220</v>
      </c>
      <c r="D208" s="72">
        <v>24</v>
      </c>
      <c r="E208" s="172">
        <v>13358.18851044923</v>
      </c>
      <c r="F208" s="102">
        <f t="shared" si="47"/>
        <v>320596.52</v>
      </c>
      <c r="G208" s="102">
        <f t="shared" si="41"/>
        <v>384715.82</v>
      </c>
      <c r="H208" s="230" t="s">
        <v>1620</v>
      </c>
    </row>
    <row r="209" spans="1:8" ht="15.6" x14ac:dyDescent="0.3">
      <c r="A209" s="107">
        <f t="shared" ref="A209:A211" si="48">A208+1</f>
        <v>167</v>
      </c>
      <c r="B209" s="330" t="s">
        <v>1077</v>
      </c>
      <c r="C209" s="66" t="s">
        <v>220</v>
      </c>
      <c r="D209" s="72">
        <v>24</v>
      </c>
      <c r="E209" s="172">
        <v>2669.9165134546156</v>
      </c>
      <c r="F209" s="102">
        <f t="shared" si="47"/>
        <v>64078</v>
      </c>
      <c r="G209" s="102">
        <f t="shared" si="41"/>
        <v>76893.600000000006</v>
      </c>
      <c r="H209" s="230" t="s">
        <v>1620</v>
      </c>
    </row>
    <row r="210" spans="1:8" ht="19.5" customHeight="1" x14ac:dyDescent="0.3">
      <c r="A210" s="286">
        <f t="shared" si="48"/>
        <v>168</v>
      </c>
      <c r="B210" s="291" t="s">
        <v>1043</v>
      </c>
      <c r="C210" s="286" t="s">
        <v>217</v>
      </c>
      <c r="D210" s="292">
        <f>12+12</f>
        <v>24</v>
      </c>
      <c r="E210" s="172">
        <v>15415.169832</v>
      </c>
      <c r="F210" s="289">
        <f t="shared" si="47"/>
        <v>369964.08</v>
      </c>
      <c r="G210" s="289">
        <f t="shared" si="41"/>
        <v>443956.9</v>
      </c>
      <c r="H210" s="271"/>
    </row>
    <row r="211" spans="1:8" ht="41.4" x14ac:dyDescent="0.3">
      <c r="A211" s="286">
        <f t="shared" si="48"/>
        <v>169</v>
      </c>
      <c r="B211" s="291" t="s">
        <v>1255</v>
      </c>
      <c r="C211" s="286" t="s">
        <v>194</v>
      </c>
      <c r="D211" s="292">
        <v>11</v>
      </c>
      <c r="E211" s="172">
        <v>1403.4594305454546</v>
      </c>
      <c r="F211" s="289">
        <f t="shared" si="47"/>
        <v>15438.05</v>
      </c>
      <c r="G211" s="289">
        <f t="shared" si="41"/>
        <v>18525.66</v>
      </c>
    </row>
    <row r="212" spans="1:8" ht="27.6" x14ac:dyDescent="0.3">
      <c r="A212" s="286">
        <f>A211+1</f>
        <v>170</v>
      </c>
      <c r="B212" s="291" t="s">
        <v>957</v>
      </c>
      <c r="C212" s="286" t="s">
        <v>194</v>
      </c>
      <c r="D212" s="292">
        <v>10.5</v>
      </c>
      <c r="E212" s="172">
        <v>1313.1070164</v>
      </c>
      <c r="F212" s="289">
        <f t="shared" si="47"/>
        <v>13787.62</v>
      </c>
      <c r="G212" s="289">
        <f t="shared" si="41"/>
        <v>16545.14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2">
        <v>6693.5419200000006</v>
      </c>
      <c r="F213" s="103">
        <f t="shared" si="47"/>
        <v>107096.67</v>
      </c>
      <c r="G213" s="103">
        <f t="shared" si="41"/>
        <v>128516</v>
      </c>
      <c r="H213" s="259"/>
    </row>
    <row r="214" spans="1:8" ht="15.6" x14ac:dyDescent="0.3">
      <c r="A214" s="286">
        <f>A213+1</f>
        <v>172</v>
      </c>
      <c r="B214" s="291" t="s">
        <v>959</v>
      </c>
      <c r="C214" s="286" t="s">
        <v>220</v>
      </c>
      <c r="D214" s="299">
        <v>6</v>
      </c>
      <c r="E214" s="172">
        <v>1927.0106485199999</v>
      </c>
      <c r="F214" s="289">
        <f t="shared" si="47"/>
        <v>11562.06</v>
      </c>
      <c r="G214" s="289">
        <f t="shared" si="41"/>
        <v>13874.47</v>
      </c>
      <c r="H214" s="259"/>
    </row>
    <row r="215" spans="1:8" ht="15.6" x14ac:dyDescent="0.3">
      <c r="A215" s="286">
        <f>A214+1</f>
        <v>173</v>
      </c>
      <c r="B215" s="291" t="s">
        <v>960</v>
      </c>
      <c r="C215" s="286" t="s">
        <v>220</v>
      </c>
      <c r="D215" s="299">
        <v>8</v>
      </c>
      <c r="E215" s="172">
        <v>393.86059272</v>
      </c>
      <c r="F215" s="289">
        <f t="shared" si="47"/>
        <v>3150.88</v>
      </c>
      <c r="G215" s="289">
        <f t="shared" si="41"/>
        <v>3781.06</v>
      </c>
    </row>
    <row r="216" spans="1:8" ht="27.6" x14ac:dyDescent="0.3">
      <c r="A216" s="286">
        <f t="shared" ref="A216:A224" si="49">A215+1</f>
        <v>174</v>
      </c>
      <c r="B216" s="291" t="s">
        <v>961</v>
      </c>
      <c r="C216" s="286" t="s">
        <v>220</v>
      </c>
      <c r="D216" s="299">
        <v>4</v>
      </c>
      <c r="E216" s="172">
        <v>19029.396420000001</v>
      </c>
      <c r="F216" s="289">
        <f t="shared" si="47"/>
        <v>76117.59</v>
      </c>
      <c r="G216" s="289">
        <f t="shared" si="41"/>
        <v>91341.11</v>
      </c>
    </row>
    <row r="217" spans="1:8" ht="27.6" x14ac:dyDescent="0.3">
      <c r="A217" s="286">
        <f t="shared" si="49"/>
        <v>175</v>
      </c>
      <c r="B217" s="291" t="s">
        <v>962</v>
      </c>
      <c r="C217" s="286" t="s">
        <v>220</v>
      </c>
      <c r="D217" s="299">
        <v>2</v>
      </c>
      <c r="E217" s="172">
        <v>10988.564651999999</v>
      </c>
      <c r="F217" s="289">
        <f t="shared" si="47"/>
        <v>21977.13</v>
      </c>
      <c r="G217" s="289">
        <f t="shared" si="41"/>
        <v>26372.560000000001</v>
      </c>
    </row>
    <row r="218" spans="1:8" ht="27.6" x14ac:dyDescent="0.3">
      <c r="A218" s="286">
        <f t="shared" si="49"/>
        <v>176</v>
      </c>
      <c r="B218" s="291" t="s">
        <v>963</v>
      </c>
      <c r="C218" s="286" t="s">
        <v>220</v>
      </c>
      <c r="D218" s="299">
        <v>4</v>
      </c>
      <c r="E218" s="172">
        <v>6860.8804679999994</v>
      </c>
      <c r="F218" s="289">
        <f t="shared" si="47"/>
        <v>27443.52</v>
      </c>
      <c r="G218" s="289">
        <f t="shared" si="41"/>
        <v>32932.22</v>
      </c>
    </row>
    <row r="219" spans="1:8" ht="15.6" x14ac:dyDescent="0.3">
      <c r="A219" s="286">
        <f t="shared" si="49"/>
        <v>177</v>
      </c>
      <c r="B219" s="291" t="s">
        <v>964</v>
      </c>
      <c r="C219" s="286" t="s">
        <v>220</v>
      </c>
      <c r="D219" s="299">
        <v>2</v>
      </c>
      <c r="E219" s="172">
        <v>2186.8430760000001</v>
      </c>
      <c r="F219" s="289">
        <f t="shared" si="47"/>
        <v>4373.6899999999996</v>
      </c>
      <c r="G219" s="289">
        <f t="shared" si="41"/>
        <v>5248.43</v>
      </c>
    </row>
    <row r="220" spans="1:8" ht="15.6" x14ac:dyDescent="0.3">
      <c r="A220" s="286">
        <f t="shared" si="49"/>
        <v>178</v>
      </c>
      <c r="B220" s="291" t="s">
        <v>965</v>
      </c>
      <c r="C220" s="286" t="s">
        <v>194</v>
      </c>
      <c r="D220" s="292">
        <v>2.2999999999999998</v>
      </c>
      <c r="E220" s="172">
        <v>992.46496695652161</v>
      </c>
      <c r="F220" s="289">
        <f t="shared" si="47"/>
        <v>2282.67</v>
      </c>
      <c r="G220" s="289">
        <f t="shared" si="41"/>
        <v>2739.2</v>
      </c>
    </row>
    <row r="221" spans="1:8" ht="15.6" x14ac:dyDescent="0.3">
      <c r="A221" s="286">
        <f t="shared" si="49"/>
        <v>179</v>
      </c>
      <c r="B221" s="291" t="s">
        <v>966</v>
      </c>
      <c r="C221" s="286" t="s">
        <v>220</v>
      </c>
      <c r="D221" s="299">
        <v>1</v>
      </c>
      <c r="E221" s="172">
        <v>4938.6325319999996</v>
      </c>
      <c r="F221" s="289">
        <f t="shared" si="47"/>
        <v>4938.63</v>
      </c>
      <c r="G221" s="289">
        <f t="shared" si="41"/>
        <v>5926.36</v>
      </c>
    </row>
    <row r="222" spans="1:8" ht="15.6" x14ac:dyDescent="0.3">
      <c r="A222" s="286">
        <f t="shared" si="49"/>
        <v>180</v>
      </c>
      <c r="B222" s="291" t="s">
        <v>967</v>
      </c>
      <c r="C222" s="286" t="s">
        <v>220</v>
      </c>
      <c r="D222" s="299">
        <v>4</v>
      </c>
      <c r="E222" s="172">
        <v>4592.5134839999992</v>
      </c>
      <c r="F222" s="289">
        <f t="shared" si="47"/>
        <v>18370.05</v>
      </c>
      <c r="G222" s="289">
        <f t="shared" si="41"/>
        <v>22044.06</v>
      </c>
      <c r="H222" s="271" t="s">
        <v>1257</v>
      </c>
    </row>
    <row r="223" spans="1:8" ht="15.6" x14ac:dyDescent="0.3">
      <c r="A223" s="286">
        <f t="shared" si="49"/>
        <v>181</v>
      </c>
      <c r="B223" s="291" t="s">
        <v>1036</v>
      </c>
      <c r="C223" s="286" t="s">
        <v>217</v>
      </c>
      <c r="D223" s="299">
        <v>4</v>
      </c>
      <c r="E223" s="172">
        <v>607.8537</v>
      </c>
      <c r="F223" s="289">
        <f t="shared" si="47"/>
        <v>2431.41</v>
      </c>
      <c r="G223" s="289">
        <f t="shared" si="41"/>
        <v>2917.69</v>
      </c>
      <c r="H223" s="271" t="s">
        <v>1258</v>
      </c>
    </row>
    <row r="224" spans="1:8" ht="15.6" x14ac:dyDescent="0.3">
      <c r="A224" s="87">
        <f t="shared" si="49"/>
        <v>182</v>
      </c>
      <c r="B224" s="244" t="s">
        <v>969</v>
      </c>
      <c r="C224" s="87" t="s">
        <v>193</v>
      </c>
      <c r="D224" s="228">
        <f>0.31+0.34+0.27+0.403</f>
        <v>1.323</v>
      </c>
      <c r="E224" s="172">
        <v>25993.254456000002</v>
      </c>
      <c r="F224" s="103">
        <f t="shared" si="47"/>
        <v>34389.08</v>
      </c>
      <c r="G224" s="103">
        <f t="shared" si="41"/>
        <v>41266.9</v>
      </c>
    </row>
    <row r="225" spans="1:8" ht="15.6" x14ac:dyDescent="0.3">
      <c r="A225" s="286">
        <f>A224+1</f>
        <v>183</v>
      </c>
      <c r="B225" s="291" t="s">
        <v>946</v>
      </c>
      <c r="C225" s="286" t="s">
        <v>220</v>
      </c>
      <c r="D225" s="299">
        <v>1</v>
      </c>
      <c r="E225" s="172">
        <v>2972.0470319999999</v>
      </c>
      <c r="F225" s="289">
        <f t="shared" si="47"/>
        <v>2972.05</v>
      </c>
      <c r="G225" s="289">
        <f t="shared" ref="G225:G235" si="50">ROUND(F225*1.2,2)</f>
        <v>3566.46</v>
      </c>
    </row>
    <row r="226" spans="1:8" ht="15.6" x14ac:dyDescent="0.3">
      <c r="A226" s="286">
        <f>A225+1</f>
        <v>184</v>
      </c>
      <c r="B226" s="291" t="s">
        <v>976</v>
      </c>
      <c r="C226" s="286" t="s">
        <v>193</v>
      </c>
      <c r="D226" s="288">
        <v>0.28000000000000003</v>
      </c>
      <c r="E226" s="172">
        <v>24022.991185714283</v>
      </c>
      <c r="F226" s="289">
        <f t="shared" si="47"/>
        <v>6726.44</v>
      </c>
      <c r="G226" s="289">
        <f t="shared" si="50"/>
        <v>8071.73</v>
      </c>
    </row>
    <row r="227" spans="1:8" ht="15.6" x14ac:dyDescent="0.3">
      <c r="A227" s="286">
        <f t="shared" ref="A227:A235" si="51">A226+1</f>
        <v>185</v>
      </c>
      <c r="B227" s="291" t="s">
        <v>977</v>
      </c>
      <c r="C227" s="286" t="s">
        <v>193</v>
      </c>
      <c r="D227" s="288">
        <v>0.05</v>
      </c>
      <c r="E227" s="172">
        <v>37872.861120000001</v>
      </c>
      <c r="F227" s="289">
        <f t="shared" si="47"/>
        <v>1893.64</v>
      </c>
      <c r="G227" s="289">
        <f t="shared" si="50"/>
        <v>2272.37</v>
      </c>
      <c r="H227" s="271" t="s">
        <v>1259</v>
      </c>
    </row>
    <row r="228" spans="1:8" ht="15.6" x14ac:dyDescent="0.3">
      <c r="A228" s="286">
        <f t="shared" si="51"/>
        <v>186</v>
      </c>
      <c r="B228" s="291" t="s">
        <v>978</v>
      </c>
      <c r="C228" s="286" t="s">
        <v>193</v>
      </c>
      <c r="D228" s="292">
        <v>0.3</v>
      </c>
      <c r="E228" s="172">
        <v>1973.7367200000001</v>
      </c>
      <c r="F228" s="289">
        <f t="shared" si="47"/>
        <v>592.12</v>
      </c>
      <c r="G228" s="289">
        <f t="shared" si="50"/>
        <v>710.54</v>
      </c>
    </row>
    <row r="229" spans="1:8" ht="15.6" x14ac:dyDescent="0.3">
      <c r="A229" s="286">
        <f t="shared" si="51"/>
        <v>187</v>
      </c>
      <c r="B229" s="291" t="s">
        <v>979</v>
      </c>
      <c r="C229" s="286" t="s">
        <v>239</v>
      </c>
      <c r="D229" s="302">
        <v>0.123</v>
      </c>
      <c r="E229" s="172">
        <v>100454.29199999999</v>
      </c>
      <c r="F229" s="289">
        <f t="shared" si="47"/>
        <v>12355.88</v>
      </c>
      <c r="G229" s="289">
        <f t="shared" si="50"/>
        <v>14827.06</v>
      </c>
    </row>
    <row r="230" spans="1:8" ht="15.6" x14ac:dyDescent="0.3">
      <c r="A230" s="286">
        <f t="shared" si="51"/>
        <v>188</v>
      </c>
      <c r="B230" s="291" t="s">
        <v>981</v>
      </c>
      <c r="C230" s="286" t="s">
        <v>220</v>
      </c>
      <c r="D230" s="299">
        <v>3</v>
      </c>
      <c r="E230" s="172">
        <v>1250.0332559999999</v>
      </c>
      <c r="F230" s="289">
        <f t="shared" si="47"/>
        <v>3750.1</v>
      </c>
      <c r="G230" s="289">
        <f t="shared" si="50"/>
        <v>4500.12</v>
      </c>
    </row>
    <row r="231" spans="1:8" ht="15.6" x14ac:dyDescent="0.3">
      <c r="A231" s="286">
        <f t="shared" si="51"/>
        <v>189</v>
      </c>
      <c r="B231" s="291" t="s">
        <v>975</v>
      </c>
      <c r="C231" s="286" t="s">
        <v>193</v>
      </c>
      <c r="D231" s="288">
        <v>0.02</v>
      </c>
      <c r="E231" s="172">
        <v>99473.470199999996</v>
      </c>
      <c r="F231" s="289">
        <f t="shared" si="47"/>
        <v>1989.47</v>
      </c>
      <c r="G231" s="289">
        <f t="shared" si="50"/>
        <v>2387.36</v>
      </c>
    </row>
    <row r="232" spans="1:8" ht="15.6" x14ac:dyDescent="0.3">
      <c r="A232" s="286">
        <f t="shared" si="51"/>
        <v>190</v>
      </c>
      <c r="B232" s="291" t="s">
        <v>1256</v>
      </c>
      <c r="C232" s="286" t="s">
        <v>193</v>
      </c>
      <c r="D232" s="302">
        <v>4.3890000000000002</v>
      </c>
      <c r="E232" s="172">
        <v>20112.704415584412</v>
      </c>
      <c r="F232" s="289">
        <f t="shared" si="47"/>
        <v>88274.66</v>
      </c>
      <c r="G232" s="289">
        <f t="shared" si="50"/>
        <v>105929.59</v>
      </c>
    </row>
    <row r="233" spans="1:8" ht="15.6" x14ac:dyDescent="0.3">
      <c r="A233" s="87">
        <f t="shared" si="51"/>
        <v>191</v>
      </c>
      <c r="B233" s="244" t="s">
        <v>973</v>
      </c>
      <c r="C233" s="87" t="s">
        <v>431</v>
      </c>
      <c r="D233" s="227">
        <v>41.6</v>
      </c>
      <c r="E233" s="172">
        <v>217.397088</v>
      </c>
      <c r="F233" s="103">
        <f t="shared" si="47"/>
        <v>9043.7199999999993</v>
      </c>
      <c r="G233" s="103">
        <f t="shared" si="50"/>
        <v>10852.46</v>
      </c>
    </row>
    <row r="234" spans="1:8" ht="15.6" x14ac:dyDescent="0.3">
      <c r="A234" s="87">
        <f t="shared" si="51"/>
        <v>192</v>
      </c>
      <c r="B234" s="244" t="s">
        <v>974</v>
      </c>
      <c r="C234" s="87" t="s">
        <v>431</v>
      </c>
      <c r="D234" s="227">
        <v>41.6</v>
      </c>
      <c r="E234" s="172">
        <v>451.29919176000004</v>
      </c>
      <c r="F234" s="103">
        <f t="shared" si="47"/>
        <v>18774.05</v>
      </c>
      <c r="G234" s="103">
        <f t="shared" si="50"/>
        <v>22528.86</v>
      </c>
    </row>
    <row r="235" spans="1:8" ht="15.6" x14ac:dyDescent="0.3">
      <c r="A235" s="286">
        <f t="shared" si="51"/>
        <v>193</v>
      </c>
      <c r="B235" s="291" t="s">
        <v>980</v>
      </c>
      <c r="C235" s="286" t="s">
        <v>239</v>
      </c>
      <c r="D235" s="302">
        <v>0.13300000000000001</v>
      </c>
      <c r="E235" s="172">
        <v>100450.44514285713</v>
      </c>
      <c r="F235" s="289">
        <f t="shared" si="47"/>
        <v>13359.91</v>
      </c>
      <c r="G235" s="289">
        <f t="shared" si="50"/>
        <v>16031.89</v>
      </c>
    </row>
    <row r="236" spans="1:8" x14ac:dyDescent="0.3">
      <c r="A236" s="475" t="s">
        <v>716</v>
      </c>
      <c r="B236" s="476"/>
      <c r="C236" s="476"/>
      <c r="D236" s="476"/>
      <c r="E236" s="477"/>
      <c r="F236" s="158">
        <f>SUM(F7:F235)</f>
        <v>40696791.519999988</v>
      </c>
      <c r="G236" s="158">
        <f>SUM(G7:G235)</f>
        <v>79912767.229999989</v>
      </c>
    </row>
  </sheetData>
  <autoFilter ref="A1:H236" xr:uid="{00000000-0001-0000-0200-000000000000}"/>
  <mergeCells count="13">
    <mergeCell ref="A1:A3"/>
    <mergeCell ref="B1:B3"/>
    <mergeCell ref="C1:C3"/>
    <mergeCell ref="D1:D3"/>
    <mergeCell ref="G1:G3"/>
    <mergeCell ref="F1:F3"/>
    <mergeCell ref="E1:E3"/>
    <mergeCell ref="A236:E236"/>
    <mergeCell ref="B5:D5"/>
    <mergeCell ref="B62:D62"/>
    <mergeCell ref="B83:D83"/>
    <mergeCell ref="B107:D107"/>
    <mergeCell ref="B137:D137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01"/>
  <sheetViews>
    <sheetView topLeftCell="A156" zoomScaleNormal="100" zoomScaleSheetLayoutView="85" workbookViewId="0">
      <selection activeCell="G160" sqref="G160:G182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</cols>
  <sheetData>
    <row r="1" spans="1:10" ht="14.55" customHeight="1" x14ac:dyDescent="0.3">
      <c r="A1" s="480" t="s">
        <v>226</v>
      </c>
      <c r="B1" s="483" t="s">
        <v>201</v>
      </c>
      <c r="C1" s="486" t="s">
        <v>230</v>
      </c>
      <c r="D1" s="486" t="s">
        <v>202</v>
      </c>
      <c r="E1" s="491" t="s">
        <v>231</v>
      </c>
      <c r="F1" s="489" t="s">
        <v>410</v>
      </c>
      <c r="G1" s="494" t="s">
        <v>409</v>
      </c>
    </row>
    <row r="2" spans="1:10" ht="14.55" customHeight="1" x14ac:dyDescent="0.3">
      <c r="A2" s="481"/>
      <c r="B2" s="484"/>
      <c r="C2" s="486"/>
      <c r="D2" s="486"/>
      <c r="E2" s="491"/>
      <c r="F2" s="489"/>
      <c r="G2" s="494"/>
      <c r="J2" s="382"/>
    </row>
    <row r="3" spans="1:10" ht="27.6" customHeight="1" x14ac:dyDescent="0.3">
      <c r="A3" s="482"/>
      <c r="B3" s="485"/>
      <c r="C3" s="486"/>
      <c r="D3" s="486"/>
      <c r="E3" s="492"/>
      <c r="F3" s="490"/>
      <c r="G3" s="495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78" t="s">
        <v>232</v>
      </c>
      <c r="C5" s="479"/>
      <c r="D5" s="479"/>
      <c r="E5" s="175"/>
      <c r="F5" s="176"/>
      <c r="G5" s="338">
        <f>SUM(G7:G143)</f>
        <v>16539950.369999997</v>
      </c>
    </row>
    <row r="6" spans="1:10" x14ac:dyDescent="0.3">
      <c r="A6" s="307"/>
      <c r="B6" s="62" t="s">
        <v>233</v>
      </c>
      <c r="C6" s="63"/>
      <c r="D6" s="63"/>
      <c r="E6" s="64"/>
      <c r="F6" s="65"/>
      <c r="G6" s="55"/>
    </row>
    <row r="7" spans="1:10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14">
        <v>1701.1764000000003</v>
      </c>
      <c r="F7" s="102">
        <f t="shared" ref="F7:F14" si="0">ROUND(E7*D7,2)</f>
        <v>371536.93</v>
      </c>
      <c r="G7" s="102">
        <f t="shared" ref="G7:G14" si="1">ROUND(F7*1.2,2)</f>
        <v>445844.32</v>
      </c>
    </row>
    <row r="8" spans="1:10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14">
        <v>2037.54537</v>
      </c>
      <c r="F8" s="102">
        <f t="shared" si="0"/>
        <v>755521.82</v>
      </c>
      <c r="G8" s="102">
        <f t="shared" si="1"/>
        <v>906626.18</v>
      </c>
    </row>
    <row r="9" spans="1:10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14">
        <v>5162.8126200000006</v>
      </c>
      <c r="F9" s="102">
        <f t="shared" si="0"/>
        <v>1741014</v>
      </c>
      <c r="G9" s="102">
        <f t="shared" si="1"/>
        <v>2089216.8</v>
      </c>
    </row>
    <row r="10" spans="1:10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14">
        <v>5434.7430899999999</v>
      </c>
      <c r="F10" s="102">
        <f t="shared" si="0"/>
        <v>769396.58</v>
      </c>
      <c r="G10" s="102">
        <f t="shared" si="1"/>
        <v>923275.9</v>
      </c>
    </row>
    <row r="11" spans="1:10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14">
        <v>8016.1494000000002</v>
      </c>
      <c r="F11" s="102">
        <f t="shared" si="0"/>
        <v>987349.12</v>
      </c>
      <c r="G11" s="102">
        <f t="shared" si="1"/>
        <v>1184818.94</v>
      </c>
    </row>
    <row r="12" spans="1:10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14">
        <v>516.79677000000004</v>
      </c>
      <c r="F12" s="102">
        <f t="shared" si="0"/>
        <v>51679.68</v>
      </c>
      <c r="G12" s="102">
        <f t="shared" si="1"/>
        <v>62015.62</v>
      </c>
    </row>
    <row r="13" spans="1:10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14">
        <v>6521.1762000000008</v>
      </c>
      <c r="F13" s="102">
        <f t="shared" si="0"/>
        <v>38474.94</v>
      </c>
      <c r="G13" s="102">
        <f t="shared" si="1"/>
        <v>46169.93</v>
      </c>
    </row>
    <row r="14" spans="1:10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14">
        <v>42529.41</v>
      </c>
      <c r="F14" s="102">
        <f t="shared" si="0"/>
        <v>42529.41</v>
      </c>
      <c r="G14" s="102">
        <f t="shared" si="1"/>
        <v>51035.29</v>
      </c>
    </row>
    <row r="15" spans="1:10" ht="15.6" x14ac:dyDescent="0.3">
      <c r="A15" s="307"/>
      <c r="B15" s="62" t="s">
        <v>244</v>
      </c>
      <c r="C15" s="63"/>
      <c r="D15" s="63"/>
      <c r="E15" s="214">
        <v>0</v>
      </c>
      <c r="F15" s="102"/>
      <c r="G15" s="102"/>
    </row>
    <row r="16" spans="1:10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214">
        <v>3395.9089500000005</v>
      </c>
      <c r="F16" s="102">
        <f t="shared" ref="F16:F21" si="3">ROUND(E16*D16,2)</f>
        <v>964438.14</v>
      </c>
      <c r="G16" s="102">
        <f t="shared" ref="G16:G21" si="4">ROUND(F16*1.2,2)</f>
        <v>1157325.77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214">
        <v>104610.74967</v>
      </c>
      <c r="F17" s="102">
        <f t="shared" si="3"/>
        <v>1673771.99</v>
      </c>
      <c r="G17" s="102">
        <f t="shared" si="4"/>
        <v>2008526.39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214">
        <v>326058.81000000006</v>
      </c>
      <c r="F18" s="102">
        <f t="shared" si="3"/>
        <v>1317277.5900000001</v>
      </c>
      <c r="G18" s="102">
        <f t="shared" si="4"/>
        <v>1580733.11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214">
        <v>101.81283000000001</v>
      </c>
      <c r="F19" s="102">
        <f t="shared" si="3"/>
        <v>58440.56</v>
      </c>
      <c r="G19" s="102">
        <f t="shared" si="4"/>
        <v>70128.67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214">
        <v>91.502670000000023</v>
      </c>
      <c r="F20" s="102">
        <f t="shared" si="3"/>
        <v>52522.53</v>
      </c>
      <c r="G20" s="102">
        <f t="shared" si="4"/>
        <v>63027.040000000001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14">
        <v>425294.10000000003</v>
      </c>
      <c r="F21" s="102">
        <f t="shared" si="3"/>
        <v>425294.1</v>
      </c>
      <c r="G21" s="102">
        <f t="shared" si="4"/>
        <v>510352.92</v>
      </c>
    </row>
    <row r="22" spans="1:7" ht="15.6" x14ac:dyDescent="0.3">
      <c r="A22" s="307"/>
      <c r="B22" s="62" t="s">
        <v>251</v>
      </c>
      <c r="C22" s="63"/>
      <c r="D22" s="63"/>
      <c r="E22" s="214">
        <v>0</v>
      </c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214">
        <v>0</v>
      </c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214">
        <v>81.192509999999999</v>
      </c>
      <c r="F24" s="102">
        <f t="shared" ref="F24:F33" si="6">ROUND(E24*D24,2)</f>
        <v>11237.04</v>
      </c>
      <c r="G24" s="102">
        <f t="shared" ref="G24:G33" si="7">ROUND(F24*1.2,2)</f>
        <v>13484.45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214">
        <v>87.636359999999996</v>
      </c>
      <c r="F25" s="102">
        <f t="shared" si="6"/>
        <v>7078.21</v>
      </c>
      <c r="G25" s="102">
        <f t="shared" si="7"/>
        <v>8493.85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214">
        <v>90.21390000000001</v>
      </c>
      <c r="F26" s="102">
        <f t="shared" si="6"/>
        <v>1719.12</v>
      </c>
      <c r="G26" s="102">
        <f t="shared" si="7"/>
        <v>2062.94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214">
        <v>90.21390000000001</v>
      </c>
      <c r="F27" s="102">
        <f t="shared" si="6"/>
        <v>1241.3399999999999</v>
      </c>
      <c r="G27" s="102">
        <f t="shared" si="7"/>
        <v>1489.61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214">
        <v>237.13368</v>
      </c>
      <c r="F28" s="102">
        <f t="shared" si="6"/>
        <v>25686.32</v>
      </c>
      <c r="G28" s="102">
        <f t="shared" si="7"/>
        <v>30823.58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214">
        <v>96.657750000000007</v>
      </c>
      <c r="F29" s="102">
        <f t="shared" si="6"/>
        <v>2335.25</v>
      </c>
      <c r="G29" s="102">
        <f t="shared" si="7"/>
        <v>2802.3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214">
        <v>7879.539780000001</v>
      </c>
      <c r="F30" s="102">
        <f t="shared" si="6"/>
        <v>57583.68</v>
      </c>
      <c r="G30" s="102">
        <f t="shared" si="7"/>
        <v>69100.42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214">
        <v>6521.1762000000008</v>
      </c>
      <c r="F31" s="102">
        <f t="shared" si="6"/>
        <v>12771.07</v>
      </c>
      <c r="G31" s="102">
        <f t="shared" si="7"/>
        <v>15325.28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214">
        <v>202.33689000000001</v>
      </c>
      <c r="F32" s="102">
        <f t="shared" si="6"/>
        <v>17404.21</v>
      </c>
      <c r="G32" s="102">
        <f t="shared" si="7"/>
        <v>20885.05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14">
        <v>42529.41</v>
      </c>
      <c r="F33" s="102">
        <f t="shared" si="6"/>
        <v>42529.41</v>
      </c>
      <c r="G33" s="102">
        <f t="shared" si="7"/>
        <v>51035.29</v>
      </c>
    </row>
    <row r="34" spans="1:7" ht="15.6" x14ac:dyDescent="0.3">
      <c r="A34" s="66"/>
      <c r="B34" s="73" t="s">
        <v>263</v>
      </c>
      <c r="C34" s="66"/>
      <c r="D34" s="71"/>
      <c r="E34" s="214">
        <v>0</v>
      </c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214">
        <v>81.192509999999999</v>
      </c>
      <c r="F35" s="102">
        <f t="shared" ref="F35:F41" si="9">ROUND(E35*D35,2)</f>
        <v>10202.98</v>
      </c>
      <c r="G35" s="102">
        <f t="shared" ref="G35:G41" si="10">ROUND(F35*1.2,2)</f>
        <v>12243.58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214">
        <v>87.636359999999996</v>
      </c>
      <c r="F36" s="102">
        <f t="shared" si="9"/>
        <v>10726.69</v>
      </c>
      <c r="G36" s="102">
        <f t="shared" si="10"/>
        <v>12872.03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214">
        <v>90.21390000000001</v>
      </c>
      <c r="F37" s="102">
        <f t="shared" si="9"/>
        <v>6158.36</v>
      </c>
      <c r="G37" s="102">
        <f t="shared" si="10"/>
        <v>7390.03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214">
        <v>7879.539780000001</v>
      </c>
      <c r="F38" s="102">
        <f t="shared" si="9"/>
        <v>28791.84</v>
      </c>
      <c r="G38" s="102">
        <f t="shared" si="10"/>
        <v>34550.21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214">
        <v>6521.1762000000008</v>
      </c>
      <c r="F39" s="102">
        <f t="shared" si="9"/>
        <v>11972.88</v>
      </c>
      <c r="G39" s="102">
        <f t="shared" si="10"/>
        <v>14367.46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214">
        <v>202.33689000000001</v>
      </c>
      <c r="F40" s="102">
        <f t="shared" si="9"/>
        <v>12820.07</v>
      </c>
      <c r="G40" s="102">
        <f t="shared" si="10"/>
        <v>15384.08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14">
        <v>7088.2349999999997</v>
      </c>
      <c r="F41" s="102">
        <f t="shared" si="9"/>
        <v>7088.24</v>
      </c>
      <c r="G41" s="102">
        <f t="shared" si="10"/>
        <v>8505.89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14">
        <v>0</v>
      </c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214">
        <v>146.91978000000003</v>
      </c>
      <c r="F43" s="102">
        <f t="shared" ref="F43:F49" si="12">ROUND(E43*D43,2)</f>
        <v>12611.59</v>
      </c>
      <c r="G43" s="102">
        <f t="shared" ref="G43:G49" si="13">ROUND(F43*1.2,2)</f>
        <v>15133.91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214">
        <v>114.70053</v>
      </c>
      <c r="F44" s="102">
        <f t="shared" si="12"/>
        <v>10368.93</v>
      </c>
      <c r="G44" s="102">
        <f t="shared" si="13"/>
        <v>12442.72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214">
        <v>114.70053</v>
      </c>
      <c r="F45" s="102">
        <f t="shared" si="12"/>
        <v>10167.049999999999</v>
      </c>
      <c r="G45" s="102">
        <f t="shared" si="13"/>
        <v>12200.46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214">
        <v>114.70053</v>
      </c>
      <c r="F46" s="102">
        <f t="shared" si="12"/>
        <v>3174.91</v>
      </c>
      <c r="G46" s="102">
        <f t="shared" si="13"/>
        <v>3809.89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214">
        <v>114.70053</v>
      </c>
      <c r="F47" s="102">
        <f t="shared" si="12"/>
        <v>2560.12</v>
      </c>
      <c r="G47" s="102">
        <f t="shared" si="13"/>
        <v>3072.14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214">
        <v>88.925129999999996</v>
      </c>
      <c r="F48" s="102">
        <f t="shared" si="12"/>
        <v>1216.5</v>
      </c>
      <c r="G48" s="102">
        <f t="shared" si="13"/>
        <v>1459.8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214">
        <v>408.54008999999996</v>
      </c>
      <c r="F49" s="102">
        <f t="shared" si="12"/>
        <v>1960.99</v>
      </c>
      <c r="G49" s="102">
        <f t="shared" si="13"/>
        <v>2353.19</v>
      </c>
    </row>
    <row r="50" spans="1:7" ht="15.6" x14ac:dyDescent="0.3">
      <c r="A50" s="66"/>
      <c r="B50" s="62" t="s">
        <v>283</v>
      </c>
      <c r="C50" s="66"/>
      <c r="D50" s="71"/>
      <c r="E50" s="214">
        <v>0</v>
      </c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214">
        <v>0</v>
      </c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214">
        <v>96.657750000000007</v>
      </c>
      <c r="F52" s="102">
        <f t="shared" ref="F52:F61" si="14">ROUND(E52*D52,2)</f>
        <v>2018.21</v>
      </c>
      <c r="G52" s="102">
        <f t="shared" ref="G52:G61" si="15">ROUND(F52*1.2,2)</f>
        <v>2421.85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214">
        <v>144.34224</v>
      </c>
      <c r="F53" s="102">
        <f t="shared" si="14"/>
        <v>255788.88</v>
      </c>
      <c r="G53" s="102">
        <f t="shared" si="15"/>
        <v>306946.65999999997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214">
        <v>121.14438000000001</v>
      </c>
      <c r="F54" s="102">
        <f t="shared" si="14"/>
        <v>30811.86</v>
      </c>
      <c r="G54" s="102">
        <f t="shared" si="15"/>
        <v>36974.230000000003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214">
        <v>114.70053</v>
      </c>
      <c r="F55" s="102">
        <f t="shared" si="14"/>
        <v>22906.15</v>
      </c>
      <c r="G55" s="102">
        <f t="shared" si="15"/>
        <v>27487.38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214">
        <v>114.70053</v>
      </c>
      <c r="F56" s="102">
        <f t="shared" si="14"/>
        <v>1260.56</v>
      </c>
      <c r="G56" s="102">
        <f t="shared" si="15"/>
        <v>1512.67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214">
        <v>6793.106670000001</v>
      </c>
      <c r="F57" s="102">
        <f t="shared" si="14"/>
        <v>5791.8</v>
      </c>
      <c r="G57" s="102">
        <f t="shared" si="15"/>
        <v>6950.16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214">
        <v>11412.058350000001</v>
      </c>
      <c r="F58" s="102">
        <f t="shared" si="14"/>
        <v>1004.26</v>
      </c>
      <c r="G58" s="102">
        <f t="shared" si="15"/>
        <v>1205.1099999999999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214">
        <v>202.33689000000001</v>
      </c>
      <c r="F59" s="102">
        <f t="shared" si="14"/>
        <v>2015.28</v>
      </c>
      <c r="G59" s="102">
        <f t="shared" si="15"/>
        <v>2418.34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214">
        <v>224.24598</v>
      </c>
      <c r="F60" s="102">
        <f t="shared" si="14"/>
        <v>2233.4899999999998</v>
      </c>
      <c r="G60" s="102">
        <f t="shared" si="15"/>
        <v>2680.19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14">
        <v>8505.8820000000032</v>
      </c>
      <c r="F61" s="102">
        <f t="shared" si="14"/>
        <v>8505.8799999999992</v>
      </c>
      <c r="G61" s="102">
        <f t="shared" si="15"/>
        <v>10207.06</v>
      </c>
    </row>
    <row r="62" spans="1:7" ht="15.6" x14ac:dyDescent="0.3">
      <c r="A62" s="66"/>
      <c r="B62" s="73" t="s">
        <v>294</v>
      </c>
      <c r="C62" s="66"/>
      <c r="D62" s="71"/>
      <c r="E62" s="214">
        <v>0</v>
      </c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214">
        <v>96.657750000000007</v>
      </c>
      <c r="F63" s="102">
        <f t="shared" ref="F63:F71" si="17">ROUND(E63*D63,2)</f>
        <v>84764.98</v>
      </c>
      <c r="G63" s="102">
        <f t="shared" ref="G63:G71" si="18">ROUND(F63*1.2,2)</f>
        <v>101717.98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214">
        <v>96.657750000000007</v>
      </c>
      <c r="F64" s="102">
        <f t="shared" si="17"/>
        <v>71461.009999999995</v>
      </c>
      <c r="G64" s="102">
        <f t="shared" si="18"/>
        <v>85753.21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214">
        <v>114.70053</v>
      </c>
      <c r="F65" s="102">
        <f t="shared" si="17"/>
        <v>4321.92</v>
      </c>
      <c r="G65" s="102">
        <f t="shared" si="18"/>
        <v>5186.3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214">
        <v>114.70053</v>
      </c>
      <c r="F66" s="102">
        <f t="shared" si="17"/>
        <v>4321.92</v>
      </c>
      <c r="G66" s="102">
        <f t="shared" si="18"/>
        <v>5186.3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214">
        <v>114.70053</v>
      </c>
      <c r="F67" s="102">
        <f t="shared" si="17"/>
        <v>14586.47</v>
      </c>
      <c r="G67" s="102">
        <f t="shared" si="18"/>
        <v>17503.759999999998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214">
        <v>163.67379</v>
      </c>
      <c r="F68" s="102">
        <f t="shared" si="17"/>
        <v>358.77</v>
      </c>
      <c r="G68" s="102">
        <f t="shared" si="18"/>
        <v>430.52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214">
        <v>189.44919000000002</v>
      </c>
      <c r="F69" s="102">
        <f t="shared" si="17"/>
        <v>97</v>
      </c>
      <c r="G69" s="102">
        <f t="shared" si="18"/>
        <v>116.4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214">
        <v>253.88768999999999</v>
      </c>
      <c r="F70" s="102">
        <f t="shared" si="17"/>
        <v>52.81</v>
      </c>
      <c r="G70" s="102">
        <f t="shared" si="18"/>
        <v>63.37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214">
        <v>275.79678000000001</v>
      </c>
      <c r="F71" s="102">
        <f t="shared" si="17"/>
        <v>26.48</v>
      </c>
      <c r="G71" s="102">
        <f t="shared" si="18"/>
        <v>31.78</v>
      </c>
    </row>
    <row r="72" spans="1:7" ht="15.6" x14ac:dyDescent="0.3">
      <c r="A72" s="66"/>
      <c r="B72" s="73" t="s">
        <v>304</v>
      </c>
      <c r="C72" s="66"/>
      <c r="D72" s="71"/>
      <c r="E72" s="214">
        <v>0</v>
      </c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214">
        <v>96.657750000000007</v>
      </c>
      <c r="F73" s="102">
        <f t="shared" ref="F73:F84" si="20">ROUND(E73*D73,2)</f>
        <v>31618.68</v>
      </c>
      <c r="G73" s="102">
        <f t="shared" ref="G73:G84" si="21">ROUND(F73*1.2,2)</f>
        <v>37942.42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214">
        <v>96.657750000000007</v>
      </c>
      <c r="F74" s="102">
        <f t="shared" si="20"/>
        <v>31750.62</v>
      </c>
      <c r="G74" s="102">
        <f t="shared" si="21"/>
        <v>38100.74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214">
        <v>114.70053</v>
      </c>
      <c r="F75" s="102">
        <f t="shared" si="20"/>
        <v>2160.96</v>
      </c>
      <c r="G75" s="102">
        <f t="shared" si="21"/>
        <v>2593.15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214">
        <v>114.70053</v>
      </c>
      <c r="F76" s="102">
        <f t="shared" si="20"/>
        <v>2160.96</v>
      </c>
      <c r="G76" s="102">
        <f t="shared" si="21"/>
        <v>2593.15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214">
        <v>114.70053</v>
      </c>
      <c r="F77" s="102">
        <f t="shared" si="20"/>
        <v>14586.47</v>
      </c>
      <c r="G77" s="102">
        <f t="shared" si="21"/>
        <v>17503.759999999998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214">
        <v>163.67379</v>
      </c>
      <c r="F78" s="102">
        <f t="shared" si="20"/>
        <v>179.39</v>
      </c>
      <c r="G78" s="102">
        <f t="shared" si="21"/>
        <v>215.27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214">
        <v>189.44919000000002</v>
      </c>
      <c r="F79" s="102">
        <f t="shared" si="20"/>
        <v>48.5</v>
      </c>
      <c r="G79" s="102">
        <f t="shared" si="21"/>
        <v>58.2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214">
        <v>253.88768999999999</v>
      </c>
      <c r="F80" s="102">
        <f t="shared" si="20"/>
        <v>26.4</v>
      </c>
      <c r="G80" s="102">
        <f t="shared" si="21"/>
        <v>31.68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214">
        <v>275.79678000000001</v>
      </c>
      <c r="F81" s="102">
        <f t="shared" si="20"/>
        <v>13.24</v>
      </c>
      <c r="G81" s="102">
        <f t="shared" si="21"/>
        <v>15.89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214">
        <v>202.33689000000001</v>
      </c>
      <c r="F82" s="102">
        <f t="shared" si="20"/>
        <v>2367.34</v>
      </c>
      <c r="G82" s="102">
        <f t="shared" si="21"/>
        <v>2840.81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214">
        <v>224.24598</v>
      </c>
      <c r="F83" s="102">
        <f t="shared" si="20"/>
        <v>2623.68</v>
      </c>
      <c r="G83" s="102">
        <f t="shared" si="21"/>
        <v>3148.42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14">
        <v>28352.94</v>
      </c>
      <c r="F84" s="102">
        <f t="shared" si="20"/>
        <v>28352.94</v>
      </c>
      <c r="G84" s="102">
        <f t="shared" si="21"/>
        <v>34023.53</v>
      </c>
    </row>
    <row r="85" spans="1:7" ht="15.6" x14ac:dyDescent="0.3">
      <c r="A85" s="66"/>
      <c r="B85" s="62" t="s">
        <v>314</v>
      </c>
      <c r="C85" s="66"/>
      <c r="D85" s="71"/>
      <c r="E85" s="214">
        <v>0</v>
      </c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214">
        <v>0</v>
      </c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214">
        <v>90.21390000000001</v>
      </c>
      <c r="F87" s="102">
        <f t="shared" ref="F87:F93" si="23">ROUND(E87*D87,2)</f>
        <v>53.23</v>
      </c>
      <c r="G87" s="102">
        <f t="shared" ref="G87:G93" si="24">ROUND(F87*1.2,2)</f>
        <v>63.88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214">
        <v>96.657750000000007</v>
      </c>
      <c r="F88" s="102">
        <f t="shared" si="23"/>
        <v>262.91000000000003</v>
      </c>
      <c r="G88" s="102">
        <f t="shared" si="24"/>
        <v>315.49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214">
        <v>146.91978000000003</v>
      </c>
      <c r="F89" s="102">
        <f t="shared" si="23"/>
        <v>1851.19</v>
      </c>
      <c r="G89" s="102">
        <f t="shared" si="24"/>
        <v>2221.4299999999998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214">
        <v>844.14435000000014</v>
      </c>
      <c r="F90" s="102">
        <f t="shared" si="23"/>
        <v>17136.13</v>
      </c>
      <c r="G90" s="102">
        <f t="shared" si="24"/>
        <v>20563.36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214">
        <v>7879.539780000001</v>
      </c>
      <c r="F91" s="102">
        <f t="shared" si="23"/>
        <v>3998.87</v>
      </c>
      <c r="G91" s="102">
        <f t="shared" si="24"/>
        <v>4798.6400000000003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214">
        <v>6521.1762000000008</v>
      </c>
      <c r="F92" s="102">
        <f t="shared" si="23"/>
        <v>731.68</v>
      </c>
      <c r="G92" s="102">
        <f t="shared" si="24"/>
        <v>878.02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14">
        <v>4252.9410000000016</v>
      </c>
      <c r="F93" s="102">
        <f t="shared" si="23"/>
        <v>4252.9399999999996</v>
      </c>
      <c r="G93" s="102">
        <f t="shared" si="24"/>
        <v>5103.53</v>
      </c>
    </row>
    <row r="94" spans="1:7" ht="15.6" x14ac:dyDescent="0.3">
      <c r="A94" s="66"/>
      <c r="B94" s="73" t="s">
        <v>320</v>
      </c>
      <c r="C94" s="66"/>
      <c r="D94" s="71"/>
      <c r="E94" s="214">
        <v>0</v>
      </c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214">
        <v>47786.302829999993</v>
      </c>
      <c r="F95" s="102">
        <f t="shared" ref="F95:F114" si="26">ROUND(E95*D95,2)</f>
        <v>47786.3</v>
      </c>
      <c r="G95" s="102">
        <f t="shared" ref="G95:G114" si="27">ROUND(F95*1.2,2)</f>
        <v>57343.56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214">
        <v>47786.302829999993</v>
      </c>
      <c r="F96" s="102">
        <f t="shared" si="26"/>
        <v>47786.3</v>
      </c>
      <c r="G96" s="102">
        <f t="shared" si="27"/>
        <v>57343.56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214">
        <v>47786.302829999993</v>
      </c>
      <c r="F97" s="102">
        <f t="shared" si="26"/>
        <v>47786.3</v>
      </c>
      <c r="G97" s="102">
        <f t="shared" si="27"/>
        <v>57343.56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214">
        <v>47786.302829999993</v>
      </c>
      <c r="F98" s="102">
        <f t="shared" si="26"/>
        <v>47786.3</v>
      </c>
      <c r="G98" s="102">
        <f t="shared" si="27"/>
        <v>57343.56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214">
        <v>46801.682550000005</v>
      </c>
      <c r="F99" s="102">
        <f t="shared" si="26"/>
        <v>46801.68</v>
      </c>
      <c r="G99" s="102">
        <f t="shared" si="27"/>
        <v>56162.02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214">
        <v>46801.682550000005</v>
      </c>
      <c r="F100" s="102">
        <f t="shared" si="26"/>
        <v>46801.68</v>
      </c>
      <c r="G100" s="102">
        <f t="shared" si="27"/>
        <v>56162.02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214">
        <v>46801.682550000005</v>
      </c>
      <c r="F101" s="102">
        <f t="shared" si="26"/>
        <v>46801.68</v>
      </c>
      <c r="G101" s="102">
        <f t="shared" si="27"/>
        <v>56162.02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214">
        <v>46801.682550000005</v>
      </c>
      <c r="F102" s="102">
        <f t="shared" si="26"/>
        <v>46801.68</v>
      </c>
      <c r="G102" s="102">
        <f t="shared" si="27"/>
        <v>56162.02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214">
        <v>46801.682550000005</v>
      </c>
      <c r="F103" s="102">
        <f t="shared" si="26"/>
        <v>46801.68</v>
      </c>
      <c r="G103" s="102">
        <f t="shared" si="27"/>
        <v>56162.02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214">
        <v>45818.351040000009</v>
      </c>
      <c r="F104" s="102">
        <f t="shared" si="26"/>
        <v>45818.35</v>
      </c>
      <c r="G104" s="102">
        <f t="shared" si="27"/>
        <v>54982.02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214">
        <v>45818.351040000009</v>
      </c>
      <c r="F105" s="102">
        <f t="shared" si="26"/>
        <v>45818.35</v>
      </c>
      <c r="G105" s="102">
        <f t="shared" si="27"/>
        <v>54982.02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214">
        <v>45818.351040000009</v>
      </c>
      <c r="F106" s="102">
        <f t="shared" si="26"/>
        <v>45818.35</v>
      </c>
      <c r="G106" s="102">
        <f t="shared" si="27"/>
        <v>54982.02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214">
        <v>12254.913929999999</v>
      </c>
      <c r="F107" s="102">
        <f t="shared" si="26"/>
        <v>318627.76</v>
      </c>
      <c r="G107" s="102">
        <f t="shared" si="27"/>
        <v>382353.31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214">
        <v>114.70053</v>
      </c>
      <c r="F108" s="102">
        <f t="shared" si="26"/>
        <v>9176.0400000000009</v>
      </c>
      <c r="G108" s="102">
        <f t="shared" si="27"/>
        <v>11011.25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214">
        <v>114.70053</v>
      </c>
      <c r="F109" s="102">
        <f t="shared" si="26"/>
        <v>940.54</v>
      </c>
      <c r="G109" s="102">
        <f t="shared" si="27"/>
        <v>1128.6500000000001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214">
        <v>5706.6735599999993</v>
      </c>
      <c r="F110" s="102">
        <f t="shared" si="26"/>
        <v>28703.43</v>
      </c>
      <c r="G110" s="102">
        <f t="shared" si="27"/>
        <v>34444.120000000003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214">
        <v>5706.6735599999993</v>
      </c>
      <c r="F111" s="102">
        <f t="shared" si="26"/>
        <v>26397.93</v>
      </c>
      <c r="G111" s="102">
        <f t="shared" si="27"/>
        <v>31677.52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214">
        <v>234.55614000000003</v>
      </c>
      <c r="F112" s="102">
        <f t="shared" si="26"/>
        <v>645.5</v>
      </c>
      <c r="G112" s="102">
        <f t="shared" si="27"/>
        <v>774.6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214">
        <v>1773.3475200000003</v>
      </c>
      <c r="F113" s="102">
        <f t="shared" si="26"/>
        <v>2287.62</v>
      </c>
      <c r="G113" s="102">
        <f t="shared" si="27"/>
        <v>2745.14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214">
        <v>850.58820000000014</v>
      </c>
      <c r="F114" s="102">
        <f t="shared" si="26"/>
        <v>2390.15</v>
      </c>
      <c r="G114" s="102">
        <f t="shared" si="27"/>
        <v>2868.18</v>
      </c>
    </row>
    <row r="115" spans="1:7" ht="15.6" x14ac:dyDescent="0.3">
      <c r="A115" s="174"/>
      <c r="B115" s="478" t="s">
        <v>341</v>
      </c>
      <c r="C115" s="479"/>
      <c r="D115" s="479"/>
      <c r="E115" s="214">
        <v>0</v>
      </c>
      <c r="F115" s="176"/>
      <c r="G115" s="338">
        <f>SUM(G117:G143)</f>
        <v>1569813.76</v>
      </c>
    </row>
    <row r="116" spans="1:7" ht="15.6" x14ac:dyDescent="0.3">
      <c r="A116" s="66"/>
      <c r="B116" s="62" t="s">
        <v>342</v>
      </c>
      <c r="C116" s="74"/>
      <c r="D116" s="75"/>
      <c r="E116" s="214">
        <v>0</v>
      </c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214">
        <v>3395.9089500000005</v>
      </c>
      <c r="F117" s="102">
        <f t="shared" ref="F117:F126" si="29">ROUND(E117*D117,2)</f>
        <v>24993.89</v>
      </c>
      <c r="G117" s="102">
        <f t="shared" ref="G117:G143" si="30">ROUND(F117*1.2,2)</f>
        <v>29992.67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214">
        <v>16302.940500000004</v>
      </c>
      <c r="F118" s="102">
        <f t="shared" si="29"/>
        <v>423876.45</v>
      </c>
      <c r="G118" s="102">
        <f t="shared" si="30"/>
        <v>508651.74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214">
        <v>5162.8126200000006</v>
      </c>
      <c r="F119" s="102">
        <f t="shared" si="29"/>
        <v>139395.94</v>
      </c>
      <c r="G119" s="102">
        <f t="shared" si="30"/>
        <v>167275.13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214">
        <v>7200.3579900000004</v>
      </c>
      <c r="F120" s="102">
        <f t="shared" si="29"/>
        <v>18252.91</v>
      </c>
      <c r="G120" s="102">
        <f t="shared" si="30"/>
        <v>21903.49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214">
        <v>19.33155</v>
      </c>
      <c r="F121" s="102">
        <f t="shared" si="29"/>
        <v>12488.18</v>
      </c>
      <c r="G121" s="102">
        <f t="shared" si="30"/>
        <v>14985.82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214">
        <v>5706.6735599999993</v>
      </c>
      <c r="F122" s="102">
        <f t="shared" si="29"/>
        <v>2328.3200000000002</v>
      </c>
      <c r="G122" s="102">
        <f t="shared" si="30"/>
        <v>2793.98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214">
        <v>567.05880000000002</v>
      </c>
      <c r="F123" s="102">
        <f t="shared" si="29"/>
        <v>5217.12</v>
      </c>
      <c r="G123" s="102">
        <f t="shared" si="30"/>
        <v>6260.54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214">
        <v>52.839570000000002</v>
      </c>
      <c r="F124" s="102">
        <f t="shared" si="29"/>
        <v>6403.85</v>
      </c>
      <c r="G124" s="102">
        <f t="shared" si="30"/>
        <v>7684.62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214">
        <v>7336.9676099999997</v>
      </c>
      <c r="F125" s="102">
        <f t="shared" si="29"/>
        <v>106.93</v>
      </c>
      <c r="G125" s="102">
        <f t="shared" si="30"/>
        <v>128.32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14">
        <v>7088.2349999999997</v>
      </c>
      <c r="F126" s="102">
        <f t="shared" si="29"/>
        <v>7088.24</v>
      </c>
      <c r="G126" s="102">
        <f t="shared" si="30"/>
        <v>8505.89</v>
      </c>
    </row>
    <row r="127" spans="1:7" ht="15.6" x14ac:dyDescent="0.3">
      <c r="A127" s="66"/>
      <c r="B127" s="62" t="s">
        <v>352</v>
      </c>
      <c r="C127" s="74"/>
      <c r="D127" s="75"/>
      <c r="E127" s="214">
        <v>0</v>
      </c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214">
        <v>114.70053</v>
      </c>
      <c r="F128" s="102">
        <f t="shared" ref="F128:F143" si="32">ROUND(E128*D128,2)</f>
        <v>38432.71</v>
      </c>
      <c r="G128" s="102">
        <f t="shared" si="30"/>
        <v>46119.25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214">
        <v>114.70053</v>
      </c>
      <c r="F129" s="102">
        <f t="shared" si="32"/>
        <v>31208.29</v>
      </c>
      <c r="G129" s="102">
        <f t="shared" si="30"/>
        <v>37449.949999999997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214">
        <v>114.70053</v>
      </c>
      <c r="F130" s="102">
        <f t="shared" si="32"/>
        <v>42048.3</v>
      </c>
      <c r="G130" s="102">
        <f t="shared" si="30"/>
        <v>50457.96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214">
        <v>114.70053</v>
      </c>
      <c r="F131" s="102">
        <f t="shared" si="32"/>
        <v>6759.53</v>
      </c>
      <c r="G131" s="102">
        <f t="shared" si="30"/>
        <v>8111.44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214">
        <v>114.70053</v>
      </c>
      <c r="F132" s="102">
        <f t="shared" si="32"/>
        <v>6895.34</v>
      </c>
      <c r="G132" s="102">
        <f t="shared" si="30"/>
        <v>8274.41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214">
        <v>114.70053</v>
      </c>
      <c r="F133" s="102">
        <f t="shared" si="32"/>
        <v>84924.27</v>
      </c>
      <c r="G133" s="102">
        <f t="shared" si="30"/>
        <v>101909.12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214">
        <v>114.70053</v>
      </c>
      <c r="F134" s="102">
        <f t="shared" si="32"/>
        <v>8576.39</v>
      </c>
      <c r="G134" s="102">
        <f t="shared" si="30"/>
        <v>10291.67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214">
        <v>114.70053</v>
      </c>
      <c r="F135" s="102">
        <f t="shared" si="32"/>
        <v>16032.38</v>
      </c>
      <c r="G135" s="102">
        <f t="shared" si="30"/>
        <v>19238.86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214">
        <v>114.70053</v>
      </c>
      <c r="F136" s="102">
        <f t="shared" si="32"/>
        <v>32290.49</v>
      </c>
      <c r="G136" s="102">
        <f t="shared" si="30"/>
        <v>38748.589999999997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214">
        <v>114.70053</v>
      </c>
      <c r="F137" s="102">
        <f t="shared" si="32"/>
        <v>15744.94</v>
      </c>
      <c r="G137" s="102">
        <f t="shared" si="30"/>
        <v>18893.93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214">
        <v>90.21390000000001</v>
      </c>
      <c r="F138" s="102">
        <f t="shared" si="32"/>
        <v>1580.82</v>
      </c>
      <c r="G138" s="102">
        <f t="shared" si="30"/>
        <v>1896.98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214">
        <v>7879.539780000001</v>
      </c>
      <c r="F139" s="102">
        <f t="shared" si="32"/>
        <v>205541.73</v>
      </c>
      <c r="G139" s="102">
        <f t="shared" si="30"/>
        <v>246650.08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214">
        <v>6521.1762000000008</v>
      </c>
      <c r="F140" s="102">
        <f t="shared" si="32"/>
        <v>48556.68</v>
      </c>
      <c r="G140" s="102">
        <f t="shared" si="30"/>
        <v>58268.02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214">
        <v>567.05880000000002</v>
      </c>
      <c r="F141" s="102">
        <f t="shared" si="32"/>
        <v>24419.82</v>
      </c>
      <c r="G141" s="102">
        <f t="shared" si="30"/>
        <v>29303.78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214">
        <v>52.839570000000002</v>
      </c>
      <c r="F142" s="102">
        <f t="shared" si="32"/>
        <v>34132.25</v>
      </c>
      <c r="G142" s="102">
        <f t="shared" si="30"/>
        <v>40958.699999999997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14">
        <v>70882.35000000002</v>
      </c>
      <c r="F143" s="102">
        <f t="shared" si="32"/>
        <v>70882.350000000006</v>
      </c>
      <c r="G143" s="102">
        <f t="shared" si="30"/>
        <v>85058.82</v>
      </c>
    </row>
    <row r="144" spans="1:7" x14ac:dyDescent="0.3">
      <c r="A144" s="178"/>
      <c r="B144" s="478" t="s">
        <v>364</v>
      </c>
      <c r="C144" s="479"/>
      <c r="D144" s="479"/>
      <c r="E144" s="180"/>
      <c r="F144" s="180"/>
      <c r="G144" s="339">
        <f>SUM(G146:G158)</f>
        <v>2921336.6500000004</v>
      </c>
    </row>
    <row r="145" spans="1:8" ht="21" customHeight="1" x14ac:dyDescent="0.3">
      <c r="A145" s="66"/>
      <c r="B145" s="62" t="s">
        <v>365</v>
      </c>
      <c r="C145" s="74"/>
      <c r="D145" s="75"/>
      <c r="E145" s="214">
        <v>0</v>
      </c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214">
        <v>2037.54537</v>
      </c>
      <c r="F146" s="102">
        <f>ROUND(E146*D146,2)</f>
        <v>572550.25</v>
      </c>
      <c r="G146" s="102">
        <f t="shared" ref="G146:G150" si="33">ROUND(F146*1.2,2)</f>
        <v>687060.3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214">
        <v>5162.8126200000006</v>
      </c>
      <c r="F147" s="102">
        <f>ROUND(E147*D147,2)</f>
        <v>731570.55</v>
      </c>
      <c r="G147" s="102">
        <f t="shared" si="33"/>
        <v>877884.66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214">
        <v>5706.6735599999993</v>
      </c>
      <c r="F148" s="102">
        <f>ROUND(E148*D148,2)</f>
        <v>408027.16</v>
      </c>
      <c r="G148" s="102">
        <f t="shared" si="33"/>
        <v>489632.59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214">
        <v>5977.3152599999994</v>
      </c>
      <c r="F149" s="102">
        <f>ROUND(E149*D149,2)</f>
        <v>626422.64</v>
      </c>
      <c r="G149" s="102">
        <f t="shared" si="33"/>
        <v>751707.17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214">
        <v>33964.244580000006</v>
      </c>
      <c r="F150" s="102">
        <f>ROUND(E150*D150,2)</f>
        <v>47549.94</v>
      </c>
      <c r="G150" s="102">
        <f t="shared" si="33"/>
        <v>57059.93</v>
      </c>
    </row>
    <row r="151" spans="1:8" ht="15.6" x14ac:dyDescent="0.3">
      <c r="A151" s="286"/>
      <c r="B151" s="303" t="s">
        <v>922</v>
      </c>
      <c r="C151" s="293"/>
      <c r="D151" s="299"/>
      <c r="E151" s="214">
        <v>0</v>
      </c>
      <c r="F151" s="289"/>
      <c r="G151" s="289"/>
      <c r="H151" s="52"/>
    </row>
    <row r="152" spans="1:8" ht="15.6" x14ac:dyDescent="0.3">
      <c r="A152" s="286">
        <f>A150+1</f>
        <v>122</v>
      </c>
      <c r="B152" s="315" t="s">
        <v>925</v>
      </c>
      <c r="C152" s="286" t="s">
        <v>220</v>
      </c>
      <c r="D152" s="299">
        <v>3</v>
      </c>
      <c r="E152" s="214">
        <v>3647.2191000000003</v>
      </c>
      <c r="F152" s="289">
        <f>ROUND(E152*D152,2)</f>
        <v>10941.66</v>
      </c>
      <c r="G152" s="289">
        <f t="shared" ref="G152:G153" si="35">ROUND(F152*1.2,2)</f>
        <v>13129.99</v>
      </c>
      <c r="H152" s="52"/>
    </row>
    <row r="153" spans="1:8" ht="15.6" x14ac:dyDescent="0.3">
      <c r="A153" s="286">
        <f>A152+1</f>
        <v>123</v>
      </c>
      <c r="B153" s="315" t="s">
        <v>926</v>
      </c>
      <c r="C153" s="286" t="s">
        <v>220</v>
      </c>
      <c r="D153" s="299">
        <v>3</v>
      </c>
      <c r="E153" s="214">
        <v>1971.8181000000002</v>
      </c>
      <c r="F153" s="289">
        <f>ROUND(E153*D153,2)</f>
        <v>5915.45</v>
      </c>
      <c r="G153" s="289">
        <f t="shared" si="35"/>
        <v>7098.54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214">
        <v>0</v>
      </c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214">
        <v>626.34222</v>
      </c>
      <c r="F155" s="102">
        <f>ROUND(E155*D155,2)</f>
        <v>814.24</v>
      </c>
      <c r="G155" s="102">
        <f t="shared" ref="G155:G182" si="36">ROUND(F155*1.2,2)</f>
        <v>977.09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214">
        <v>835.12296000000003</v>
      </c>
      <c r="F156" s="102">
        <f>ROUND(E156*D156,2)</f>
        <v>835.12</v>
      </c>
      <c r="G156" s="102">
        <f t="shared" si="36"/>
        <v>1002.14</v>
      </c>
    </row>
    <row r="157" spans="1:8" ht="18.75" customHeight="1" x14ac:dyDescent="0.3">
      <c r="A157" s="66">
        <f t="shared" ref="A157:A158" si="37">A156+1</f>
        <v>126</v>
      </c>
      <c r="B157" s="67" t="s">
        <v>374</v>
      </c>
      <c r="C157" s="74" t="s">
        <v>254</v>
      </c>
      <c r="D157" s="68">
        <v>0.9</v>
      </c>
      <c r="E157" s="214">
        <v>1630.2940500000002</v>
      </c>
      <c r="F157" s="102">
        <f>ROUND(E157*D157,2)</f>
        <v>1467.26</v>
      </c>
      <c r="G157" s="102">
        <f t="shared" si="36"/>
        <v>1760.71</v>
      </c>
    </row>
    <row r="158" spans="1:8" ht="27.6" x14ac:dyDescent="0.3">
      <c r="A158" s="66">
        <f t="shared" si="37"/>
        <v>127</v>
      </c>
      <c r="B158" s="67" t="s">
        <v>262</v>
      </c>
      <c r="C158" s="66" t="s">
        <v>243</v>
      </c>
      <c r="D158" s="71">
        <v>1</v>
      </c>
      <c r="E158" s="214">
        <v>28352.94</v>
      </c>
      <c r="F158" s="102">
        <f>ROUND(E158*D158,2)</f>
        <v>28352.94</v>
      </c>
      <c r="G158" s="102">
        <f t="shared" si="36"/>
        <v>34023.53</v>
      </c>
    </row>
    <row r="159" spans="1:8" ht="22.5" customHeight="1" x14ac:dyDescent="0.3">
      <c r="A159" s="174"/>
      <c r="B159" s="478" t="s">
        <v>375</v>
      </c>
      <c r="C159" s="479"/>
      <c r="D159" s="479"/>
      <c r="E159" s="214">
        <v>0</v>
      </c>
      <c r="F159" s="176"/>
      <c r="G159" s="177">
        <f>SUM(G160:G182)</f>
        <v>886163.36999999988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214">
        <v>5542.9997700000004</v>
      </c>
      <c r="F160" s="102">
        <f t="shared" ref="F160:F182" si="38">ROUND(E160*D160,2)</f>
        <v>160746.99</v>
      </c>
      <c r="G160" s="102">
        <f t="shared" si="36"/>
        <v>192896.39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214">
        <v>9455.7054900000003</v>
      </c>
      <c r="F161" s="102">
        <f t="shared" si="38"/>
        <v>257857.09</v>
      </c>
      <c r="G161" s="102">
        <f t="shared" si="36"/>
        <v>309428.51</v>
      </c>
    </row>
    <row r="162" spans="1:7" ht="15.6" x14ac:dyDescent="0.3">
      <c r="A162" s="66">
        <f t="shared" ref="A162:A182" si="39">A161+1</f>
        <v>130</v>
      </c>
      <c r="B162" s="67" t="s">
        <v>378</v>
      </c>
      <c r="C162" s="74" t="s">
        <v>220</v>
      </c>
      <c r="D162" s="71">
        <v>1</v>
      </c>
      <c r="E162" s="214">
        <v>13858.143810000001</v>
      </c>
      <c r="F162" s="102">
        <f t="shared" si="38"/>
        <v>13858.14</v>
      </c>
      <c r="G162" s="102">
        <f t="shared" si="36"/>
        <v>16629.77</v>
      </c>
    </row>
    <row r="163" spans="1:7" ht="15.6" x14ac:dyDescent="0.3">
      <c r="A163" s="66">
        <f t="shared" si="39"/>
        <v>131</v>
      </c>
      <c r="B163" s="67" t="s">
        <v>379</v>
      </c>
      <c r="C163" s="74" t="s">
        <v>220</v>
      </c>
      <c r="D163" s="71">
        <v>1</v>
      </c>
      <c r="E163" s="214">
        <v>14672.646450000004</v>
      </c>
      <c r="F163" s="102">
        <f t="shared" si="38"/>
        <v>14672.65</v>
      </c>
      <c r="G163" s="102">
        <f t="shared" si="36"/>
        <v>17607.18</v>
      </c>
    </row>
    <row r="164" spans="1:7" ht="15.6" x14ac:dyDescent="0.3">
      <c r="A164" s="66">
        <f t="shared" si="39"/>
        <v>132</v>
      </c>
      <c r="B164" s="67" t="s">
        <v>380</v>
      </c>
      <c r="C164" s="74" t="s">
        <v>220</v>
      </c>
      <c r="D164" s="71">
        <v>1</v>
      </c>
      <c r="E164" s="214">
        <v>13206.02619</v>
      </c>
      <c r="F164" s="102">
        <f t="shared" si="38"/>
        <v>13206.03</v>
      </c>
      <c r="G164" s="102">
        <f t="shared" si="36"/>
        <v>15847.24</v>
      </c>
    </row>
    <row r="165" spans="1:7" ht="15.6" x14ac:dyDescent="0.3">
      <c r="A165" s="66">
        <f t="shared" si="39"/>
        <v>133</v>
      </c>
      <c r="B165" s="67" t="s">
        <v>381</v>
      </c>
      <c r="C165" s="74" t="s">
        <v>220</v>
      </c>
      <c r="D165" s="71">
        <v>3</v>
      </c>
      <c r="E165" s="214">
        <v>14184.20262</v>
      </c>
      <c r="F165" s="102">
        <f t="shared" si="38"/>
        <v>42552.61</v>
      </c>
      <c r="G165" s="102">
        <f t="shared" si="36"/>
        <v>51063.13</v>
      </c>
    </row>
    <row r="166" spans="1:7" ht="15.6" x14ac:dyDescent="0.3">
      <c r="A166" s="66">
        <f t="shared" si="39"/>
        <v>134</v>
      </c>
      <c r="B166" s="67" t="s">
        <v>382</v>
      </c>
      <c r="C166" s="74" t="s">
        <v>220</v>
      </c>
      <c r="D166" s="71">
        <v>1</v>
      </c>
      <c r="E166" s="214">
        <v>7989.0852299999997</v>
      </c>
      <c r="F166" s="102">
        <f t="shared" si="38"/>
        <v>7989.09</v>
      </c>
      <c r="G166" s="102">
        <f t="shared" si="36"/>
        <v>9586.91</v>
      </c>
    </row>
    <row r="167" spans="1:7" ht="15.6" x14ac:dyDescent="0.3">
      <c r="A167" s="66">
        <f t="shared" si="39"/>
        <v>135</v>
      </c>
      <c r="B167" s="67" t="s">
        <v>383</v>
      </c>
      <c r="C167" s="74" t="s">
        <v>220</v>
      </c>
      <c r="D167" s="71">
        <v>1</v>
      </c>
      <c r="E167" s="214">
        <v>19563.528600000005</v>
      </c>
      <c r="F167" s="102">
        <f t="shared" si="38"/>
        <v>19563.53</v>
      </c>
      <c r="G167" s="102">
        <f t="shared" si="36"/>
        <v>23476.240000000002</v>
      </c>
    </row>
    <row r="168" spans="1:7" ht="27.6" x14ac:dyDescent="0.3">
      <c r="A168" s="66">
        <f t="shared" si="39"/>
        <v>136</v>
      </c>
      <c r="B168" s="67" t="s">
        <v>384</v>
      </c>
      <c r="C168" s="74" t="s">
        <v>220</v>
      </c>
      <c r="D168" s="71">
        <v>1</v>
      </c>
      <c r="E168" s="214">
        <v>4728.4971299999997</v>
      </c>
      <c r="F168" s="102">
        <f t="shared" si="38"/>
        <v>4728.5</v>
      </c>
      <c r="G168" s="102">
        <f t="shared" si="36"/>
        <v>5674.2</v>
      </c>
    </row>
    <row r="169" spans="1:7" ht="27.6" x14ac:dyDescent="0.3">
      <c r="A169" s="66">
        <f t="shared" si="39"/>
        <v>137</v>
      </c>
      <c r="B169" s="67" t="s">
        <v>385</v>
      </c>
      <c r="C169" s="74" t="s">
        <v>254</v>
      </c>
      <c r="D169" s="68">
        <v>16.13</v>
      </c>
      <c r="E169" s="214">
        <v>904.71654000000001</v>
      </c>
      <c r="F169" s="102">
        <f t="shared" si="38"/>
        <v>14593.08</v>
      </c>
      <c r="G169" s="102">
        <f t="shared" si="36"/>
        <v>17511.7</v>
      </c>
    </row>
    <row r="170" spans="1:7" ht="15.6" x14ac:dyDescent="0.3">
      <c r="A170" s="66">
        <f t="shared" si="39"/>
        <v>138</v>
      </c>
      <c r="B170" s="67" t="s">
        <v>386</v>
      </c>
      <c r="C170" s="74" t="s">
        <v>387</v>
      </c>
      <c r="D170" s="71">
        <v>50</v>
      </c>
      <c r="E170" s="214">
        <v>320.90373</v>
      </c>
      <c r="F170" s="102">
        <f t="shared" si="38"/>
        <v>16045.19</v>
      </c>
      <c r="G170" s="102">
        <f t="shared" si="36"/>
        <v>19254.23</v>
      </c>
    </row>
    <row r="171" spans="1:7" ht="15.6" x14ac:dyDescent="0.3">
      <c r="A171" s="66">
        <f t="shared" si="39"/>
        <v>139</v>
      </c>
      <c r="B171" s="67" t="s">
        <v>388</v>
      </c>
      <c r="C171" s="74" t="s">
        <v>254</v>
      </c>
      <c r="D171" s="71">
        <v>75</v>
      </c>
      <c r="E171" s="214">
        <v>402.09624000000002</v>
      </c>
      <c r="F171" s="102">
        <f t="shared" si="38"/>
        <v>30157.22</v>
      </c>
      <c r="G171" s="102">
        <f t="shared" si="36"/>
        <v>36188.660000000003</v>
      </c>
    </row>
    <row r="172" spans="1:7" ht="15.6" x14ac:dyDescent="0.3">
      <c r="A172" s="66">
        <f t="shared" si="39"/>
        <v>140</v>
      </c>
      <c r="B172" s="67" t="s">
        <v>389</v>
      </c>
      <c r="C172" s="74" t="s">
        <v>193</v>
      </c>
      <c r="D172" s="77">
        <f>3.5*1.015</f>
        <v>3.5524999999999998</v>
      </c>
      <c r="E172" s="214">
        <v>7879.539780000001</v>
      </c>
      <c r="F172" s="102">
        <f t="shared" si="38"/>
        <v>27992.07</v>
      </c>
      <c r="G172" s="102">
        <f t="shared" si="36"/>
        <v>33590.480000000003</v>
      </c>
    </row>
    <row r="173" spans="1:7" ht="15.6" x14ac:dyDescent="0.3">
      <c r="A173" s="66">
        <f t="shared" si="39"/>
        <v>141</v>
      </c>
      <c r="B173" s="67" t="s">
        <v>390</v>
      </c>
      <c r="C173" s="74" t="s">
        <v>193</v>
      </c>
      <c r="D173" s="72">
        <f>12*1.1</f>
        <v>13.200000000000001</v>
      </c>
      <c r="E173" s="214">
        <v>1630.2940500000002</v>
      </c>
      <c r="F173" s="102">
        <f t="shared" si="38"/>
        <v>21519.88</v>
      </c>
      <c r="G173" s="102">
        <f t="shared" si="36"/>
        <v>25823.86</v>
      </c>
    </row>
    <row r="174" spans="1:7" ht="15.6" x14ac:dyDescent="0.3">
      <c r="A174" s="66">
        <f t="shared" si="39"/>
        <v>142</v>
      </c>
      <c r="B174" s="67" t="s">
        <v>391</v>
      </c>
      <c r="C174" s="74" t="s">
        <v>193</v>
      </c>
      <c r="D174" s="72">
        <f>0.8*1.2</f>
        <v>0.96</v>
      </c>
      <c r="E174" s="214">
        <v>1763.03736</v>
      </c>
      <c r="F174" s="102">
        <f t="shared" si="38"/>
        <v>1692.52</v>
      </c>
      <c r="G174" s="102">
        <f t="shared" si="36"/>
        <v>2031.02</v>
      </c>
    </row>
    <row r="175" spans="1:7" ht="15.6" x14ac:dyDescent="0.3">
      <c r="A175" s="66">
        <f t="shared" si="39"/>
        <v>143</v>
      </c>
      <c r="B175" s="67" t="s">
        <v>392</v>
      </c>
      <c r="C175" s="74" t="s">
        <v>254</v>
      </c>
      <c r="D175" s="71">
        <v>17</v>
      </c>
      <c r="E175" s="214">
        <v>109.54545000000002</v>
      </c>
      <c r="F175" s="102">
        <f t="shared" si="38"/>
        <v>1862.27</v>
      </c>
      <c r="G175" s="102">
        <f t="shared" si="36"/>
        <v>2234.7199999999998</v>
      </c>
    </row>
    <row r="176" spans="1:7" ht="15.6" x14ac:dyDescent="0.3">
      <c r="A176" s="66">
        <f t="shared" si="39"/>
        <v>144</v>
      </c>
      <c r="B176" s="67" t="s">
        <v>393</v>
      </c>
      <c r="C176" s="74" t="s">
        <v>254</v>
      </c>
      <c r="D176" s="71">
        <v>4</v>
      </c>
      <c r="E176" s="214">
        <v>109.54545000000002</v>
      </c>
      <c r="F176" s="102">
        <f t="shared" si="38"/>
        <v>438.18</v>
      </c>
      <c r="G176" s="102">
        <f t="shared" si="36"/>
        <v>525.82000000000005</v>
      </c>
    </row>
    <row r="177" spans="1:10" ht="15.6" x14ac:dyDescent="0.3">
      <c r="A177" s="66">
        <f t="shared" si="39"/>
        <v>145</v>
      </c>
      <c r="B177" s="67" t="s">
        <v>394</v>
      </c>
      <c r="C177" s="74" t="s">
        <v>254</v>
      </c>
      <c r="D177" s="72">
        <v>4.5999999999999996</v>
      </c>
      <c r="E177" s="214">
        <v>134.03208000000001</v>
      </c>
      <c r="F177" s="102">
        <f t="shared" si="38"/>
        <v>616.54999999999995</v>
      </c>
      <c r="G177" s="102">
        <f t="shared" si="36"/>
        <v>739.86</v>
      </c>
    </row>
    <row r="178" spans="1:10" ht="15.6" x14ac:dyDescent="0.3">
      <c r="A178" s="66">
        <f t="shared" si="39"/>
        <v>146</v>
      </c>
      <c r="B178" s="67" t="s">
        <v>395</v>
      </c>
      <c r="C178" s="74" t="s">
        <v>254</v>
      </c>
      <c r="D178" s="68">
        <v>2.82</v>
      </c>
      <c r="E178" s="214">
        <v>122.43315000000001</v>
      </c>
      <c r="F178" s="102">
        <f t="shared" si="38"/>
        <v>345.26</v>
      </c>
      <c r="G178" s="102">
        <f t="shared" si="36"/>
        <v>414.31</v>
      </c>
    </row>
    <row r="179" spans="1:10" ht="15.6" x14ac:dyDescent="0.3">
      <c r="A179" s="66">
        <f t="shared" si="39"/>
        <v>147</v>
      </c>
      <c r="B179" s="67" t="s">
        <v>241</v>
      </c>
      <c r="C179" s="74" t="s">
        <v>193</v>
      </c>
      <c r="D179" s="68">
        <v>1.85</v>
      </c>
      <c r="E179" s="214">
        <v>7825.4114400000017</v>
      </c>
      <c r="F179" s="102">
        <f t="shared" si="38"/>
        <v>14477.01</v>
      </c>
      <c r="G179" s="102">
        <f t="shared" si="36"/>
        <v>17372.41</v>
      </c>
    </row>
    <row r="180" spans="1:10" ht="15.6" x14ac:dyDescent="0.3">
      <c r="A180" s="66">
        <f t="shared" si="39"/>
        <v>148</v>
      </c>
      <c r="B180" s="67" t="s">
        <v>396</v>
      </c>
      <c r="C180" s="74" t="s">
        <v>193</v>
      </c>
      <c r="D180" s="68">
        <v>0.28999999999999998</v>
      </c>
      <c r="E180" s="214">
        <v>6847.2350099999994</v>
      </c>
      <c r="F180" s="102">
        <f t="shared" si="38"/>
        <v>1985.7</v>
      </c>
      <c r="G180" s="102">
        <f t="shared" si="36"/>
        <v>2382.84</v>
      </c>
    </row>
    <row r="181" spans="1:10" ht="15.6" x14ac:dyDescent="0.3">
      <c r="A181" s="66">
        <f t="shared" si="39"/>
        <v>149</v>
      </c>
      <c r="B181" s="67" t="s">
        <v>397</v>
      </c>
      <c r="C181" s="74" t="s">
        <v>193</v>
      </c>
      <c r="D181" s="68">
        <v>0.22</v>
      </c>
      <c r="E181" s="214">
        <v>3125.2672500000003</v>
      </c>
      <c r="F181" s="102">
        <f t="shared" si="38"/>
        <v>687.56</v>
      </c>
      <c r="G181" s="102">
        <f t="shared" si="36"/>
        <v>825.07</v>
      </c>
    </row>
    <row r="182" spans="1:10" ht="27.6" x14ac:dyDescent="0.3">
      <c r="A182" s="66">
        <f t="shared" si="39"/>
        <v>150</v>
      </c>
      <c r="B182" s="67" t="s">
        <v>398</v>
      </c>
      <c r="C182" s="66" t="s">
        <v>243</v>
      </c>
      <c r="D182" s="71">
        <v>1</v>
      </c>
      <c r="E182" s="214">
        <v>70882.35000000002</v>
      </c>
      <c r="F182" s="102">
        <f t="shared" si="38"/>
        <v>70882.350000000006</v>
      </c>
      <c r="G182" s="102">
        <f t="shared" si="36"/>
        <v>85058.82</v>
      </c>
    </row>
    <row r="183" spans="1:10" ht="21.75" customHeight="1" x14ac:dyDescent="0.3">
      <c r="A183" s="174"/>
      <c r="B183" s="478" t="s">
        <v>399</v>
      </c>
      <c r="C183" s="479"/>
      <c r="D183" s="479"/>
      <c r="E183" s="176"/>
      <c r="F183" s="176"/>
      <c r="G183" s="177">
        <f>SUM(G185:G300)</f>
        <v>3686672.4599999995</v>
      </c>
    </row>
    <row r="184" spans="1:10" ht="15.6" x14ac:dyDescent="0.3">
      <c r="A184" s="66"/>
      <c r="B184" s="73" t="s">
        <v>1062</v>
      </c>
      <c r="C184" s="66"/>
      <c r="D184" s="82"/>
      <c r="E184" s="214">
        <v>0</v>
      </c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214">
        <v>22804.78515</v>
      </c>
      <c r="F185" s="102">
        <f t="shared" ref="F185:F191" si="40">ROUND(E185*D185,2)</f>
        <v>250852.64</v>
      </c>
      <c r="G185" s="102">
        <f t="shared" ref="G185:G191" si="41">ROUND(F185*1.2,2)</f>
        <v>301023.17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214">
        <v>6635.8767300000009</v>
      </c>
      <c r="F186" s="102">
        <f t="shared" si="40"/>
        <v>285342.7</v>
      </c>
      <c r="G186" s="102">
        <f t="shared" si="41"/>
        <v>342411.24</v>
      </c>
      <c r="I186" s="236"/>
      <c r="J186" s="239"/>
    </row>
    <row r="187" spans="1:10" ht="19.5" customHeight="1" x14ac:dyDescent="0.3">
      <c r="A187" s="87">
        <f t="shared" ref="A187" si="42">A186+1</f>
        <v>153</v>
      </c>
      <c r="B187" s="67" t="s">
        <v>401</v>
      </c>
      <c r="C187" s="66" t="s">
        <v>220</v>
      </c>
      <c r="D187" s="71">
        <v>14</v>
      </c>
      <c r="E187" s="214">
        <v>3714.2351400000002</v>
      </c>
      <c r="F187" s="102">
        <f t="shared" si="40"/>
        <v>51999.29</v>
      </c>
      <c r="G187" s="102">
        <f t="shared" si="41"/>
        <v>62399.15</v>
      </c>
      <c r="I187" s="236"/>
      <c r="J187" s="239"/>
    </row>
    <row r="188" spans="1:10" s="317" customFormat="1" ht="19.5" customHeight="1" x14ac:dyDescent="0.3">
      <c r="A188" s="286">
        <f>A187+1</f>
        <v>154</v>
      </c>
      <c r="B188" s="291" t="s">
        <v>1063</v>
      </c>
      <c r="C188" s="286" t="s">
        <v>193</v>
      </c>
      <c r="D188" s="298">
        <v>0.02</v>
      </c>
      <c r="E188" s="214">
        <v>7345.9890000000005</v>
      </c>
      <c r="F188" s="289">
        <f t="shared" si="40"/>
        <v>146.91999999999999</v>
      </c>
      <c r="G188" s="289">
        <f t="shared" si="41"/>
        <v>176.3</v>
      </c>
      <c r="I188" s="331"/>
      <c r="J188" s="332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214">
        <v>1763.03736</v>
      </c>
      <c r="F189" s="103">
        <f t="shared" si="40"/>
        <v>9925.9</v>
      </c>
      <c r="G189" s="103">
        <f t="shared" si="41"/>
        <v>11911.08</v>
      </c>
      <c r="I189" s="233"/>
      <c r="J189" s="239"/>
    </row>
    <row r="190" spans="1:10" ht="19.5" customHeight="1" x14ac:dyDescent="0.3">
      <c r="A190" s="87">
        <f t="shared" ref="A190:A191" si="43">A189+1</f>
        <v>156</v>
      </c>
      <c r="B190" s="244" t="s">
        <v>1065</v>
      </c>
      <c r="C190" s="87" t="s">
        <v>387</v>
      </c>
      <c r="D190" s="238">
        <f>43*20/16</f>
        <v>53.75</v>
      </c>
      <c r="E190" s="214">
        <v>322.1925</v>
      </c>
      <c r="F190" s="103">
        <f t="shared" si="40"/>
        <v>17317.849999999999</v>
      </c>
      <c r="G190" s="103">
        <f t="shared" si="41"/>
        <v>20781.419999999998</v>
      </c>
      <c r="I190" s="233"/>
      <c r="J190" s="239"/>
    </row>
    <row r="191" spans="1:10" ht="19.5" customHeight="1" x14ac:dyDescent="0.3">
      <c r="A191" s="87">
        <f t="shared" si="43"/>
        <v>157</v>
      </c>
      <c r="B191" s="244" t="s">
        <v>1064</v>
      </c>
      <c r="C191" s="87" t="s">
        <v>254</v>
      </c>
      <c r="D191" s="260">
        <v>120.15</v>
      </c>
      <c r="E191" s="214">
        <v>402.09624000000002</v>
      </c>
      <c r="F191" s="103">
        <f t="shared" si="40"/>
        <v>48311.86</v>
      </c>
      <c r="G191" s="103">
        <f t="shared" si="41"/>
        <v>57974.23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214">
        <v>0</v>
      </c>
      <c r="F192" s="103"/>
      <c r="G192" s="103"/>
      <c r="I192" s="233"/>
    </row>
    <row r="193" spans="1:9" ht="19.5" customHeight="1" x14ac:dyDescent="0.3">
      <c r="A193" s="286">
        <f>A191+1</f>
        <v>158</v>
      </c>
      <c r="B193" s="291" t="s">
        <v>1000</v>
      </c>
      <c r="C193" s="286" t="s">
        <v>193</v>
      </c>
      <c r="D193" s="298">
        <v>0.62</v>
      </c>
      <c r="E193" s="214">
        <v>7049.5719000000008</v>
      </c>
      <c r="F193" s="289">
        <f>ROUND(E193*D193,2)</f>
        <v>4370.7299999999996</v>
      </c>
      <c r="G193" s="289">
        <f t="shared" ref="G193:G196" si="44">ROUND(F193*1.2,2)</f>
        <v>5244.88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214">
        <v>109.54545000000002</v>
      </c>
      <c r="F194" s="103">
        <f>ROUND(E194*D194,2)</f>
        <v>5805.91</v>
      </c>
      <c r="G194" s="103">
        <f t="shared" si="44"/>
        <v>6967.09</v>
      </c>
      <c r="I194" s="233"/>
    </row>
    <row r="195" spans="1:9" ht="19.5" customHeight="1" x14ac:dyDescent="0.3">
      <c r="A195" s="87">
        <f t="shared" ref="A195:A196" si="45">A194+1</f>
        <v>160</v>
      </c>
      <c r="B195" s="244" t="s">
        <v>1065</v>
      </c>
      <c r="C195" s="87" t="s">
        <v>387</v>
      </c>
      <c r="D195" s="260">
        <f>0.95*20/16</f>
        <v>1.1875</v>
      </c>
      <c r="E195" s="214">
        <v>322.1925</v>
      </c>
      <c r="F195" s="103">
        <f>ROUND(E195*D195,2)</f>
        <v>382.6</v>
      </c>
      <c r="G195" s="103">
        <f t="shared" si="44"/>
        <v>459.12</v>
      </c>
      <c r="I195" s="233"/>
    </row>
    <row r="196" spans="1:9" ht="19.5" customHeight="1" x14ac:dyDescent="0.3">
      <c r="A196" s="87">
        <f t="shared" si="45"/>
        <v>161</v>
      </c>
      <c r="B196" s="244" t="s">
        <v>1064</v>
      </c>
      <c r="C196" s="87" t="s">
        <v>254</v>
      </c>
      <c r="D196" s="260">
        <v>2.7</v>
      </c>
      <c r="E196" s="214">
        <v>402.09624000000002</v>
      </c>
      <c r="F196" s="103">
        <f>ROUND(E196*D196,2)</f>
        <v>1085.6600000000001</v>
      </c>
      <c r="G196" s="103">
        <f t="shared" si="44"/>
        <v>1302.79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214">
        <v>0</v>
      </c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214">
        <v>1763.03736</v>
      </c>
      <c r="F198" s="103">
        <f t="shared" ref="F198:F207" si="46">ROUND(E198*D198,2)</f>
        <v>2644.56</v>
      </c>
      <c r="G198" s="103">
        <f t="shared" ref="G198:G207" si="47">ROUND(F198*1.2,2)</f>
        <v>3173.47</v>
      </c>
      <c r="I198" s="233"/>
    </row>
    <row r="199" spans="1:9" ht="19.5" customHeight="1" x14ac:dyDescent="0.3">
      <c r="A199" s="286">
        <f>A198+1</f>
        <v>163</v>
      </c>
      <c r="B199" s="291" t="s">
        <v>1069</v>
      </c>
      <c r="C199" s="286" t="s">
        <v>193</v>
      </c>
      <c r="D199" s="298">
        <f>0.16+0.6</f>
        <v>0.76</v>
      </c>
      <c r="E199" s="214">
        <v>6793.106670000001</v>
      </c>
      <c r="F199" s="289">
        <f t="shared" si="46"/>
        <v>5162.76</v>
      </c>
      <c r="G199" s="289">
        <f t="shared" si="47"/>
        <v>6195.31</v>
      </c>
      <c r="I199" s="233"/>
    </row>
    <row r="200" spans="1:9" ht="19.5" customHeight="1" x14ac:dyDescent="0.3">
      <c r="A200" s="87">
        <f t="shared" ref="A200:A207" si="48">A199+1</f>
        <v>164</v>
      </c>
      <c r="B200" s="244" t="s">
        <v>1070</v>
      </c>
      <c r="C200" s="87" t="s">
        <v>254</v>
      </c>
      <c r="D200" s="238">
        <v>31</v>
      </c>
      <c r="E200" s="214">
        <v>109.54545000000002</v>
      </c>
      <c r="F200" s="103">
        <f t="shared" si="46"/>
        <v>3395.91</v>
      </c>
      <c r="G200" s="103">
        <f t="shared" si="47"/>
        <v>4075.09</v>
      </c>
      <c r="I200" s="233"/>
    </row>
    <row r="201" spans="1:9" ht="19.5" customHeight="1" x14ac:dyDescent="0.3">
      <c r="A201" s="324">
        <f t="shared" si="48"/>
        <v>165</v>
      </c>
      <c r="B201" s="325" t="s">
        <v>1071</v>
      </c>
      <c r="C201" s="324" t="s">
        <v>254</v>
      </c>
      <c r="D201" s="409">
        <v>5.0999999999999996</v>
      </c>
      <c r="E201" s="300">
        <v>109.54545000000002</v>
      </c>
      <c r="F201" s="289">
        <f t="shared" si="46"/>
        <v>558.67999999999995</v>
      </c>
      <c r="G201" s="289">
        <f t="shared" si="47"/>
        <v>670.42</v>
      </c>
      <c r="I201" s="233"/>
    </row>
    <row r="202" spans="1:9" ht="19.5" customHeight="1" x14ac:dyDescent="0.3">
      <c r="A202" s="324">
        <f t="shared" si="48"/>
        <v>166</v>
      </c>
      <c r="B202" s="325" t="s">
        <v>1065</v>
      </c>
      <c r="C202" s="324" t="s">
        <v>387</v>
      </c>
      <c r="D202" s="410">
        <f>1.13*20/16</f>
        <v>1.4124999999999999</v>
      </c>
      <c r="E202" s="300">
        <v>322.1925</v>
      </c>
      <c r="F202" s="289">
        <f t="shared" si="46"/>
        <v>455.1</v>
      </c>
      <c r="G202" s="289">
        <f t="shared" si="47"/>
        <v>546.12</v>
      </c>
      <c r="I202" s="233"/>
    </row>
    <row r="203" spans="1:9" ht="19.5" customHeight="1" x14ac:dyDescent="0.3">
      <c r="A203" s="324">
        <f t="shared" si="48"/>
        <v>167</v>
      </c>
      <c r="B203" s="325" t="s">
        <v>1064</v>
      </c>
      <c r="C203" s="324" t="s">
        <v>254</v>
      </c>
      <c r="D203" s="410">
        <v>3.2</v>
      </c>
      <c r="E203" s="300">
        <v>402.09624000000002</v>
      </c>
      <c r="F203" s="289">
        <f t="shared" si="46"/>
        <v>1286.71</v>
      </c>
      <c r="G203" s="289">
        <f t="shared" si="47"/>
        <v>1544.05</v>
      </c>
      <c r="I203" s="233"/>
    </row>
    <row r="204" spans="1:9" ht="15.75" customHeight="1" x14ac:dyDescent="0.3">
      <c r="A204" s="324">
        <f t="shared" si="48"/>
        <v>168</v>
      </c>
      <c r="B204" s="325" t="s">
        <v>1072</v>
      </c>
      <c r="C204" s="324" t="s">
        <v>193</v>
      </c>
      <c r="D204" s="410">
        <v>0.08</v>
      </c>
      <c r="E204" s="300">
        <v>15465.24</v>
      </c>
      <c r="F204" s="289">
        <f t="shared" si="46"/>
        <v>1237.22</v>
      </c>
      <c r="G204" s="289">
        <f t="shared" si="47"/>
        <v>1484.66</v>
      </c>
      <c r="I204" s="233"/>
    </row>
    <row r="205" spans="1:9" ht="15.75" customHeight="1" x14ac:dyDescent="0.3">
      <c r="A205" s="324">
        <f t="shared" si="48"/>
        <v>169</v>
      </c>
      <c r="B205" s="325" t="s">
        <v>936</v>
      </c>
      <c r="C205" s="324" t="s">
        <v>220</v>
      </c>
      <c r="D205" s="407">
        <v>1</v>
      </c>
      <c r="E205" s="300">
        <v>22721.015100000001</v>
      </c>
      <c r="F205" s="289">
        <f t="shared" si="46"/>
        <v>22721.02</v>
      </c>
      <c r="G205" s="289">
        <f t="shared" si="47"/>
        <v>27265.22</v>
      </c>
      <c r="I205" s="233"/>
    </row>
    <row r="206" spans="1:9" ht="15.75" customHeight="1" x14ac:dyDescent="0.3">
      <c r="A206" s="324">
        <f t="shared" si="48"/>
        <v>170</v>
      </c>
      <c r="B206" s="325" t="s">
        <v>937</v>
      </c>
      <c r="C206" s="324" t="s">
        <v>254</v>
      </c>
      <c r="D206" s="410">
        <v>138.83000000000001</v>
      </c>
      <c r="E206" s="300">
        <v>229.40106</v>
      </c>
      <c r="F206" s="289">
        <f t="shared" si="46"/>
        <v>31847.75</v>
      </c>
      <c r="G206" s="289">
        <f t="shared" si="47"/>
        <v>38217.300000000003</v>
      </c>
      <c r="I206" s="233"/>
    </row>
    <row r="207" spans="1:9" ht="15.75" customHeight="1" x14ac:dyDescent="0.3">
      <c r="A207" s="324">
        <f t="shared" si="48"/>
        <v>171</v>
      </c>
      <c r="B207" s="325" t="s">
        <v>1073</v>
      </c>
      <c r="C207" s="324" t="s">
        <v>254</v>
      </c>
      <c r="D207" s="407">
        <v>45</v>
      </c>
      <c r="E207" s="300">
        <v>278.37432000000001</v>
      </c>
      <c r="F207" s="289">
        <f t="shared" si="46"/>
        <v>12526.84</v>
      </c>
      <c r="G207" s="289">
        <f t="shared" si="47"/>
        <v>15032.21</v>
      </c>
      <c r="I207" s="233"/>
    </row>
    <row r="208" spans="1:9" ht="19.5" customHeight="1" x14ac:dyDescent="0.3">
      <c r="A208" s="324"/>
      <c r="B208" s="402" t="s">
        <v>1002</v>
      </c>
      <c r="C208" s="324"/>
      <c r="D208" s="424"/>
      <c r="E208" s="300">
        <v>0</v>
      </c>
      <c r="F208" s="289"/>
      <c r="G208" s="289"/>
      <c r="I208" s="236"/>
    </row>
    <row r="209" spans="1:9" s="317" customFormat="1" ht="19.5" customHeight="1" x14ac:dyDescent="0.3">
      <c r="A209" s="324">
        <f>A188+1</f>
        <v>155</v>
      </c>
      <c r="B209" s="325" t="s">
        <v>1003</v>
      </c>
      <c r="C209" s="324" t="s">
        <v>220</v>
      </c>
      <c r="D209" s="407">
        <v>2</v>
      </c>
      <c r="E209" s="300">
        <v>3672.9945000000002</v>
      </c>
      <c r="F209" s="289">
        <f t="shared" ref="F209:F214" si="49">ROUND(E209*D209,2)</f>
        <v>7345.99</v>
      </c>
      <c r="G209" s="289">
        <f t="shared" ref="G209:G214" si="50">ROUND(F209*1.2,2)</f>
        <v>8815.19</v>
      </c>
      <c r="I209" s="333"/>
    </row>
    <row r="210" spans="1:9" ht="19.5" customHeight="1" x14ac:dyDescent="0.3">
      <c r="A210" s="324">
        <f>A209+1</f>
        <v>156</v>
      </c>
      <c r="B210" s="325" t="s">
        <v>1004</v>
      </c>
      <c r="C210" s="324" t="s">
        <v>220</v>
      </c>
      <c r="D210" s="425" t="s">
        <v>760</v>
      </c>
      <c r="E210" s="300">
        <v>19563.528600000005</v>
      </c>
      <c r="F210" s="289">
        <f t="shared" si="49"/>
        <v>39127.06</v>
      </c>
      <c r="G210" s="289">
        <f t="shared" si="50"/>
        <v>46952.47</v>
      </c>
      <c r="I210" s="236"/>
    </row>
    <row r="211" spans="1:9" ht="19.5" customHeight="1" x14ac:dyDescent="0.3">
      <c r="A211" s="324">
        <f>A210+1</f>
        <v>157</v>
      </c>
      <c r="B211" s="325" t="s">
        <v>1005</v>
      </c>
      <c r="C211" s="324" t="s">
        <v>220</v>
      </c>
      <c r="D211" s="425" t="s">
        <v>760</v>
      </c>
      <c r="E211" s="300">
        <v>3415.2405000000003</v>
      </c>
      <c r="F211" s="289">
        <f t="shared" si="49"/>
        <v>6830.48</v>
      </c>
      <c r="G211" s="289">
        <f t="shared" si="50"/>
        <v>8196.58</v>
      </c>
      <c r="I211" s="236"/>
    </row>
    <row r="212" spans="1:9" s="317" customFormat="1" ht="19.5" customHeight="1" x14ac:dyDescent="0.3">
      <c r="A212" s="324">
        <f>A211+1</f>
        <v>158</v>
      </c>
      <c r="B212" s="325" t="s">
        <v>1006</v>
      </c>
      <c r="C212" s="324" t="s">
        <v>220</v>
      </c>
      <c r="D212" s="425" t="s">
        <v>760</v>
      </c>
      <c r="E212" s="300">
        <v>7513.5291000000007</v>
      </c>
      <c r="F212" s="289">
        <f t="shared" si="49"/>
        <v>15027.06</v>
      </c>
      <c r="G212" s="289">
        <f t="shared" si="50"/>
        <v>18032.47</v>
      </c>
      <c r="I212" s="333"/>
    </row>
    <row r="213" spans="1:9" ht="20.100000000000001" customHeight="1" x14ac:dyDescent="0.3">
      <c r="A213" s="324">
        <f>A212+1</f>
        <v>159</v>
      </c>
      <c r="B213" s="325" t="s">
        <v>1007</v>
      </c>
      <c r="C213" s="324" t="s">
        <v>220</v>
      </c>
      <c r="D213" s="425" t="s">
        <v>760</v>
      </c>
      <c r="E213" s="300">
        <v>27064.170000000002</v>
      </c>
      <c r="F213" s="289">
        <f t="shared" si="49"/>
        <v>54128.34</v>
      </c>
      <c r="G213" s="289">
        <f t="shared" si="50"/>
        <v>64954.01</v>
      </c>
      <c r="I213" s="236"/>
    </row>
    <row r="214" spans="1:9" ht="19.5" customHeight="1" x14ac:dyDescent="0.3">
      <c r="A214" s="324">
        <f>A213+1</f>
        <v>160</v>
      </c>
      <c r="B214" s="325" t="s">
        <v>1008</v>
      </c>
      <c r="C214" s="324" t="s">
        <v>220</v>
      </c>
      <c r="D214" s="425" t="s">
        <v>757</v>
      </c>
      <c r="E214" s="300">
        <v>16238.502</v>
      </c>
      <c r="F214" s="289">
        <f t="shared" si="49"/>
        <v>16238.5</v>
      </c>
      <c r="G214" s="289">
        <f t="shared" si="50"/>
        <v>19486.2</v>
      </c>
      <c r="I214" s="236"/>
    </row>
    <row r="215" spans="1:9" ht="19.5" customHeight="1" x14ac:dyDescent="0.3">
      <c r="A215" s="324"/>
      <c r="B215" s="426" t="s">
        <v>1011</v>
      </c>
      <c r="C215" s="324"/>
      <c r="D215" s="424"/>
      <c r="E215" s="300">
        <v>0</v>
      </c>
      <c r="F215" s="289"/>
      <c r="G215" s="289"/>
      <c r="H215" s="210"/>
      <c r="I215" s="233"/>
    </row>
    <row r="216" spans="1:9" s="317" customFormat="1" ht="19.5" customHeight="1" x14ac:dyDescent="0.3">
      <c r="A216" s="324">
        <f>A214+1</f>
        <v>161</v>
      </c>
      <c r="B216" s="325" t="s">
        <v>1000</v>
      </c>
      <c r="C216" s="324" t="s">
        <v>193</v>
      </c>
      <c r="D216" s="410">
        <v>0.34</v>
      </c>
      <c r="E216" s="300">
        <v>7049.5719000000008</v>
      </c>
      <c r="F216" s="289">
        <f t="shared" ref="F216:F223" si="51">ROUND(E216*D216,2)</f>
        <v>2396.85</v>
      </c>
      <c r="G216" s="289">
        <f t="shared" ref="G216:G223" si="52">ROUND(F216*1.2,2)</f>
        <v>2876.22</v>
      </c>
      <c r="I216" s="331"/>
    </row>
    <row r="217" spans="1:9" ht="19.5" customHeight="1" x14ac:dyDescent="0.3">
      <c r="A217" s="324">
        <f>A216+1</f>
        <v>162</v>
      </c>
      <c r="B217" s="325" t="s">
        <v>1015</v>
      </c>
      <c r="C217" s="324" t="s">
        <v>254</v>
      </c>
      <c r="D217" s="410">
        <v>30.1</v>
      </c>
      <c r="E217" s="300">
        <v>109.54545000000002</v>
      </c>
      <c r="F217" s="289">
        <f t="shared" si="51"/>
        <v>3297.32</v>
      </c>
      <c r="G217" s="289">
        <f t="shared" si="52"/>
        <v>3956.78</v>
      </c>
      <c r="I217" s="233"/>
    </row>
    <row r="218" spans="1:9" s="317" customFormat="1" ht="19.5" customHeight="1" x14ac:dyDescent="0.3">
      <c r="A218" s="324">
        <f>A217+1</f>
        <v>163</v>
      </c>
      <c r="B218" s="325" t="s">
        <v>1010</v>
      </c>
      <c r="C218" s="324" t="s">
        <v>254</v>
      </c>
      <c r="D218" s="425" t="s">
        <v>1009</v>
      </c>
      <c r="E218" s="300">
        <v>231.9786</v>
      </c>
      <c r="F218" s="289">
        <f t="shared" si="51"/>
        <v>18210.32</v>
      </c>
      <c r="G218" s="289">
        <f t="shared" si="52"/>
        <v>21852.38</v>
      </c>
      <c r="I218" s="333"/>
    </row>
    <row r="219" spans="1:9" ht="19.5" customHeight="1" x14ac:dyDescent="0.3">
      <c r="A219" s="324">
        <f>A217+1</f>
        <v>163</v>
      </c>
      <c r="B219" s="325" t="s">
        <v>1065</v>
      </c>
      <c r="C219" s="324" t="s">
        <v>387</v>
      </c>
      <c r="D219" s="410">
        <f>54.1*0.25</f>
        <v>13.525</v>
      </c>
      <c r="E219" s="300">
        <v>322.1925</v>
      </c>
      <c r="F219" s="289">
        <f t="shared" si="51"/>
        <v>4357.6499999999996</v>
      </c>
      <c r="G219" s="289">
        <f t="shared" si="52"/>
        <v>5229.18</v>
      </c>
      <c r="H219" s="210"/>
      <c r="I219" s="233"/>
    </row>
    <row r="220" spans="1:9" ht="19.5" customHeight="1" x14ac:dyDescent="0.3">
      <c r="A220" s="324">
        <f t="shared" ref="A220:A223" si="53">A219+1</f>
        <v>164</v>
      </c>
      <c r="B220" s="325" t="s">
        <v>1064</v>
      </c>
      <c r="C220" s="324" t="s">
        <v>254</v>
      </c>
      <c r="D220" s="410">
        <f>0.7*54.1*2</f>
        <v>75.739999999999995</v>
      </c>
      <c r="E220" s="300">
        <v>402.09624000000002</v>
      </c>
      <c r="F220" s="289">
        <f t="shared" si="51"/>
        <v>30454.77</v>
      </c>
      <c r="G220" s="289">
        <f t="shared" si="52"/>
        <v>36545.72</v>
      </c>
      <c r="I220" s="233"/>
    </row>
    <row r="221" spans="1:9" ht="15.6" x14ac:dyDescent="0.3">
      <c r="A221" s="324">
        <f t="shared" si="53"/>
        <v>165</v>
      </c>
      <c r="B221" s="325" t="s">
        <v>402</v>
      </c>
      <c r="C221" s="324" t="s">
        <v>254</v>
      </c>
      <c r="D221" s="328">
        <v>40</v>
      </c>
      <c r="E221" s="300">
        <v>1773.3475200000003</v>
      </c>
      <c r="F221" s="289">
        <f t="shared" si="51"/>
        <v>70933.899999999994</v>
      </c>
      <c r="G221" s="289">
        <f t="shared" si="52"/>
        <v>85120.68</v>
      </c>
    </row>
    <row r="222" spans="1:9" ht="15.6" x14ac:dyDescent="0.3">
      <c r="A222" s="324">
        <f t="shared" si="53"/>
        <v>166</v>
      </c>
      <c r="B222" s="325" t="s">
        <v>403</v>
      </c>
      <c r="C222" s="324" t="s">
        <v>254</v>
      </c>
      <c r="D222" s="328">
        <v>80</v>
      </c>
      <c r="E222" s="300">
        <v>1956.3528600000004</v>
      </c>
      <c r="F222" s="289">
        <f t="shared" si="51"/>
        <v>156508.23000000001</v>
      </c>
      <c r="G222" s="289">
        <f t="shared" si="52"/>
        <v>187809.88</v>
      </c>
    </row>
    <row r="223" spans="1:9" ht="15.6" x14ac:dyDescent="0.3">
      <c r="A223" s="324">
        <f t="shared" si="53"/>
        <v>167</v>
      </c>
      <c r="B223" s="325" t="s">
        <v>1074</v>
      </c>
      <c r="C223" s="324" t="s">
        <v>193</v>
      </c>
      <c r="D223" s="383">
        <v>0.2</v>
      </c>
      <c r="E223" s="300">
        <v>5928.3420000000006</v>
      </c>
      <c r="F223" s="289">
        <f t="shared" si="51"/>
        <v>1185.67</v>
      </c>
      <c r="G223" s="289">
        <f t="shared" si="52"/>
        <v>1422.8</v>
      </c>
    </row>
    <row r="224" spans="1:9" ht="19.5" customHeight="1" x14ac:dyDescent="0.3">
      <c r="A224" s="324"/>
      <c r="B224" s="426" t="s">
        <v>983</v>
      </c>
      <c r="C224" s="324"/>
      <c r="D224" s="424"/>
      <c r="E224" s="300">
        <v>0</v>
      </c>
      <c r="F224" s="289"/>
      <c r="G224" s="289"/>
      <c r="I224" s="233"/>
    </row>
    <row r="225" spans="1:9" ht="19.5" customHeight="1" x14ac:dyDescent="0.3">
      <c r="A225" s="324">
        <f>A188+1</f>
        <v>155</v>
      </c>
      <c r="B225" s="325" t="s">
        <v>1000</v>
      </c>
      <c r="C225" s="324" t="s">
        <v>193</v>
      </c>
      <c r="D225" s="410">
        <v>9.9</v>
      </c>
      <c r="E225" s="300">
        <v>7049.5719000000008</v>
      </c>
      <c r="F225" s="289">
        <f t="shared" ref="F225:F241" si="54">ROUND(E225*D225,2)</f>
        <v>69790.759999999995</v>
      </c>
      <c r="G225" s="289">
        <f t="shared" ref="G225:G241" si="55">ROUND(F225*1.2,2)</f>
        <v>83748.91</v>
      </c>
      <c r="I225" s="236"/>
    </row>
    <row r="226" spans="1:9" ht="19.5" customHeight="1" x14ac:dyDescent="0.3">
      <c r="A226" s="324">
        <f>A225+1</f>
        <v>156</v>
      </c>
      <c r="B226" s="325" t="s">
        <v>1001</v>
      </c>
      <c r="C226" s="324" t="s">
        <v>193</v>
      </c>
      <c r="D226" s="410">
        <v>1.7</v>
      </c>
      <c r="E226" s="300">
        <v>5928.3420000000006</v>
      </c>
      <c r="F226" s="289">
        <f t="shared" si="54"/>
        <v>10078.18</v>
      </c>
      <c r="G226" s="289">
        <f t="shared" si="55"/>
        <v>12093.82</v>
      </c>
      <c r="I226" s="236"/>
    </row>
    <row r="227" spans="1:9" ht="19.5" customHeight="1" x14ac:dyDescent="0.3">
      <c r="A227" s="324">
        <f t="shared" ref="A227:A241" si="56">A226+1</f>
        <v>157</v>
      </c>
      <c r="B227" s="325" t="s">
        <v>984</v>
      </c>
      <c r="C227" s="324" t="s">
        <v>254</v>
      </c>
      <c r="D227" s="410">
        <f>5.8*62</f>
        <v>359.59999999999997</v>
      </c>
      <c r="E227" s="300">
        <v>109.54545000000002</v>
      </c>
      <c r="F227" s="289">
        <f t="shared" si="54"/>
        <v>39392.54</v>
      </c>
      <c r="G227" s="289">
        <f t="shared" si="55"/>
        <v>47271.05</v>
      </c>
      <c r="I227" s="236"/>
    </row>
    <row r="228" spans="1:9" ht="19.5" customHeight="1" x14ac:dyDescent="0.3">
      <c r="A228" s="324">
        <f t="shared" si="56"/>
        <v>158</v>
      </c>
      <c r="B228" s="325" t="s">
        <v>985</v>
      </c>
      <c r="C228" s="324" t="s">
        <v>254</v>
      </c>
      <c r="D228" s="410">
        <f>24*2.9</f>
        <v>69.599999999999994</v>
      </c>
      <c r="E228" s="300">
        <v>109.54545000000002</v>
      </c>
      <c r="F228" s="289">
        <f t="shared" si="54"/>
        <v>7624.36</v>
      </c>
      <c r="G228" s="289">
        <f t="shared" si="55"/>
        <v>9149.23</v>
      </c>
      <c r="I228" s="236"/>
    </row>
    <row r="229" spans="1:9" ht="19.5" customHeight="1" x14ac:dyDescent="0.3">
      <c r="A229" s="324">
        <f t="shared" si="56"/>
        <v>159</v>
      </c>
      <c r="B229" s="325" t="s">
        <v>986</v>
      </c>
      <c r="C229" s="324" t="s">
        <v>254</v>
      </c>
      <c r="D229" s="410">
        <f>144*2.1</f>
        <v>302.40000000000003</v>
      </c>
      <c r="E229" s="300">
        <v>109.54545000000002</v>
      </c>
      <c r="F229" s="289">
        <f t="shared" si="54"/>
        <v>33126.54</v>
      </c>
      <c r="G229" s="289">
        <f t="shared" si="55"/>
        <v>39751.85</v>
      </c>
      <c r="I229" s="236"/>
    </row>
    <row r="230" spans="1:9" ht="19.5" customHeight="1" x14ac:dyDescent="0.3">
      <c r="A230" s="324">
        <f t="shared" si="56"/>
        <v>160</v>
      </c>
      <c r="B230" s="325" t="s">
        <v>987</v>
      </c>
      <c r="C230" s="324" t="s">
        <v>254</v>
      </c>
      <c r="D230" s="410">
        <f>48*2.3</f>
        <v>110.39999999999999</v>
      </c>
      <c r="E230" s="300">
        <v>109.54545000000002</v>
      </c>
      <c r="F230" s="289">
        <f t="shared" si="54"/>
        <v>12093.82</v>
      </c>
      <c r="G230" s="289">
        <f t="shared" si="55"/>
        <v>14512.58</v>
      </c>
      <c r="I230" s="236"/>
    </row>
    <row r="231" spans="1:9" ht="19.5" customHeight="1" x14ac:dyDescent="0.3">
      <c r="A231" s="324">
        <f t="shared" si="56"/>
        <v>161</v>
      </c>
      <c r="B231" s="325" t="s">
        <v>988</v>
      </c>
      <c r="C231" s="324" t="s">
        <v>254</v>
      </c>
      <c r="D231" s="410">
        <f>36*0.5</f>
        <v>18</v>
      </c>
      <c r="E231" s="300">
        <v>109.54545000000002</v>
      </c>
      <c r="F231" s="289">
        <f t="shared" si="54"/>
        <v>1971.82</v>
      </c>
      <c r="G231" s="289">
        <f t="shared" si="55"/>
        <v>2366.1799999999998</v>
      </c>
      <c r="I231" s="236"/>
    </row>
    <row r="232" spans="1:9" ht="19.5" customHeight="1" x14ac:dyDescent="0.3">
      <c r="A232" s="324">
        <f t="shared" si="56"/>
        <v>162</v>
      </c>
      <c r="B232" s="325" t="s">
        <v>989</v>
      </c>
      <c r="C232" s="324" t="s">
        <v>254</v>
      </c>
      <c r="D232" s="410">
        <f>48*1.2</f>
        <v>57.599999999999994</v>
      </c>
      <c r="E232" s="300">
        <v>109.54545000000002</v>
      </c>
      <c r="F232" s="289">
        <f t="shared" si="54"/>
        <v>6309.82</v>
      </c>
      <c r="G232" s="289">
        <f t="shared" si="55"/>
        <v>7571.78</v>
      </c>
      <c r="I232" s="236"/>
    </row>
    <row r="233" spans="1:9" ht="19.5" customHeight="1" x14ac:dyDescent="0.3">
      <c r="A233" s="324">
        <f t="shared" si="56"/>
        <v>163</v>
      </c>
      <c r="B233" s="325" t="s">
        <v>990</v>
      </c>
      <c r="C233" s="324" t="s">
        <v>254</v>
      </c>
      <c r="D233" s="410">
        <f>144*1.8</f>
        <v>259.2</v>
      </c>
      <c r="E233" s="300">
        <v>109.54545000000002</v>
      </c>
      <c r="F233" s="289">
        <f t="shared" si="54"/>
        <v>28394.18</v>
      </c>
      <c r="G233" s="289">
        <f t="shared" si="55"/>
        <v>34073.019999999997</v>
      </c>
      <c r="I233" s="236"/>
    </row>
    <row r="234" spans="1:9" ht="19.5" customHeight="1" x14ac:dyDescent="0.3">
      <c r="A234" s="324">
        <f t="shared" si="56"/>
        <v>164</v>
      </c>
      <c r="B234" s="325" t="s">
        <v>991</v>
      </c>
      <c r="C234" s="324" t="s">
        <v>254</v>
      </c>
      <c r="D234" s="410">
        <f>48*1.2</f>
        <v>57.599999999999994</v>
      </c>
      <c r="E234" s="300">
        <v>109.54545000000002</v>
      </c>
      <c r="F234" s="289">
        <f t="shared" si="54"/>
        <v>6309.82</v>
      </c>
      <c r="G234" s="289">
        <f t="shared" si="55"/>
        <v>7571.78</v>
      </c>
      <c r="I234" s="236"/>
    </row>
    <row r="235" spans="1:9" ht="19.5" customHeight="1" x14ac:dyDescent="0.3">
      <c r="A235" s="324">
        <f t="shared" si="56"/>
        <v>165</v>
      </c>
      <c r="B235" s="325" t="s">
        <v>992</v>
      </c>
      <c r="C235" s="324" t="s">
        <v>254</v>
      </c>
      <c r="D235" s="410">
        <f>186*0.09</f>
        <v>16.739999999999998</v>
      </c>
      <c r="E235" s="300">
        <v>109.54545000000002</v>
      </c>
      <c r="F235" s="289">
        <f t="shared" si="54"/>
        <v>1833.79</v>
      </c>
      <c r="G235" s="289">
        <f t="shared" si="55"/>
        <v>2200.5500000000002</v>
      </c>
      <c r="I235" s="236"/>
    </row>
    <row r="236" spans="1:9" ht="19.5" customHeight="1" x14ac:dyDescent="0.3">
      <c r="A236" s="324">
        <f t="shared" si="56"/>
        <v>166</v>
      </c>
      <c r="B236" s="325" t="s">
        <v>993</v>
      </c>
      <c r="C236" s="324" t="s">
        <v>254</v>
      </c>
      <c r="D236" s="410">
        <f>80*3.8</f>
        <v>304</v>
      </c>
      <c r="E236" s="300">
        <v>109.54545000000002</v>
      </c>
      <c r="F236" s="289">
        <f t="shared" si="54"/>
        <v>33301.82</v>
      </c>
      <c r="G236" s="289">
        <f t="shared" si="55"/>
        <v>39962.18</v>
      </c>
      <c r="I236" s="236"/>
    </row>
    <row r="237" spans="1:9" ht="19.5" customHeight="1" x14ac:dyDescent="0.3">
      <c r="A237" s="324">
        <f t="shared" si="56"/>
        <v>167</v>
      </c>
      <c r="B237" s="325" t="s">
        <v>994</v>
      </c>
      <c r="C237" s="324" t="s">
        <v>254</v>
      </c>
      <c r="D237" s="410">
        <f>12*3.8</f>
        <v>45.599999999999994</v>
      </c>
      <c r="E237" s="300">
        <v>109.54545000000002</v>
      </c>
      <c r="F237" s="289">
        <f t="shared" si="54"/>
        <v>4995.2700000000004</v>
      </c>
      <c r="G237" s="289">
        <f t="shared" si="55"/>
        <v>5994.32</v>
      </c>
      <c r="I237" s="236"/>
    </row>
    <row r="238" spans="1:9" ht="19.5" customHeight="1" x14ac:dyDescent="0.3">
      <c r="A238" s="324">
        <f t="shared" si="56"/>
        <v>168</v>
      </c>
      <c r="B238" s="325" t="s">
        <v>995</v>
      </c>
      <c r="C238" s="324" t="s">
        <v>254</v>
      </c>
      <c r="D238" s="410">
        <f>12*1.3</f>
        <v>15.600000000000001</v>
      </c>
      <c r="E238" s="300">
        <v>109.54545000000002</v>
      </c>
      <c r="F238" s="289">
        <f t="shared" si="54"/>
        <v>1708.91</v>
      </c>
      <c r="G238" s="289">
        <f t="shared" si="55"/>
        <v>2050.69</v>
      </c>
      <c r="I238" s="236"/>
    </row>
    <row r="239" spans="1:9" ht="19.5" customHeight="1" x14ac:dyDescent="0.3">
      <c r="A239" s="324">
        <f t="shared" si="56"/>
        <v>169</v>
      </c>
      <c r="B239" s="325" t="s">
        <v>997</v>
      </c>
      <c r="C239" s="324" t="s">
        <v>254</v>
      </c>
      <c r="D239" s="410">
        <f>10.4*3</f>
        <v>31.200000000000003</v>
      </c>
      <c r="E239" s="300">
        <v>115.9893</v>
      </c>
      <c r="F239" s="289">
        <f t="shared" si="54"/>
        <v>3618.87</v>
      </c>
      <c r="G239" s="289">
        <f t="shared" si="55"/>
        <v>4342.6400000000003</v>
      </c>
      <c r="I239" s="236"/>
    </row>
    <row r="240" spans="1:9" ht="19.5" customHeight="1" x14ac:dyDescent="0.3">
      <c r="A240" s="324">
        <f t="shared" si="56"/>
        <v>170</v>
      </c>
      <c r="B240" s="325" t="s">
        <v>998</v>
      </c>
      <c r="C240" s="324" t="s">
        <v>254</v>
      </c>
      <c r="D240" s="410">
        <f>2.9*2</f>
        <v>5.8</v>
      </c>
      <c r="E240" s="300">
        <v>115.9893</v>
      </c>
      <c r="F240" s="289">
        <f t="shared" si="54"/>
        <v>672.74</v>
      </c>
      <c r="G240" s="289">
        <f t="shared" si="55"/>
        <v>807.29</v>
      </c>
      <c r="I240" s="233"/>
    </row>
    <row r="241" spans="1:9" ht="19.5" customHeight="1" x14ac:dyDescent="0.3">
      <c r="A241" s="324">
        <f t="shared" si="56"/>
        <v>171</v>
      </c>
      <c r="B241" s="325" t="s">
        <v>999</v>
      </c>
      <c r="C241" s="324" t="s">
        <v>254</v>
      </c>
      <c r="D241" s="410">
        <v>1.6</v>
      </c>
      <c r="E241" s="300">
        <v>115.9893</v>
      </c>
      <c r="F241" s="289">
        <f t="shared" si="54"/>
        <v>185.58</v>
      </c>
      <c r="G241" s="289">
        <f t="shared" si="55"/>
        <v>222.7</v>
      </c>
      <c r="I241" s="233"/>
    </row>
    <row r="242" spans="1:9" ht="19.5" customHeight="1" x14ac:dyDescent="0.3">
      <c r="A242" s="324"/>
      <c r="B242" s="426" t="s">
        <v>996</v>
      </c>
      <c r="C242" s="324"/>
      <c r="D242" s="424"/>
      <c r="E242" s="300">
        <v>0</v>
      </c>
      <c r="F242" s="289"/>
      <c r="G242" s="289"/>
      <c r="I242" s="236"/>
    </row>
    <row r="243" spans="1:9" ht="19.5" customHeight="1" x14ac:dyDescent="0.3">
      <c r="A243" s="324">
        <f>A241+1</f>
        <v>172</v>
      </c>
      <c r="B243" s="325" t="s">
        <v>1013</v>
      </c>
      <c r="C243" s="324" t="s">
        <v>254</v>
      </c>
      <c r="D243" s="410">
        <f>1.22*3</f>
        <v>3.66</v>
      </c>
      <c r="E243" s="300">
        <v>109.54545000000002</v>
      </c>
      <c r="F243" s="289">
        <f>ROUND(E243*D243,2)</f>
        <v>400.94</v>
      </c>
      <c r="G243" s="289">
        <f t="shared" ref="G243:G244" si="57">ROUND(F243*1.2,2)</f>
        <v>481.13</v>
      </c>
      <c r="I243" s="236"/>
    </row>
    <row r="244" spans="1:9" ht="19.5" customHeight="1" x14ac:dyDescent="0.3">
      <c r="A244" s="324">
        <f>A243+1</f>
        <v>173</v>
      </c>
      <c r="B244" s="325" t="s">
        <v>1014</v>
      </c>
      <c r="C244" s="324" t="s">
        <v>254</v>
      </c>
      <c r="D244" s="410">
        <f>0.27*16</f>
        <v>4.32</v>
      </c>
      <c r="E244" s="300">
        <v>109.54545000000002</v>
      </c>
      <c r="F244" s="289">
        <f>ROUND(E244*D244,2)</f>
        <v>473.24</v>
      </c>
      <c r="G244" s="289">
        <f t="shared" si="57"/>
        <v>567.89</v>
      </c>
      <c r="I244" s="236"/>
    </row>
    <row r="245" spans="1:9" ht="19.5" customHeight="1" x14ac:dyDescent="0.3">
      <c r="A245" s="324"/>
      <c r="B245" s="426" t="s">
        <v>1016</v>
      </c>
      <c r="C245" s="324"/>
      <c r="D245" s="424"/>
      <c r="E245" s="300">
        <v>0</v>
      </c>
      <c r="F245" s="289"/>
      <c r="G245" s="289"/>
      <c r="I245" s="233"/>
    </row>
    <row r="246" spans="1:9" s="317" customFormat="1" ht="19.5" customHeight="1" x14ac:dyDescent="0.3">
      <c r="A246" s="324">
        <f>A244+1</f>
        <v>174</v>
      </c>
      <c r="B246" s="325" t="s">
        <v>1017</v>
      </c>
      <c r="C246" s="324" t="s">
        <v>194</v>
      </c>
      <c r="D246" s="410">
        <v>23.55</v>
      </c>
      <c r="E246" s="300">
        <v>33.508020000000002</v>
      </c>
      <c r="F246" s="289">
        <f>ROUND(E246*D246,2)</f>
        <v>789.11</v>
      </c>
      <c r="G246" s="289">
        <f t="shared" ref="G246:G248" si="58">ROUND(F246*1.2,2)</f>
        <v>946.93</v>
      </c>
      <c r="I246" s="331"/>
    </row>
    <row r="247" spans="1:9" ht="19.5" customHeight="1" x14ac:dyDescent="0.3">
      <c r="A247" s="324">
        <f>A246+1</f>
        <v>175</v>
      </c>
      <c r="B247" s="325" t="s">
        <v>1018</v>
      </c>
      <c r="C247" s="324" t="s">
        <v>193</v>
      </c>
      <c r="D247" s="408">
        <v>0.621</v>
      </c>
      <c r="E247" s="300">
        <v>6521.1762000000008</v>
      </c>
      <c r="F247" s="289">
        <f>ROUND(E247*D247,2)</f>
        <v>4049.65</v>
      </c>
      <c r="G247" s="289">
        <f t="shared" si="58"/>
        <v>4859.58</v>
      </c>
      <c r="I247" s="233"/>
    </row>
    <row r="248" spans="1:9" ht="19.5" customHeight="1" x14ac:dyDescent="0.3">
      <c r="A248" s="324">
        <f>A247+1</f>
        <v>176</v>
      </c>
      <c r="B248" s="325" t="s">
        <v>1019</v>
      </c>
      <c r="C248" s="324" t="s">
        <v>254</v>
      </c>
      <c r="D248" s="410">
        <f>0.3</f>
        <v>0.3</v>
      </c>
      <c r="E248" s="300">
        <v>77.3262</v>
      </c>
      <c r="F248" s="289">
        <f>ROUND(E248*D248,2)</f>
        <v>23.2</v>
      </c>
      <c r="G248" s="289">
        <f t="shared" si="58"/>
        <v>27.84</v>
      </c>
      <c r="I248" s="233"/>
    </row>
    <row r="249" spans="1:9" ht="19.5" customHeight="1" x14ac:dyDescent="0.3">
      <c r="A249" s="324"/>
      <c r="B249" s="402" t="s">
        <v>1020</v>
      </c>
      <c r="C249" s="324"/>
      <c r="D249" s="424"/>
      <c r="E249" s="300">
        <v>0</v>
      </c>
      <c r="F249" s="289"/>
      <c r="G249" s="289"/>
      <c r="I249" s="233"/>
    </row>
    <row r="250" spans="1:9" s="317" customFormat="1" ht="19.5" customHeight="1" x14ac:dyDescent="0.3">
      <c r="A250" s="324">
        <f>A248+1</f>
        <v>177</v>
      </c>
      <c r="B250" s="325" t="s">
        <v>1003</v>
      </c>
      <c r="C250" s="324" t="s">
        <v>220</v>
      </c>
      <c r="D250" s="407">
        <v>1</v>
      </c>
      <c r="E250" s="300">
        <v>3672.9945000000002</v>
      </c>
      <c r="F250" s="289">
        <f t="shared" ref="F250:F266" si="59">ROUND(E250*D250,2)</f>
        <v>3672.99</v>
      </c>
      <c r="G250" s="289">
        <f t="shared" ref="G250:G266" si="60">ROUND(F250*1.2,2)</f>
        <v>4407.59</v>
      </c>
      <c r="I250" s="331"/>
    </row>
    <row r="251" spans="1:9" ht="19.5" customHeight="1" x14ac:dyDescent="0.3">
      <c r="A251" s="324">
        <f t="shared" ref="A251:A266" si="61">A250+1</f>
        <v>178</v>
      </c>
      <c r="B251" s="325" t="s">
        <v>1021</v>
      </c>
      <c r="C251" s="324" t="s">
        <v>220</v>
      </c>
      <c r="D251" s="407">
        <v>1</v>
      </c>
      <c r="E251" s="300">
        <v>3840.5346</v>
      </c>
      <c r="F251" s="289">
        <f t="shared" si="59"/>
        <v>3840.53</v>
      </c>
      <c r="G251" s="289">
        <f t="shared" si="60"/>
        <v>4608.6400000000003</v>
      </c>
      <c r="I251" s="233"/>
    </row>
    <row r="252" spans="1:9" ht="19.5" customHeight="1" x14ac:dyDescent="0.3">
      <c r="A252" s="324">
        <f t="shared" si="61"/>
        <v>179</v>
      </c>
      <c r="B252" s="325" t="s">
        <v>1022</v>
      </c>
      <c r="C252" s="324" t="s">
        <v>220</v>
      </c>
      <c r="D252" s="407">
        <v>1</v>
      </c>
      <c r="E252" s="300">
        <v>7023.7965000000013</v>
      </c>
      <c r="F252" s="289">
        <f t="shared" si="59"/>
        <v>7023.8</v>
      </c>
      <c r="G252" s="289">
        <f t="shared" si="60"/>
        <v>8428.56</v>
      </c>
      <c r="I252" s="233"/>
    </row>
    <row r="253" spans="1:9" s="334" customFormat="1" ht="19.5" customHeight="1" x14ac:dyDescent="0.3">
      <c r="A253" s="324">
        <f t="shared" si="61"/>
        <v>180</v>
      </c>
      <c r="B253" s="325" t="s">
        <v>1006</v>
      </c>
      <c r="C253" s="324" t="s">
        <v>220</v>
      </c>
      <c r="D253" s="407">
        <v>1</v>
      </c>
      <c r="E253" s="300">
        <v>7513.5291000000007</v>
      </c>
      <c r="F253" s="289">
        <f t="shared" si="59"/>
        <v>7513.53</v>
      </c>
      <c r="G253" s="289">
        <f t="shared" si="60"/>
        <v>9016.24</v>
      </c>
      <c r="I253" s="335"/>
    </row>
    <row r="254" spans="1:9" ht="19.5" customHeight="1" x14ac:dyDescent="0.3">
      <c r="A254" s="427">
        <f t="shared" si="61"/>
        <v>181</v>
      </c>
      <c r="B254" s="428" t="s">
        <v>1004</v>
      </c>
      <c r="C254" s="427" t="s">
        <v>220</v>
      </c>
      <c r="D254" s="429">
        <v>1</v>
      </c>
      <c r="E254" s="300">
        <v>19563.528600000005</v>
      </c>
      <c r="F254" s="423">
        <f t="shared" si="59"/>
        <v>19563.53</v>
      </c>
      <c r="G254" s="423">
        <f t="shared" si="60"/>
        <v>23476.240000000002</v>
      </c>
      <c r="I254" s="233"/>
    </row>
    <row r="255" spans="1:9" ht="19.5" customHeight="1" x14ac:dyDescent="0.3">
      <c r="A255" s="324">
        <f t="shared" si="61"/>
        <v>182</v>
      </c>
      <c r="B255" s="325" t="s">
        <v>1005</v>
      </c>
      <c r="C255" s="324" t="s">
        <v>220</v>
      </c>
      <c r="D255" s="407">
        <v>1</v>
      </c>
      <c r="E255" s="300">
        <v>3415.2405000000003</v>
      </c>
      <c r="F255" s="289">
        <f t="shared" si="59"/>
        <v>3415.24</v>
      </c>
      <c r="G255" s="289">
        <f t="shared" si="60"/>
        <v>4098.29</v>
      </c>
      <c r="I255" s="233"/>
    </row>
    <row r="256" spans="1:9" ht="19.5" customHeight="1" x14ac:dyDescent="0.3">
      <c r="A256" s="324">
        <f t="shared" si="61"/>
        <v>183</v>
      </c>
      <c r="B256" s="325" t="s">
        <v>1023</v>
      </c>
      <c r="C256" s="324" t="s">
        <v>254</v>
      </c>
      <c r="D256" s="407">
        <v>45</v>
      </c>
      <c r="E256" s="300">
        <v>7062.459600000001</v>
      </c>
      <c r="F256" s="289">
        <f t="shared" si="59"/>
        <v>317810.68</v>
      </c>
      <c r="G256" s="289">
        <f t="shared" si="60"/>
        <v>381372.82</v>
      </c>
      <c r="I256" s="233"/>
    </row>
    <row r="257" spans="1:9" ht="19.5" customHeight="1" x14ac:dyDescent="0.3">
      <c r="A257" s="324">
        <f t="shared" si="61"/>
        <v>184</v>
      </c>
      <c r="B257" s="325" t="s">
        <v>1024</v>
      </c>
      <c r="C257" s="324" t="s">
        <v>220</v>
      </c>
      <c r="D257" s="407">
        <v>3</v>
      </c>
      <c r="E257" s="300">
        <v>824.81280000000015</v>
      </c>
      <c r="F257" s="289">
        <f t="shared" si="59"/>
        <v>2474.44</v>
      </c>
      <c r="G257" s="289">
        <f t="shared" si="60"/>
        <v>2969.33</v>
      </c>
      <c r="I257" s="233"/>
    </row>
    <row r="258" spans="1:9" ht="19.5" customHeight="1" x14ac:dyDescent="0.3">
      <c r="A258" s="324">
        <f t="shared" si="61"/>
        <v>185</v>
      </c>
      <c r="B258" s="325" t="s">
        <v>970</v>
      </c>
      <c r="C258" s="324" t="s">
        <v>220</v>
      </c>
      <c r="D258" s="407">
        <v>4</v>
      </c>
      <c r="E258" s="300">
        <v>2938.3956000000003</v>
      </c>
      <c r="F258" s="289">
        <f t="shared" si="59"/>
        <v>11753.58</v>
      </c>
      <c r="G258" s="289">
        <f t="shared" si="60"/>
        <v>14104.3</v>
      </c>
      <c r="I258" s="233"/>
    </row>
    <row r="259" spans="1:9" ht="19.5" customHeight="1" x14ac:dyDescent="0.3">
      <c r="A259" s="324">
        <f t="shared" si="61"/>
        <v>186</v>
      </c>
      <c r="B259" s="325" t="s">
        <v>1025</v>
      </c>
      <c r="C259" s="324" t="s">
        <v>193</v>
      </c>
      <c r="D259" s="410">
        <v>0.28000000000000003</v>
      </c>
      <c r="E259" s="300">
        <v>7474.866</v>
      </c>
      <c r="F259" s="289">
        <f t="shared" si="59"/>
        <v>2092.96</v>
      </c>
      <c r="G259" s="289">
        <f t="shared" si="60"/>
        <v>2511.5500000000002</v>
      </c>
      <c r="I259" s="233"/>
    </row>
    <row r="260" spans="1:9" ht="19.5" customHeight="1" x14ac:dyDescent="0.3">
      <c r="A260" s="324">
        <f t="shared" si="61"/>
        <v>187</v>
      </c>
      <c r="B260" s="325" t="s">
        <v>1026</v>
      </c>
      <c r="C260" s="324" t="s">
        <v>193</v>
      </c>
      <c r="D260" s="410">
        <v>0.05</v>
      </c>
      <c r="E260" s="300">
        <v>7825.4114399999999</v>
      </c>
      <c r="F260" s="289">
        <f t="shared" si="59"/>
        <v>391.27</v>
      </c>
      <c r="G260" s="289">
        <f t="shared" si="60"/>
        <v>469.52</v>
      </c>
      <c r="I260" s="233"/>
    </row>
    <row r="261" spans="1:9" ht="19.5" customHeight="1" x14ac:dyDescent="0.3">
      <c r="A261" s="324">
        <f t="shared" si="61"/>
        <v>188</v>
      </c>
      <c r="B261" s="325" t="s">
        <v>161</v>
      </c>
      <c r="C261" s="324" t="s">
        <v>193</v>
      </c>
      <c r="D261" s="409">
        <v>0.3</v>
      </c>
      <c r="E261" s="300">
        <v>1701.1764000000003</v>
      </c>
      <c r="F261" s="289">
        <f t="shared" si="59"/>
        <v>510.35</v>
      </c>
      <c r="G261" s="289">
        <f t="shared" si="60"/>
        <v>612.41999999999996</v>
      </c>
      <c r="I261" s="233"/>
    </row>
    <row r="262" spans="1:9" ht="19.5" customHeight="1" x14ac:dyDescent="0.3">
      <c r="A262" s="324">
        <f t="shared" si="61"/>
        <v>189</v>
      </c>
      <c r="B262" s="325" t="s">
        <v>971</v>
      </c>
      <c r="C262" s="324" t="s">
        <v>254</v>
      </c>
      <c r="D262" s="409">
        <v>122.7</v>
      </c>
      <c r="E262" s="300">
        <v>231.9786</v>
      </c>
      <c r="F262" s="289">
        <f t="shared" si="59"/>
        <v>28463.77</v>
      </c>
      <c r="G262" s="289">
        <f t="shared" si="60"/>
        <v>34156.519999999997</v>
      </c>
      <c r="I262" s="233"/>
    </row>
    <row r="263" spans="1:9" ht="19.5" customHeight="1" x14ac:dyDescent="0.3">
      <c r="A263" s="324">
        <f t="shared" si="61"/>
        <v>190</v>
      </c>
      <c r="B263" s="325" t="s">
        <v>1027</v>
      </c>
      <c r="C263" s="324" t="s">
        <v>220</v>
      </c>
      <c r="D263" s="407">
        <v>1</v>
      </c>
      <c r="E263" s="300">
        <v>19279.999200000002</v>
      </c>
      <c r="F263" s="289">
        <f t="shared" si="59"/>
        <v>19280</v>
      </c>
      <c r="G263" s="289">
        <f t="shared" si="60"/>
        <v>23136</v>
      </c>
      <c r="I263" s="233"/>
    </row>
    <row r="264" spans="1:9" ht="19.5" customHeight="1" x14ac:dyDescent="0.3">
      <c r="A264" s="324">
        <f t="shared" si="61"/>
        <v>191</v>
      </c>
      <c r="B264" s="325" t="s">
        <v>1065</v>
      </c>
      <c r="C264" s="324" t="s">
        <v>387</v>
      </c>
      <c r="D264" s="410">
        <f>41.6*0.25</f>
        <v>10.4</v>
      </c>
      <c r="E264" s="300">
        <v>322.1925</v>
      </c>
      <c r="F264" s="289">
        <f t="shared" si="59"/>
        <v>3350.8</v>
      </c>
      <c r="G264" s="289">
        <f t="shared" si="60"/>
        <v>4020.96</v>
      </c>
      <c r="I264" s="233"/>
    </row>
    <row r="265" spans="1:9" ht="19.5" customHeight="1" x14ac:dyDescent="0.3">
      <c r="A265" s="324">
        <f t="shared" si="61"/>
        <v>192</v>
      </c>
      <c r="B265" s="325" t="s">
        <v>1064</v>
      </c>
      <c r="C265" s="324" t="s">
        <v>254</v>
      </c>
      <c r="D265" s="410">
        <f>0.7*41.6*2</f>
        <v>58.239999999999995</v>
      </c>
      <c r="E265" s="300">
        <v>402.09624000000002</v>
      </c>
      <c r="F265" s="289">
        <f t="shared" si="59"/>
        <v>23418.09</v>
      </c>
      <c r="G265" s="289">
        <f t="shared" si="60"/>
        <v>28101.71</v>
      </c>
      <c r="I265" s="233"/>
    </row>
    <row r="266" spans="1:9" s="317" customFormat="1" ht="19.5" customHeight="1" x14ac:dyDescent="0.3">
      <c r="A266" s="324">
        <f t="shared" si="61"/>
        <v>193</v>
      </c>
      <c r="B266" s="325" t="s">
        <v>972</v>
      </c>
      <c r="C266" s="324" t="s">
        <v>254</v>
      </c>
      <c r="D266" s="407">
        <v>133</v>
      </c>
      <c r="E266" s="300">
        <v>231.9786</v>
      </c>
      <c r="F266" s="289">
        <f t="shared" si="59"/>
        <v>30853.15</v>
      </c>
      <c r="G266" s="289">
        <f t="shared" si="60"/>
        <v>37023.78</v>
      </c>
      <c r="I266" s="331"/>
    </row>
    <row r="267" spans="1:9" ht="19.5" customHeight="1" x14ac:dyDescent="0.3">
      <c r="A267" s="324"/>
      <c r="B267" s="402" t="s">
        <v>1054</v>
      </c>
      <c r="C267" s="324"/>
      <c r="D267" s="409"/>
      <c r="E267" s="300">
        <v>0</v>
      </c>
      <c r="F267" s="289"/>
      <c r="G267" s="289"/>
      <c r="I267" s="233"/>
    </row>
    <row r="268" spans="1:9" ht="19.5" customHeight="1" x14ac:dyDescent="0.3">
      <c r="A268" s="324">
        <f>A263+1</f>
        <v>191</v>
      </c>
      <c r="B268" s="325" t="s">
        <v>1028</v>
      </c>
      <c r="C268" s="324" t="s">
        <v>220</v>
      </c>
      <c r="D268" s="407">
        <f>1*4</f>
        <v>4</v>
      </c>
      <c r="E268" s="300">
        <v>2062.0320000000002</v>
      </c>
      <c r="F268" s="289">
        <f t="shared" ref="F268:F275" si="62">ROUND(E268*D268,2)</f>
        <v>8248.1299999999992</v>
      </c>
      <c r="G268" s="289">
        <f t="shared" ref="G268:G275" si="63">ROUND(F268*1.2,2)</f>
        <v>9897.76</v>
      </c>
      <c r="I268" s="233"/>
    </row>
    <row r="269" spans="1:9" ht="19.5" customHeight="1" x14ac:dyDescent="0.3">
      <c r="A269" s="324">
        <f>A268+1</f>
        <v>192</v>
      </c>
      <c r="B269" s="325" t="s">
        <v>1029</v>
      </c>
      <c r="C269" s="324" t="s">
        <v>254</v>
      </c>
      <c r="D269" s="410">
        <f>0.66*4</f>
        <v>2.64</v>
      </c>
      <c r="E269" s="300">
        <v>162.38502</v>
      </c>
      <c r="F269" s="289">
        <f t="shared" si="62"/>
        <v>428.7</v>
      </c>
      <c r="G269" s="289">
        <f t="shared" si="63"/>
        <v>514.44000000000005</v>
      </c>
      <c r="H269" s="336"/>
      <c r="I269" s="233"/>
    </row>
    <row r="270" spans="1:9" s="317" customFormat="1" ht="19.5" customHeight="1" x14ac:dyDescent="0.3">
      <c r="A270" s="324">
        <f>A269+1</f>
        <v>193</v>
      </c>
      <c r="B270" s="325" t="s">
        <v>1030</v>
      </c>
      <c r="C270" s="324" t="s">
        <v>220</v>
      </c>
      <c r="D270" s="407">
        <f>1*4</f>
        <v>4</v>
      </c>
      <c r="E270" s="300">
        <v>2080.0747799999999</v>
      </c>
      <c r="F270" s="289">
        <f t="shared" si="62"/>
        <v>8320.2999999999993</v>
      </c>
      <c r="G270" s="289">
        <f t="shared" si="63"/>
        <v>9984.36</v>
      </c>
      <c r="I270" s="331"/>
    </row>
    <row r="271" spans="1:9" s="317" customFormat="1" ht="19.5" customHeight="1" x14ac:dyDescent="0.3">
      <c r="A271" s="324">
        <f>A270+1</f>
        <v>194</v>
      </c>
      <c r="B271" s="325" t="s">
        <v>1031</v>
      </c>
      <c r="C271" s="324" t="s">
        <v>194</v>
      </c>
      <c r="D271" s="409">
        <f>0.2*4</f>
        <v>0.8</v>
      </c>
      <c r="E271" s="300">
        <v>618.6096</v>
      </c>
      <c r="F271" s="289">
        <f t="shared" si="62"/>
        <v>494.89</v>
      </c>
      <c r="G271" s="289">
        <f t="shared" si="63"/>
        <v>593.87</v>
      </c>
      <c r="I271" s="331"/>
    </row>
    <row r="272" spans="1:9" ht="19.5" customHeight="1" x14ac:dyDescent="0.3">
      <c r="A272" s="324">
        <f t="shared" ref="A272:A275" si="64">A271+1</f>
        <v>195</v>
      </c>
      <c r="B272" s="325" t="s">
        <v>1032</v>
      </c>
      <c r="C272" s="324" t="s">
        <v>254</v>
      </c>
      <c r="D272" s="408">
        <f>0.032*2*4</f>
        <v>0.25600000000000001</v>
      </c>
      <c r="E272" s="300">
        <v>163.67379</v>
      </c>
      <c r="F272" s="289">
        <f t="shared" si="62"/>
        <v>41.9</v>
      </c>
      <c r="G272" s="289">
        <f t="shared" si="63"/>
        <v>50.28</v>
      </c>
      <c r="I272" s="233"/>
    </row>
    <row r="273" spans="1:9" ht="19.5" customHeight="1" x14ac:dyDescent="0.3">
      <c r="A273" s="324">
        <f t="shared" si="64"/>
        <v>196</v>
      </c>
      <c r="B273" s="325" t="s">
        <v>1033</v>
      </c>
      <c r="C273" s="324" t="s">
        <v>254</v>
      </c>
      <c r="D273" s="408">
        <f>0.012*2*4</f>
        <v>9.6000000000000002E-2</v>
      </c>
      <c r="E273" s="300">
        <v>189.44919000000002</v>
      </c>
      <c r="F273" s="289">
        <f t="shared" si="62"/>
        <v>18.190000000000001</v>
      </c>
      <c r="G273" s="289">
        <f t="shared" si="63"/>
        <v>21.83</v>
      </c>
      <c r="I273" s="233"/>
    </row>
    <row r="274" spans="1:9" ht="19.5" customHeight="1" x14ac:dyDescent="0.3">
      <c r="A274" s="324">
        <f t="shared" si="64"/>
        <v>197</v>
      </c>
      <c r="B274" s="325" t="s">
        <v>1034</v>
      </c>
      <c r="C274" s="324" t="s">
        <v>254</v>
      </c>
      <c r="D274" s="408">
        <f>0.002*2*4</f>
        <v>1.6E-2</v>
      </c>
      <c r="E274" s="300">
        <v>253.88768999999999</v>
      </c>
      <c r="F274" s="289">
        <f t="shared" si="62"/>
        <v>4.0599999999999996</v>
      </c>
      <c r="G274" s="289">
        <f t="shared" si="63"/>
        <v>4.87</v>
      </c>
      <c r="I274" s="233"/>
    </row>
    <row r="275" spans="1:9" ht="19.5" customHeight="1" x14ac:dyDescent="0.3">
      <c r="A275" s="324">
        <f t="shared" si="64"/>
        <v>198</v>
      </c>
      <c r="B275" s="325" t="s">
        <v>1035</v>
      </c>
      <c r="C275" s="324" t="s">
        <v>254</v>
      </c>
      <c r="D275" s="408">
        <f>0.004*2*4</f>
        <v>3.2000000000000001E-2</v>
      </c>
      <c r="E275" s="300">
        <v>253.88768999999999</v>
      </c>
      <c r="F275" s="289">
        <f t="shared" si="62"/>
        <v>8.1199999999999992</v>
      </c>
      <c r="G275" s="289">
        <f t="shared" si="63"/>
        <v>9.74</v>
      </c>
      <c r="I275" s="233"/>
    </row>
    <row r="276" spans="1:9" ht="19.5" customHeight="1" x14ac:dyDescent="0.3">
      <c r="A276" s="324"/>
      <c r="B276" s="402" t="s">
        <v>404</v>
      </c>
      <c r="C276" s="324"/>
      <c r="D276" s="424"/>
      <c r="E276" s="300">
        <v>0</v>
      </c>
      <c r="F276" s="289"/>
      <c r="G276" s="289"/>
      <c r="I276" s="233"/>
    </row>
    <row r="277" spans="1:9" s="317" customFormat="1" ht="24.75" customHeight="1" x14ac:dyDescent="0.3">
      <c r="A277" s="324">
        <f>A275+1</f>
        <v>199</v>
      </c>
      <c r="B277" s="325" t="s">
        <v>1046</v>
      </c>
      <c r="C277" s="324" t="s">
        <v>194</v>
      </c>
      <c r="D277" s="407">
        <v>115</v>
      </c>
      <c r="E277" s="300">
        <v>1875.1603500000001</v>
      </c>
      <c r="F277" s="289">
        <f t="shared" ref="F277:F300" si="65">ROUND(E277*D277,2)</f>
        <v>215643.44</v>
      </c>
      <c r="G277" s="289">
        <f t="shared" ref="G277:G300" si="66">ROUND(F277*1.2,2)</f>
        <v>258772.13</v>
      </c>
      <c r="H277" s="337" t="s">
        <v>1199</v>
      </c>
      <c r="I277" s="331"/>
    </row>
    <row r="278" spans="1:9" ht="19.5" customHeight="1" x14ac:dyDescent="0.3">
      <c r="A278" s="324">
        <f>A277+1</f>
        <v>200</v>
      </c>
      <c r="B278" s="325" t="s">
        <v>1037</v>
      </c>
      <c r="C278" s="324" t="s">
        <v>194</v>
      </c>
      <c r="D278" s="407">
        <v>20</v>
      </c>
      <c r="E278" s="300">
        <v>0</v>
      </c>
      <c r="F278" s="289">
        <f t="shared" si="65"/>
        <v>0</v>
      </c>
      <c r="G278" s="289">
        <f t="shared" si="66"/>
        <v>0</v>
      </c>
      <c r="I278" s="233"/>
    </row>
    <row r="279" spans="1:9" ht="19.5" customHeight="1" x14ac:dyDescent="0.3">
      <c r="A279" s="324">
        <f t="shared" ref="A279:A300" si="67">A278+1</f>
        <v>201</v>
      </c>
      <c r="B279" s="325" t="s">
        <v>1049</v>
      </c>
      <c r="C279" s="324" t="s">
        <v>194</v>
      </c>
      <c r="D279" s="407">
        <v>24</v>
      </c>
      <c r="E279" s="300">
        <v>0</v>
      </c>
      <c r="F279" s="289">
        <f t="shared" si="65"/>
        <v>0</v>
      </c>
      <c r="G279" s="289">
        <f t="shared" si="66"/>
        <v>0</v>
      </c>
      <c r="I279" s="233"/>
    </row>
    <row r="280" spans="1:9" s="317" customFormat="1" ht="19.5" customHeight="1" x14ac:dyDescent="0.3">
      <c r="A280" s="324">
        <f t="shared" si="67"/>
        <v>202</v>
      </c>
      <c r="B280" s="325" t="s">
        <v>1047</v>
      </c>
      <c r="C280" s="324" t="s">
        <v>194</v>
      </c>
      <c r="D280" s="407">
        <v>11</v>
      </c>
      <c r="E280" s="300">
        <v>1005.2406000000001</v>
      </c>
      <c r="F280" s="289">
        <f t="shared" si="65"/>
        <v>11057.65</v>
      </c>
      <c r="G280" s="289">
        <f t="shared" si="66"/>
        <v>13269.18</v>
      </c>
      <c r="I280" s="331"/>
    </row>
    <row r="281" spans="1:9" s="317" customFormat="1" ht="19.5" customHeight="1" x14ac:dyDescent="0.3">
      <c r="A281" s="324">
        <f t="shared" si="67"/>
        <v>203</v>
      </c>
      <c r="B281" s="325" t="s">
        <v>1048</v>
      </c>
      <c r="C281" s="324" t="s">
        <v>194</v>
      </c>
      <c r="D281" s="409">
        <v>10.5</v>
      </c>
      <c r="E281" s="300">
        <v>667.58285999999998</v>
      </c>
      <c r="F281" s="289">
        <f t="shared" si="65"/>
        <v>7009.62</v>
      </c>
      <c r="G281" s="289">
        <f t="shared" si="66"/>
        <v>8411.5400000000009</v>
      </c>
      <c r="H281" s="318"/>
      <c r="I281" s="331"/>
    </row>
    <row r="282" spans="1:9" s="317" customFormat="1" ht="19.5" customHeight="1" x14ac:dyDescent="0.3">
      <c r="A282" s="324">
        <f t="shared" si="67"/>
        <v>204</v>
      </c>
      <c r="B282" s="325" t="s">
        <v>1050</v>
      </c>
      <c r="C282" s="324" t="s">
        <v>194</v>
      </c>
      <c r="D282" s="409">
        <v>2</v>
      </c>
      <c r="E282" s="300">
        <v>4252.9410000000007</v>
      </c>
      <c r="F282" s="289">
        <f t="shared" si="65"/>
        <v>8505.8799999999992</v>
      </c>
      <c r="G282" s="289">
        <f t="shared" si="66"/>
        <v>10207.06</v>
      </c>
      <c r="H282" s="318"/>
      <c r="I282" s="331"/>
    </row>
    <row r="283" spans="1:9" s="317" customFormat="1" ht="19.5" customHeight="1" x14ac:dyDescent="0.3">
      <c r="A283" s="324">
        <f t="shared" si="67"/>
        <v>205</v>
      </c>
      <c r="B283" s="325" t="s">
        <v>1038</v>
      </c>
      <c r="C283" s="324" t="s">
        <v>220</v>
      </c>
      <c r="D283" s="407">
        <f>4+12</f>
        <v>16</v>
      </c>
      <c r="E283" s="300">
        <v>5026.2030000000004</v>
      </c>
      <c r="F283" s="289">
        <f t="shared" si="65"/>
        <v>80419.25</v>
      </c>
      <c r="G283" s="289">
        <f t="shared" si="66"/>
        <v>96503.1</v>
      </c>
      <c r="H283" s="318"/>
      <c r="I283" s="331"/>
    </row>
    <row r="284" spans="1:9" s="317" customFormat="1" ht="19.5" customHeight="1" x14ac:dyDescent="0.3">
      <c r="A284" s="324">
        <f t="shared" si="67"/>
        <v>206</v>
      </c>
      <c r="B284" s="325" t="s">
        <v>1051</v>
      </c>
      <c r="C284" s="324" t="s">
        <v>220</v>
      </c>
      <c r="D284" s="407">
        <v>6</v>
      </c>
      <c r="E284" s="300">
        <v>773.26200000000006</v>
      </c>
      <c r="F284" s="289">
        <f t="shared" si="65"/>
        <v>4639.57</v>
      </c>
      <c r="G284" s="289">
        <f t="shared" si="66"/>
        <v>5567.48</v>
      </c>
      <c r="H284" s="318"/>
      <c r="I284" s="331"/>
    </row>
    <row r="285" spans="1:9" s="317" customFormat="1" ht="19.5" customHeight="1" x14ac:dyDescent="0.3">
      <c r="A285" s="324">
        <f t="shared" si="67"/>
        <v>207</v>
      </c>
      <c r="B285" s="325" t="s">
        <v>1039</v>
      </c>
      <c r="C285" s="324" t="s">
        <v>220</v>
      </c>
      <c r="D285" s="407">
        <f>4+4</f>
        <v>8</v>
      </c>
      <c r="E285" s="300">
        <v>212.64705000000004</v>
      </c>
      <c r="F285" s="289">
        <f t="shared" si="65"/>
        <v>1701.18</v>
      </c>
      <c r="G285" s="289">
        <f t="shared" si="66"/>
        <v>2041.42</v>
      </c>
      <c r="H285" s="318"/>
      <c r="I285" s="331"/>
    </row>
    <row r="286" spans="1:9" s="317" customFormat="1" ht="33" customHeight="1" x14ac:dyDescent="0.3">
      <c r="A286" s="324">
        <f t="shared" si="67"/>
        <v>208</v>
      </c>
      <c r="B286" s="325" t="s">
        <v>1040</v>
      </c>
      <c r="C286" s="324" t="s">
        <v>220</v>
      </c>
      <c r="D286" s="407">
        <f>2+2</f>
        <v>4</v>
      </c>
      <c r="E286" s="300">
        <v>62363.580300000009</v>
      </c>
      <c r="F286" s="289">
        <f t="shared" si="65"/>
        <v>249454.32</v>
      </c>
      <c r="G286" s="289">
        <f t="shared" si="66"/>
        <v>299345.18</v>
      </c>
      <c r="I286" s="331"/>
    </row>
    <row r="287" spans="1:9" s="317" customFormat="1" ht="33" customHeight="1" x14ac:dyDescent="0.3">
      <c r="A287" s="324">
        <f t="shared" si="67"/>
        <v>209</v>
      </c>
      <c r="B287" s="325" t="s">
        <v>1052</v>
      </c>
      <c r="C287" s="324" t="s">
        <v>220</v>
      </c>
      <c r="D287" s="407">
        <v>2</v>
      </c>
      <c r="E287" s="300">
        <v>12114.438000000002</v>
      </c>
      <c r="F287" s="289">
        <f t="shared" si="65"/>
        <v>24228.880000000001</v>
      </c>
      <c r="G287" s="289">
        <f t="shared" si="66"/>
        <v>29074.66</v>
      </c>
      <c r="I287" s="331"/>
    </row>
    <row r="288" spans="1:9" s="317" customFormat="1" ht="30" customHeight="1" x14ac:dyDescent="0.3">
      <c r="A288" s="324">
        <f t="shared" si="67"/>
        <v>210</v>
      </c>
      <c r="B288" s="325" t="s">
        <v>1041</v>
      </c>
      <c r="C288" s="324" t="s">
        <v>220</v>
      </c>
      <c r="D288" s="407">
        <f>2+2</f>
        <v>4</v>
      </c>
      <c r="E288" s="300">
        <v>5283.9570000000003</v>
      </c>
      <c r="F288" s="289">
        <f t="shared" si="65"/>
        <v>21135.83</v>
      </c>
      <c r="G288" s="289">
        <f t="shared" si="66"/>
        <v>25363</v>
      </c>
      <c r="I288" s="331"/>
    </row>
    <row r="289" spans="1:9" s="317" customFormat="1" ht="15.75" customHeight="1" x14ac:dyDescent="0.3">
      <c r="A289" s="324">
        <f t="shared" si="67"/>
        <v>211</v>
      </c>
      <c r="B289" s="325" t="s">
        <v>1042</v>
      </c>
      <c r="C289" s="324" t="s">
        <v>220</v>
      </c>
      <c r="D289" s="407">
        <v>24</v>
      </c>
      <c r="E289" s="300">
        <v>7255.7750999999998</v>
      </c>
      <c r="F289" s="289">
        <f t="shared" si="65"/>
        <v>174138.6</v>
      </c>
      <c r="G289" s="289">
        <f t="shared" si="66"/>
        <v>208966.32</v>
      </c>
      <c r="H289" s="318"/>
      <c r="I289" s="331"/>
    </row>
    <row r="290" spans="1:9" s="317" customFormat="1" ht="15.75" customHeight="1" x14ac:dyDescent="0.3">
      <c r="A290" s="324">
        <f t="shared" si="67"/>
        <v>212</v>
      </c>
      <c r="B290" s="325" t="s">
        <v>1053</v>
      </c>
      <c r="C290" s="324" t="s">
        <v>220</v>
      </c>
      <c r="D290" s="407">
        <v>2</v>
      </c>
      <c r="E290" s="300">
        <v>2435.7753000000002</v>
      </c>
      <c r="F290" s="289">
        <f t="shared" si="65"/>
        <v>4871.55</v>
      </c>
      <c r="G290" s="289">
        <f t="shared" si="66"/>
        <v>5845.86</v>
      </c>
      <c r="I290" s="331"/>
    </row>
    <row r="291" spans="1:9" s="317" customFormat="1" ht="15.75" customHeight="1" x14ac:dyDescent="0.3">
      <c r="A291" s="324">
        <f t="shared" si="67"/>
        <v>213</v>
      </c>
      <c r="B291" s="325" t="s">
        <v>1055</v>
      </c>
      <c r="C291" s="324" t="s">
        <v>220</v>
      </c>
      <c r="D291" s="407">
        <v>2</v>
      </c>
      <c r="E291" s="300">
        <v>2474.4384</v>
      </c>
      <c r="F291" s="289">
        <f t="shared" si="65"/>
        <v>4948.88</v>
      </c>
      <c r="G291" s="289">
        <f t="shared" si="66"/>
        <v>5938.66</v>
      </c>
      <c r="H291" s="318"/>
      <c r="I291" s="331"/>
    </row>
    <row r="292" spans="1:9" s="317" customFormat="1" ht="15.75" customHeight="1" x14ac:dyDescent="0.3">
      <c r="A292" s="324">
        <f t="shared" si="67"/>
        <v>214</v>
      </c>
      <c r="B292" s="325" t="s">
        <v>1044</v>
      </c>
      <c r="C292" s="324" t="s">
        <v>220</v>
      </c>
      <c r="D292" s="407">
        <v>4</v>
      </c>
      <c r="E292" s="300">
        <v>15465.24</v>
      </c>
      <c r="F292" s="289">
        <f t="shared" si="65"/>
        <v>61860.959999999999</v>
      </c>
      <c r="G292" s="289">
        <f t="shared" si="66"/>
        <v>74233.149999999994</v>
      </c>
      <c r="I292" s="331"/>
    </row>
    <row r="293" spans="1:9" s="317" customFormat="1" ht="15.75" customHeight="1" x14ac:dyDescent="0.3">
      <c r="A293" s="324">
        <f t="shared" si="67"/>
        <v>215</v>
      </c>
      <c r="B293" s="325" t="s">
        <v>1045</v>
      </c>
      <c r="C293" s="324" t="s">
        <v>220</v>
      </c>
      <c r="D293" s="407">
        <v>1</v>
      </c>
      <c r="E293" s="300">
        <v>15175.266750000003</v>
      </c>
      <c r="F293" s="289">
        <f t="shared" si="65"/>
        <v>15175.27</v>
      </c>
      <c r="G293" s="289">
        <f t="shared" si="66"/>
        <v>18210.32</v>
      </c>
      <c r="I293" s="331"/>
    </row>
    <row r="294" spans="1:9" s="317" customFormat="1" ht="15.75" customHeight="1" x14ac:dyDescent="0.3">
      <c r="A294" s="324">
        <f t="shared" si="67"/>
        <v>216</v>
      </c>
      <c r="B294" s="325" t="s">
        <v>1056</v>
      </c>
      <c r="C294" s="324" t="s">
        <v>194</v>
      </c>
      <c r="D294" s="409">
        <v>2.2999999999999998</v>
      </c>
      <c r="E294" s="300">
        <v>479.42243999999999</v>
      </c>
      <c r="F294" s="289">
        <f t="shared" si="65"/>
        <v>1102.67</v>
      </c>
      <c r="G294" s="289">
        <f t="shared" si="66"/>
        <v>1323.2</v>
      </c>
      <c r="I294" s="331"/>
    </row>
    <row r="295" spans="1:9" s="317" customFormat="1" ht="20.100000000000001" customHeight="1" x14ac:dyDescent="0.3">
      <c r="A295" s="324">
        <f t="shared" si="67"/>
        <v>217</v>
      </c>
      <c r="B295" s="325" t="s">
        <v>1057</v>
      </c>
      <c r="C295" s="324" t="s">
        <v>254</v>
      </c>
      <c r="D295" s="409">
        <v>3.5</v>
      </c>
      <c r="E295" s="300">
        <v>2448.663</v>
      </c>
      <c r="F295" s="289">
        <f t="shared" si="65"/>
        <v>8570.32</v>
      </c>
      <c r="G295" s="289">
        <f t="shared" si="66"/>
        <v>10284.379999999999</v>
      </c>
      <c r="I295" s="331"/>
    </row>
    <row r="296" spans="1:9" s="317" customFormat="1" ht="15.75" customHeight="1" x14ac:dyDescent="0.3">
      <c r="A296" s="324">
        <f t="shared" si="67"/>
        <v>218</v>
      </c>
      <c r="B296" s="325" t="s">
        <v>1058</v>
      </c>
      <c r="C296" s="324" t="s">
        <v>220</v>
      </c>
      <c r="D296" s="407">
        <v>1</v>
      </c>
      <c r="E296" s="300">
        <v>8377.005000000001</v>
      </c>
      <c r="F296" s="289">
        <f t="shared" si="65"/>
        <v>8377.01</v>
      </c>
      <c r="G296" s="289">
        <f t="shared" si="66"/>
        <v>10052.41</v>
      </c>
      <c r="I296" s="331"/>
    </row>
    <row r="297" spans="1:9" s="317" customFormat="1" ht="15.75" customHeight="1" x14ac:dyDescent="0.3">
      <c r="A297" s="324">
        <f t="shared" si="67"/>
        <v>219</v>
      </c>
      <c r="B297" s="325" t="s">
        <v>1059</v>
      </c>
      <c r="C297" s="324" t="s">
        <v>220</v>
      </c>
      <c r="D297" s="407">
        <v>4</v>
      </c>
      <c r="E297" s="300">
        <v>2629.0907999999999</v>
      </c>
      <c r="F297" s="289">
        <f t="shared" si="65"/>
        <v>10516.36</v>
      </c>
      <c r="G297" s="289">
        <f t="shared" si="66"/>
        <v>12619.63</v>
      </c>
      <c r="I297" s="331"/>
    </row>
    <row r="298" spans="1:9" ht="15.75" customHeight="1" x14ac:dyDescent="0.3">
      <c r="A298" s="324">
        <f t="shared" si="67"/>
        <v>220</v>
      </c>
      <c r="B298" s="325" t="s">
        <v>1060</v>
      </c>
      <c r="C298" s="324" t="s">
        <v>254</v>
      </c>
      <c r="D298" s="410">
        <v>1.71</v>
      </c>
      <c r="E298" s="300">
        <v>231.9786</v>
      </c>
      <c r="F298" s="289">
        <f t="shared" si="65"/>
        <v>396.68</v>
      </c>
      <c r="G298" s="289">
        <f t="shared" si="66"/>
        <v>476.02</v>
      </c>
      <c r="I298" s="233"/>
    </row>
    <row r="299" spans="1:9" s="317" customFormat="1" ht="15.75" customHeight="1" x14ac:dyDescent="0.3">
      <c r="A299" s="324">
        <f t="shared" si="67"/>
        <v>221</v>
      </c>
      <c r="B299" s="325" t="s">
        <v>1061</v>
      </c>
      <c r="C299" s="324" t="s">
        <v>220</v>
      </c>
      <c r="D299" s="407">
        <v>1</v>
      </c>
      <c r="E299" s="300">
        <v>11598.93</v>
      </c>
      <c r="F299" s="289">
        <f t="shared" si="65"/>
        <v>11598.93</v>
      </c>
      <c r="G299" s="289">
        <f t="shared" si="66"/>
        <v>13918.72</v>
      </c>
      <c r="I299" s="331"/>
    </row>
    <row r="300" spans="1:9" ht="27.6" x14ac:dyDescent="0.3">
      <c r="A300" s="324">
        <f t="shared" si="67"/>
        <v>222</v>
      </c>
      <c r="B300" s="325" t="s">
        <v>407</v>
      </c>
      <c r="C300" s="324" t="s">
        <v>243</v>
      </c>
      <c r="D300" s="328">
        <v>1</v>
      </c>
      <c r="E300" s="300">
        <v>193315.5</v>
      </c>
      <c r="F300" s="289">
        <f t="shared" si="65"/>
        <v>193315.5</v>
      </c>
      <c r="G300" s="289">
        <f t="shared" si="66"/>
        <v>231978.6</v>
      </c>
    </row>
    <row r="301" spans="1:9" ht="22.5" customHeight="1" x14ac:dyDescent="0.3">
      <c r="A301" s="493" t="s">
        <v>408</v>
      </c>
      <c r="B301" s="493"/>
      <c r="C301" s="493"/>
      <c r="D301" s="493"/>
      <c r="E301" s="493"/>
      <c r="F301" s="83">
        <f>SUM(F6:F300)</f>
        <v>18720257.529999997</v>
      </c>
      <c r="G301" s="83">
        <f>SUM(G6:G300)</f>
        <v>31528295.329999987</v>
      </c>
    </row>
  </sheetData>
  <mergeCells count="13"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497" t="s">
        <v>226</v>
      </c>
      <c r="B1" s="497" t="s">
        <v>719</v>
      </c>
      <c r="C1" s="496" t="s">
        <v>727</v>
      </c>
      <c r="D1" s="496"/>
      <c r="E1" s="496"/>
      <c r="F1" s="498" t="s">
        <v>728</v>
      </c>
      <c r="G1" s="498"/>
      <c r="H1" s="498"/>
    </row>
    <row r="2" spans="1:11" ht="27.6" x14ac:dyDescent="0.3">
      <c r="A2" s="497"/>
      <c r="B2" s="497"/>
      <c r="C2" s="189" t="s">
        <v>720</v>
      </c>
      <c r="D2" s="190" t="s">
        <v>721</v>
      </c>
      <c r="E2" s="190" t="s">
        <v>722</v>
      </c>
      <c r="F2" s="191" t="s">
        <v>720</v>
      </c>
      <c r="G2" s="192" t="s">
        <v>721</v>
      </c>
      <c r="H2" s="192" t="s">
        <v>722</v>
      </c>
    </row>
    <row r="3" spans="1:11" x14ac:dyDescent="0.3">
      <c r="A3" s="106">
        <v>1</v>
      </c>
      <c r="B3" s="96" t="s">
        <v>176</v>
      </c>
      <c r="C3" s="193" t="e">
        <f>'СМР 417 путь'!#REF!</f>
        <v>#REF!</v>
      </c>
      <c r="D3" s="195">
        <f>'мат 417 путь'!F30</f>
        <v>157045205.96999997</v>
      </c>
      <c r="E3" s="196" t="e">
        <f>C3+D3</f>
        <v>#REF!</v>
      </c>
      <c r="F3" s="197" t="e">
        <f>'СМР 417 путь'!#REF!</f>
        <v>#REF!</v>
      </c>
      <c r="G3" s="198">
        <f>'мат 417 путь'!G30</f>
        <v>188454247.16</v>
      </c>
      <c r="H3" s="199" t="e">
        <f>F3+G3</f>
        <v>#REF!</v>
      </c>
      <c r="I3" s="30"/>
    </row>
    <row r="4" spans="1:11" hidden="1" x14ac:dyDescent="0.3">
      <c r="A4" s="106">
        <f>A3+1</f>
        <v>2</v>
      </c>
      <c r="B4" s="96" t="s">
        <v>177</v>
      </c>
      <c r="C4" s="193"/>
      <c r="D4" s="195"/>
      <c r="E4" s="196"/>
      <c r="F4" s="197"/>
      <c r="G4" s="198"/>
      <c r="H4" s="199"/>
      <c r="I4" s="30"/>
    </row>
    <row r="5" spans="1:11" x14ac:dyDescent="0.3">
      <c r="A5" s="106">
        <v>2</v>
      </c>
      <c r="B5" s="96" t="s">
        <v>726</v>
      </c>
      <c r="C5" s="193" t="e">
        <f>'СМР комм-ции 417'!#REF!</f>
        <v>#REF!</v>
      </c>
      <c r="D5" s="195">
        <f>'мат комм-ции 417'!F280</f>
        <v>55427240.580000006</v>
      </c>
      <c r="E5" s="196" t="e">
        <f t="shared" ref="E5:E12" si="0">C5+D5</f>
        <v>#REF!</v>
      </c>
      <c r="F5" s="197" t="e">
        <f>'СМР комм-ции 417'!#REF!</f>
        <v>#REF!</v>
      </c>
      <c r="G5" s="198">
        <f>'мат комм-ции 417'!G280</f>
        <v>66512688.640000008</v>
      </c>
      <c r="H5" s="199" t="e">
        <f t="shared" ref="H5:H12" si="1">F5+G5</f>
        <v>#REF!</v>
      </c>
      <c r="I5" s="30"/>
    </row>
    <row r="6" spans="1:11" hidden="1" x14ac:dyDescent="0.3">
      <c r="A6" s="106">
        <f t="shared" ref="A6:A12" si="2">A5+1</f>
        <v>3</v>
      </c>
      <c r="B6" s="201" t="s">
        <v>731</v>
      </c>
      <c r="C6" s="193"/>
      <c r="D6" s="195"/>
      <c r="E6" s="196"/>
      <c r="F6" s="197"/>
      <c r="G6" s="198"/>
      <c r="H6" s="199"/>
      <c r="I6" s="30"/>
      <c r="J6" s="30"/>
      <c r="K6" s="30"/>
    </row>
    <row r="7" spans="1:11" hidden="1" x14ac:dyDescent="0.3">
      <c r="A7" s="106">
        <f t="shared" si="2"/>
        <v>4</v>
      </c>
      <c r="B7" s="96" t="s">
        <v>724</v>
      </c>
      <c r="C7" s="193"/>
      <c r="D7" s="195"/>
      <c r="E7" s="196"/>
      <c r="F7" s="197"/>
      <c r="G7" s="198"/>
      <c r="H7" s="199"/>
      <c r="I7" s="30"/>
    </row>
    <row r="8" spans="1:11" hidden="1" x14ac:dyDescent="0.3">
      <c r="A8" s="106">
        <v>3</v>
      </c>
      <c r="B8" s="96" t="s">
        <v>725</v>
      </c>
      <c r="C8" s="193"/>
      <c r="D8" s="195"/>
      <c r="E8" s="196"/>
      <c r="F8" s="197"/>
      <c r="G8" s="198"/>
      <c r="H8" s="199"/>
      <c r="I8" s="30"/>
    </row>
    <row r="9" spans="1:11" x14ac:dyDescent="0.3">
      <c r="A9" s="106">
        <v>3</v>
      </c>
      <c r="B9" s="96" t="s">
        <v>1340</v>
      </c>
      <c r="C9" s="193" t="e">
        <f>'СМР ГСН'!#REF!</f>
        <v>#REF!</v>
      </c>
      <c r="D9" s="195">
        <f>'мат ГСН'!F32</f>
        <v>2439875.9699999993</v>
      </c>
      <c r="E9" s="196" t="e">
        <f t="shared" si="0"/>
        <v>#REF!</v>
      </c>
      <c r="F9" s="197" t="e">
        <f>'СМР ГСН'!#REF!</f>
        <v>#REF!</v>
      </c>
      <c r="G9" s="198">
        <f>'мат ГСН'!G32</f>
        <v>2927851.1699999995</v>
      </c>
      <c r="H9" s="199" t="e">
        <f t="shared" si="1"/>
        <v>#REF!</v>
      </c>
      <c r="I9" s="30"/>
    </row>
    <row r="10" spans="1:11" x14ac:dyDescent="0.3">
      <c r="A10" s="106">
        <v>4</v>
      </c>
      <c r="B10" s="96" t="s">
        <v>1594</v>
      </c>
      <c r="C10" s="193" t="e">
        <f>'СМР эстакада'!#REF!</f>
        <v>#REF!</v>
      </c>
      <c r="D10" s="195">
        <f>'мат эстакада'!F87</f>
        <v>2895517.84</v>
      </c>
      <c r="E10" s="196" t="e">
        <f t="shared" si="0"/>
        <v>#REF!</v>
      </c>
      <c r="F10" s="197" t="e">
        <f>'СМР эстакада'!#REF!</f>
        <v>#REF!</v>
      </c>
      <c r="G10" s="198">
        <f>'мат эстакада'!G87</f>
        <v>3474621.46</v>
      </c>
      <c r="H10" s="199" t="e">
        <f t="shared" si="1"/>
        <v>#REF!</v>
      </c>
      <c r="I10" s="30"/>
    </row>
    <row r="11" spans="1:11" x14ac:dyDescent="0.3">
      <c r="A11" s="106">
        <f t="shared" si="2"/>
        <v>5</v>
      </c>
      <c r="B11" s="96" t="s">
        <v>1341</v>
      </c>
      <c r="C11" s="193" t="e">
        <f>'СМР ТС2'!#REF!</f>
        <v>#REF!</v>
      </c>
      <c r="D11" s="195">
        <f>'мат ТС2'!F99</f>
        <v>1330631.2799999993</v>
      </c>
      <c r="E11" s="196" t="e">
        <f t="shared" si="0"/>
        <v>#REF!</v>
      </c>
      <c r="F11" s="197" t="e">
        <f>'СМР ТС2'!#REF!</f>
        <v>#REF!</v>
      </c>
      <c r="G11" s="198">
        <f>'мат ТС2'!G99</f>
        <v>1596757.52</v>
      </c>
      <c r="H11" s="199" t="e">
        <f t="shared" si="1"/>
        <v>#REF!</v>
      </c>
      <c r="I11" s="30"/>
    </row>
    <row r="12" spans="1:11" x14ac:dyDescent="0.3">
      <c r="A12" s="106">
        <f t="shared" si="2"/>
        <v>6</v>
      </c>
      <c r="B12" s="96" t="s">
        <v>1342</v>
      </c>
      <c r="C12" s="193" t="e">
        <f>'СМР ТС3'!#REF!</f>
        <v>#REF!</v>
      </c>
      <c r="D12" s="195">
        <f>'мат ТС3'!F93</f>
        <v>2106513.0699999994</v>
      </c>
      <c r="E12" s="196" t="e">
        <f t="shared" si="0"/>
        <v>#REF!</v>
      </c>
      <c r="F12" s="197" t="e">
        <f>'СМР ТС3'!#REF!</f>
        <v>#REF!</v>
      </c>
      <c r="G12" s="198">
        <f>'мат ТС3'!G93</f>
        <v>2527815.7100000009</v>
      </c>
      <c r="H12" s="199" t="e">
        <f t="shared" si="1"/>
        <v>#REF!</v>
      </c>
      <c r="I12" s="30"/>
    </row>
    <row r="13" spans="1:11" x14ac:dyDescent="0.3">
      <c r="A13" s="106"/>
      <c r="B13" s="96"/>
      <c r="C13" s="193"/>
      <c r="D13" s="195"/>
      <c r="E13" s="196"/>
      <c r="F13" s="197"/>
      <c r="G13" s="198"/>
      <c r="H13" s="199"/>
      <c r="I13" s="30"/>
    </row>
    <row r="14" spans="1:11" x14ac:dyDescent="0.3">
      <c r="A14" s="125"/>
      <c r="B14" s="94" t="s">
        <v>723</v>
      </c>
      <c r="C14" s="194" t="e">
        <f t="shared" ref="C14:H14" si="3">SUM(C3:C12)</f>
        <v>#REF!</v>
      </c>
      <c r="D14" s="194">
        <f t="shared" si="3"/>
        <v>221244984.70999998</v>
      </c>
      <c r="E14" s="194" t="e">
        <f t="shared" si="3"/>
        <v>#REF!</v>
      </c>
      <c r="F14" s="200" t="e">
        <f t="shared" si="3"/>
        <v>#REF!</v>
      </c>
      <c r="G14" s="200">
        <f t="shared" si="3"/>
        <v>265493981.66000003</v>
      </c>
      <c r="H14" s="200" t="e">
        <f t="shared" si="3"/>
        <v>#REF!</v>
      </c>
      <c r="I14" s="30"/>
    </row>
    <row r="15" spans="1:11" x14ac:dyDescent="0.3">
      <c r="A15" s="150"/>
      <c r="B15" s="150"/>
      <c r="C15" s="150"/>
      <c r="D15" s="150"/>
      <c r="E15" s="150"/>
      <c r="I15" s="30"/>
    </row>
    <row r="16" spans="1:11" x14ac:dyDescent="0.3">
      <c r="A16" s="150"/>
      <c r="B16" s="150"/>
      <c r="C16" s="150"/>
      <c r="D16" s="150"/>
      <c r="E16" s="150"/>
    </row>
    <row r="17" spans="1:5" x14ac:dyDescent="0.3">
      <c r="A17" s="150"/>
      <c r="B17" s="150"/>
      <c r="C17" s="150"/>
      <c r="D17" s="150"/>
      <c r="E17" s="150"/>
    </row>
    <row r="18" spans="1:5" x14ac:dyDescent="0.3">
      <c r="A18" s="150"/>
      <c r="B18" s="150"/>
      <c r="C18" s="150"/>
      <c r="D18" s="150"/>
      <c r="E18" s="150"/>
    </row>
    <row r="19" spans="1:5" x14ac:dyDescent="0.3">
      <c r="A19" s="150"/>
      <c r="B19" s="150"/>
      <c r="C19" s="150"/>
      <c r="D19" s="150"/>
      <c r="E19" s="150"/>
    </row>
    <row r="20" spans="1:5" x14ac:dyDescent="0.3">
      <c r="A20" s="150"/>
      <c r="B20" s="150"/>
      <c r="C20" s="150"/>
      <c r="D20" s="150"/>
      <c r="E20" s="150"/>
    </row>
    <row r="21" spans="1:5" x14ac:dyDescent="0.3">
      <c r="A21" s="150"/>
      <c r="B21" s="150"/>
      <c r="C21" s="150"/>
      <c r="D21" s="150"/>
      <c r="E21" s="150"/>
    </row>
    <row r="22" spans="1:5" x14ac:dyDescent="0.3">
      <c r="A22" s="150"/>
      <c r="B22" s="150"/>
      <c r="C22" s="150"/>
      <c r="D22" s="150"/>
      <c r="E22" s="150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6" customWidth="1"/>
    <col min="2" max="2" width="22.5546875" style="346" customWidth="1"/>
    <col min="3" max="3" width="17.109375" style="346" customWidth="1"/>
    <col min="4" max="4" width="20" style="346" customWidth="1"/>
    <col min="5" max="5" width="10.5546875" style="346" hidden="1" customWidth="1"/>
    <col min="6" max="6" width="8.77734375" style="346" customWidth="1"/>
    <col min="7" max="16384" width="14.44140625" style="346"/>
  </cols>
  <sheetData>
    <row r="1" spans="1:5" ht="14.4" x14ac:dyDescent="0.3">
      <c r="A1" s="343"/>
      <c r="B1" s="344"/>
      <c r="C1" s="344"/>
      <c r="D1" s="345"/>
    </row>
    <row r="2" spans="1:5" ht="33.6" customHeight="1" x14ac:dyDescent="0.3">
      <c r="A2" s="347" t="s">
        <v>1621</v>
      </c>
      <c r="B2" s="348"/>
      <c r="C2" s="348"/>
      <c r="D2" s="348"/>
      <c r="E2" s="349"/>
    </row>
    <row r="3" spans="1:5" ht="14.4" x14ac:dyDescent="0.3">
      <c r="A3" s="350" t="s">
        <v>1622</v>
      </c>
      <c r="B3" s="351">
        <f>[1]Выручка!E34/1000</f>
        <v>548003.99969434505</v>
      </c>
      <c r="C3" s="351">
        <v>548003.99969434505</v>
      </c>
    </row>
    <row r="4" spans="1:5" ht="14.4" x14ac:dyDescent="0.3">
      <c r="A4" s="350"/>
      <c r="B4" s="350"/>
      <c r="C4" s="350"/>
    </row>
    <row r="5" spans="1:5" ht="41.4" x14ac:dyDescent="0.3">
      <c r="A5" s="347" t="s">
        <v>1623</v>
      </c>
      <c r="B5" s="348" t="s">
        <v>1624</v>
      </c>
      <c r="C5" s="352" t="s">
        <v>1625</v>
      </c>
      <c r="D5" s="353" t="s">
        <v>1626</v>
      </c>
      <c r="E5" s="354" t="s">
        <v>1627</v>
      </c>
    </row>
    <row r="6" spans="1:5" ht="14.4" x14ac:dyDescent="0.3">
      <c r="A6" s="355" t="s">
        <v>1628</v>
      </c>
      <c r="B6" s="356">
        <f>[1]PL_CF!U4</f>
        <v>456669.99974528741</v>
      </c>
      <c r="C6" s="356">
        <v>456669.99974528741</v>
      </c>
      <c r="D6" s="356">
        <v>456669.99974528741</v>
      </c>
      <c r="E6" s="357">
        <v>479955.30044194311</v>
      </c>
    </row>
    <row r="7" spans="1:5" ht="14.4" x14ac:dyDescent="0.3">
      <c r="A7" s="355" t="s">
        <v>1629</v>
      </c>
      <c r="B7" s="356">
        <f>[1]PL_CF!U5</f>
        <v>-320230.36179916671</v>
      </c>
      <c r="C7" s="356">
        <v>-320230.36179916671</v>
      </c>
      <c r="D7" s="356">
        <v>-320230.36179916665</v>
      </c>
      <c r="E7" s="357">
        <v>-323478.32263249991</v>
      </c>
    </row>
    <row r="8" spans="1:5" ht="14.4" x14ac:dyDescent="0.3">
      <c r="A8" s="355" t="s">
        <v>1630</v>
      </c>
      <c r="B8" s="356">
        <f>[1]PL_CF!U6</f>
        <v>-7706.7749999999996</v>
      </c>
      <c r="C8" s="356">
        <v>-7706.7749999999996</v>
      </c>
      <c r="D8" s="356">
        <v>-9059.2833300000002</v>
      </c>
      <c r="E8" s="499">
        <v>-14699</v>
      </c>
    </row>
    <row r="9" spans="1:5" ht="14.4" x14ac:dyDescent="0.3">
      <c r="A9" s="355" t="s">
        <v>1631</v>
      </c>
      <c r="B9" s="356">
        <f>[1]PL_CF!U7</f>
        <v>-9904.0159987773768</v>
      </c>
      <c r="C9" s="356">
        <v>-9904.0159987773768</v>
      </c>
      <c r="D9" s="356">
        <v>-11858.015996641687</v>
      </c>
      <c r="E9" s="500"/>
    </row>
    <row r="10" spans="1:5" ht="14.4" x14ac:dyDescent="0.3">
      <c r="A10" s="358" t="s">
        <v>1632</v>
      </c>
      <c r="B10" s="359">
        <f>[1]PL_CF!U8</f>
        <v>118828.84694734331</v>
      </c>
      <c r="C10" s="359">
        <v>118828.84694734331</v>
      </c>
      <c r="D10" s="359">
        <v>115522.33861947905</v>
      </c>
      <c r="E10" s="359">
        <v>141778.23087413987</v>
      </c>
    </row>
    <row r="11" spans="1:5" ht="14.4" x14ac:dyDescent="0.3">
      <c r="A11" s="360" t="s">
        <v>1633</v>
      </c>
      <c r="B11" s="361">
        <f>[1]PL_CF!U9</f>
        <v>0.26020725472139922</v>
      </c>
      <c r="C11" s="361">
        <v>0.26020725472139922</v>
      </c>
      <c r="D11" s="361">
        <v>0.25296677838244874</v>
      </c>
      <c r="E11" s="357">
        <v>0.29539882306454457</v>
      </c>
    </row>
    <row r="12" spans="1:5" ht="14.4" x14ac:dyDescent="0.3">
      <c r="A12" s="362"/>
      <c r="B12" s="356"/>
      <c r="C12" s="356"/>
      <c r="D12" s="356"/>
      <c r="E12" s="357"/>
    </row>
    <row r="13" spans="1:5" ht="14.4" x14ac:dyDescent="0.3">
      <c r="A13" s="355" t="s">
        <v>1634</v>
      </c>
      <c r="B13" s="356">
        <f>[1]PL_CF!U11</f>
        <v>-36689.8908045977</v>
      </c>
      <c r="C13" s="356">
        <v>-36689.8908045977</v>
      </c>
      <c r="D13" s="356">
        <v>-38320.900383141758</v>
      </c>
      <c r="E13" s="357">
        <v>-39942.396551724138</v>
      </c>
    </row>
    <row r="14" spans="1:5" ht="14.4" x14ac:dyDescent="0.3">
      <c r="A14" s="358" t="s">
        <v>1635</v>
      </c>
      <c r="B14" s="359">
        <f>[1]PL_CF!U12</f>
        <v>82138.956142745606</v>
      </c>
      <c r="C14" s="359">
        <v>82138.956142745606</v>
      </c>
      <c r="D14" s="359">
        <v>77201.438236337286</v>
      </c>
      <c r="E14" s="359">
        <v>101835.83432241573</v>
      </c>
    </row>
    <row r="15" spans="1:5" ht="14.4" x14ac:dyDescent="0.3">
      <c r="A15" s="363"/>
      <c r="B15" s="363"/>
      <c r="C15" s="363"/>
      <c r="D15" s="363"/>
      <c r="E15" s="357"/>
    </row>
    <row r="16" spans="1:5" ht="14.4" x14ac:dyDescent="0.3">
      <c r="A16" s="364" t="s">
        <v>1636</v>
      </c>
      <c r="B16" s="365">
        <f>[1]PL_CF!U36</f>
        <v>-1362.4999998011463</v>
      </c>
      <c r="C16" s="365">
        <v>-1362.4999998011463</v>
      </c>
      <c r="D16" s="365">
        <v>-1882.3397704268746</v>
      </c>
      <c r="E16" s="357">
        <v>0</v>
      </c>
    </row>
    <row r="17" spans="1:5" ht="14.4" x14ac:dyDescent="0.3">
      <c r="A17" s="358" t="s">
        <v>1637</v>
      </c>
      <c r="B17" s="359">
        <f>[1]PL_CF!U16</f>
        <v>80776.456142944546</v>
      </c>
      <c r="C17" s="359">
        <v>80776.456142944546</v>
      </c>
      <c r="D17" s="359">
        <v>75319.098465910458</v>
      </c>
      <c r="E17" s="359">
        <v>101835.83432241561</v>
      </c>
    </row>
    <row r="18" spans="1:5" ht="14.4" x14ac:dyDescent="0.3">
      <c r="A18" s="355"/>
      <c r="B18" s="356"/>
      <c r="C18" s="356"/>
      <c r="D18" s="356"/>
      <c r="E18" s="357"/>
    </row>
    <row r="19" spans="1:5" ht="14.4" x14ac:dyDescent="0.3">
      <c r="A19" s="355" t="s">
        <v>1638</v>
      </c>
      <c r="B19" s="356">
        <f>[1]PL_CF!U18</f>
        <v>-19335.616206673203</v>
      </c>
      <c r="C19" s="356">
        <v>-19335.616206673203</v>
      </c>
      <c r="D19" s="356">
        <v>-18264.390256322746</v>
      </c>
      <c r="E19" s="357">
        <v>-22397.514967931398</v>
      </c>
    </row>
    <row r="20" spans="1:5" ht="15.75" customHeight="1" x14ac:dyDescent="0.3">
      <c r="A20" s="358" t="s">
        <v>1639</v>
      </c>
      <c r="B20" s="359">
        <f>[1]PL_CF!U20</f>
        <v>61440.839936271346</v>
      </c>
      <c r="C20" s="359">
        <v>61440.839936271346</v>
      </c>
      <c r="D20" s="359">
        <v>57054.708209587712</v>
      </c>
      <c r="E20" s="359">
        <v>79438.319354484207</v>
      </c>
    </row>
    <row r="21" spans="1:5" ht="15.75" customHeight="1" x14ac:dyDescent="0.3">
      <c r="A21" s="360" t="s">
        <v>1640</v>
      </c>
      <c r="B21" s="366">
        <f>[1]PL_CF!U21</f>
        <v>0.13454100328583141</v>
      </c>
      <c r="C21" s="366">
        <v>0.13454100328583141</v>
      </c>
      <c r="D21" s="366">
        <v>0.12493640537239273</v>
      </c>
      <c r="E21" s="366">
        <v>0.1655119117995725</v>
      </c>
    </row>
    <row r="22" spans="1:5" ht="14.4" x14ac:dyDescent="0.3">
      <c r="A22" s="367" t="s">
        <v>1641</v>
      </c>
      <c r="B22" s="368">
        <f>[1]PL_CF!U25</f>
        <v>-24220.339255890842</v>
      </c>
      <c r="C22" s="368">
        <v>-24220.339255890842</v>
      </c>
      <c r="D22" s="368">
        <v>-23197.759812113076</v>
      </c>
      <c r="E22" s="368">
        <v>-28382.738895888615</v>
      </c>
    </row>
    <row r="23" spans="1:5" ht="15.75" customHeight="1" x14ac:dyDescent="0.3">
      <c r="A23" s="360"/>
      <c r="B23" s="369"/>
      <c r="C23" s="370"/>
      <c r="E23" s="371"/>
    </row>
    <row r="24" spans="1:5" ht="15.75" customHeight="1" x14ac:dyDescent="0.3">
      <c r="A24" s="355" t="s">
        <v>1642</v>
      </c>
      <c r="B24" s="356"/>
      <c r="C24" s="372"/>
      <c r="E24" s="371"/>
    </row>
    <row r="25" spans="1:5" ht="15.75" customHeight="1" x14ac:dyDescent="0.3">
      <c r="A25" s="355" t="s">
        <v>1643</v>
      </c>
      <c r="B25" s="356"/>
      <c r="C25" s="372"/>
    </row>
    <row r="26" spans="1:5" ht="15.75" customHeight="1" x14ac:dyDescent="0.3">
      <c r="A26" s="360" t="s">
        <v>1644</v>
      </c>
      <c r="B26" s="373"/>
      <c r="C26" s="374"/>
    </row>
    <row r="27" spans="1:5" ht="15.75" customHeight="1" x14ac:dyDescent="0.3">
      <c r="A27" s="355" t="s">
        <v>1645</v>
      </c>
      <c r="B27" s="356"/>
      <c r="C27" s="372"/>
    </row>
    <row r="28" spans="1:5" ht="15.75" customHeight="1" x14ac:dyDescent="0.3">
      <c r="A28" s="355" t="s">
        <v>1646</v>
      </c>
      <c r="B28" s="356"/>
      <c r="C28" s="372"/>
    </row>
    <row r="29" spans="1:5" ht="15.75" customHeight="1" x14ac:dyDescent="0.3">
      <c r="A29" s="355"/>
      <c r="B29" s="356"/>
      <c r="C29" s="372"/>
    </row>
    <row r="30" spans="1:5" ht="15.75" customHeight="1" x14ac:dyDescent="0.3">
      <c r="A30" s="355" t="s">
        <v>1647</v>
      </c>
      <c r="B30" s="375"/>
      <c r="C30" s="376"/>
    </row>
    <row r="31" spans="1:5" ht="15.75" customHeight="1" x14ac:dyDescent="0.3">
      <c r="A31" s="358" t="s">
        <v>1648</v>
      </c>
      <c r="B31" s="359"/>
      <c r="C31" s="377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35"/>
  <sheetViews>
    <sheetView zoomScale="90" zoomScaleNormal="90" zoomScaleSheetLayoutView="100" workbookViewId="0">
      <pane ySplit="2" topLeftCell="A30" activePane="bottomLeft" state="frozen"/>
      <selection pane="bottomLeft" activeCell="H7" sqref="H7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11.21875" customWidth="1"/>
  </cols>
  <sheetData>
    <row r="1" spans="1:10" s="1" customFormat="1" ht="21.75" customHeight="1" x14ac:dyDescent="0.3">
      <c r="A1" s="506" t="s">
        <v>200</v>
      </c>
      <c r="B1" s="506" t="s">
        <v>227</v>
      </c>
      <c r="C1" s="506" t="s">
        <v>411</v>
      </c>
      <c r="D1" s="506" t="s">
        <v>202</v>
      </c>
      <c r="E1" s="480" t="s">
        <v>412</v>
      </c>
      <c r="F1" s="507" t="s">
        <v>438</v>
      </c>
      <c r="G1" s="480" t="s">
        <v>409</v>
      </c>
    </row>
    <row r="2" spans="1:10" ht="36" customHeight="1" x14ac:dyDescent="0.3">
      <c r="A2" s="506"/>
      <c r="B2" s="506"/>
      <c r="C2" s="506"/>
      <c r="D2" s="506"/>
      <c r="E2" s="482"/>
      <c r="F2" s="508"/>
      <c r="G2" s="482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14.55" customHeight="1" x14ac:dyDescent="0.3">
      <c r="A4" s="478" t="s">
        <v>207</v>
      </c>
      <c r="B4" s="505"/>
      <c r="C4" s="120"/>
      <c r="D4" s="120"/>
      <c r="E4" s="121"/>
      <c r="F4" s="120"/>
      <c r="G4" s="120"/>
      <c r="J4" s="382"/>
    </row>
    <row r="5" spans="1:10" x14ac:dyDescent="0.3">
      <c r="A5" s="107">
        <v>1</v>
      </c>
      <c r="B5" s="95" t="s">
        <v>429</v>
      </c>
      <c r="C5" s="107" t="s">
        <v>193</v>
      </c>
      <c r="D5" s="110">
        <v>7955.76</v>
      </c>
      <c r="E5" s="110">
        <v>6648.4892339999997</v>
      </c>
      <c r="F5" s="102">
        <f>ROUND(E5*D5,2)</f>
        <v>52893784.710000001</v>
      </c>
      <c r="G5" s="102">
        <f>ROUND(F5*1.2,2)</f>
        <v>63472541.649999999</v>
      </c>
    </row>
    <row r="6" spans="1:10" x14ac:dyDescent="0.3">
      <c r="A6" s="107">
        <f>A5+1</f>
        <v>2</v>
      </c>
      <c r="B6" s="95" t="s">
        <v>428</v>
      </c>
      <c r="C6" s="107" t="s">
        <v>193</v>
      </c>
      <c r="D6" s="110">
        <v>598.14</v>
      </c>
      <c r="E6" s="110">
        <v>1776.3630479999999</v>
      </c>
      <c r="F6" s="102">
        <f>ROUND(E6*D6,2)</f>
        <v>1062513.79</v>
      </c>
      <c r="G6" s="102">
        <f t="shared" ref="G6:G8" si="0">ROUND(F6*1.2,2)</f>
        <v>1275016.55</v>
      </c>
    </row>
    <row r="7" spans="1:10" x14ac:dyDescent="0.3">
      <c r="A7" s="107">
        <f>A6+1</f>
        <v>3</v>
      </c>
      <c r="B7" s="95" t="s">
        <v>430</v>
      </c>
      <c r="C7" s="107" t="s">
        <v>431</v>
      </c>
      <c r="D7" s="110">
        <v>762.75</v>
      </c>
      <c r="E7" s="110">
        <v>418.34637000000004</v>
      </c>
      <c r="F7" s="102">
        <f>ROUND(E7*D7,2)</f>
        <v>319093.69</v>
      </c>
      <c r="G7" s="102">
        <f t="shared" si="0"/>
        <v>382912.43</v>
      </c>
    </row>
    <row r="8" spans="1:10" x14ac:dyDescent="0.3">
      <c r="A8" s="107">
        <f>A7+1</f>
        <v>4</v>
      </c>
      <c r="B8" s="95" t="s">
        <v>707</v>
      </c>
      <c r="C8" s="107" t="s">
        <v>431</v>
      </c>
      <c r="D8" s="110">
        <v>12970.93</v>
      </c>
      <c r="E8" s="110">
        <v>418.34637000000004</v>
      </c>
      <c r="F8" s="102">
        <f>ROUND(E8*D8,2)</f>
        <v>5426341.4800000004</v>
      </c>
      <c r="G8" s="102">
        <f t="shared" si="0"/>
        <v>6511609.7800000003</v>
      </c>
    </row>
    <row r="9" spans="1:10" x14ac:dyDescent="0.3">
      <c r="A9" s="478" t="s">
        <v>708</v>
      </c>
      <c r="B9" s="505"/>
      <c r="C9" s="120"/>
      <c r="D9" s="120"/>
      <c r="E9" s="120"/>
      <c r="F9" s="120"/>
      <c r="G9" s="120"/>
    </row>
    <row r="10" spans="1:10" x14ac:dyDescent="0.3">
      <c r="A10" s="324">
        <f>A8+1</f>
        <v>5</v>
      </c>
      <c r="B10" s="378" t="s">
        <v>425</v>
      </c>
      <c r="C10" s="324" t="s">
        <v>178</v>
      </c>
      <c r="D10" s="379">
        <v>1</v>
      </c>
      <c r="E10" s="110">
        <v>156714.695568</v>
      </c>
      <c r="F10" s="289">
        <f>ROUND(E10*D10,2)</f>
        <v>156714.70000000001</v>
      </c>
      <c r="G10" s="289">
        <f t="shared" ref="G10:G13" si="1">ROUND(F10*1.2,2)</f>
        <v>188057.64</v>
      </c>
    </row>
    <row r="11" spans="1:10" x14ac:dyDescent="0.3">
      <c r="A11" s="324">
        <f>A10+1</f>
        <v>6</v>
      </c>
      <c r="B11" s="378" t="s">
        <v>424</v>
      </c>
      <c r="C11" s="324" t="s">
        <v>194</v>
      </c>
      <c r="D11" s="379">
        <v>809</v>
      </c>
      <c r="E11" s="110">
        <v>2980.6284960000003</v>
      </c>
      <c r="F11" s="289">
        <f>ROUND(E11*D11,2)</f>
        <v>2411328.4500000002</v>
      </c>
      <c r="G11" s="289">
        <f t="shared" si="1"/>
        <v>2893594.14</v>
      </c>
    </row>
    <row r="12" spans="1:10" x14ac:dyDescent="0.3">
      <c r="A12" s="324">
        <f>A11+1</f>
        <v>7</v>
      </c>
      <c r="B12" s="378" t="s">
        <v>424</v>
      </c>
      <c r="C12" s="324" t="s">
        <v>194</v>
      </c>
      <c r="D12" s="379">
        <v>6</v>
      </c>
      <c r="E12" s="110">
        <v>2980.6284960000003</v>
      </c>
      <c r="F12" s="289">
        <f>ROUND(E12*D12,2)</f>
        <v>17883.77</v>
      </c>
      <c r="G12" s="289">
        <f t="shared" ref="G12" si="2">ROUND(F12*1.2,2)</f>
        <v>21460.52</v>
      </c>
      <c r="H12" t="s">
        <v>1327</v>
      </c>
    </row>
    <row r="13" spans="1:10" x14ac:dyDescent="0.3">
      <c r="A13" s="324">
        <f>A12+1</f>
        <v>8</v>
      </c>
      <c r="B13" s="378" t="s">
        <v>426</v>
      </c>
      <c r="C13" s="324" t="s">
        <v>178</v>
      </c>
      <c r="D13" s="379">
        <v>3</v>
      </c>
      <c r="E13" s="110">
        <v>124216.6914</v>
      </c>
      <c r="F13" s="289">
        <f>ROUND(E13*D13,2)</f>
        <v>372650.07</v>
      </c>
      <c r="G13" s="289">
        <f t="shared" si="1"/>
        <v>447180.08</v>
      </c>
    </row>
    <row r="14" spans="1:10" ht="27.6" x14ac:dyDescent="0.3">
      <c r="A14" s="381">
        <f>A13+1</f>
        <v>9</v>
      </c>
      <c r="B14" s="378" t="s">
        <v>1318</v>
      </c>
      <c r="C14" s="324" t="s">
        <v>178</v>
      </c>
      <c r="D14" s="379">
        <v>1</v>
      </c>
      <c r="E14" s="110">
        <v>124216.6914</v>
      </c>
      <c r="F14" s="289">
        <f>ROUND(E14*D14,2)</f>
        <v>124216.69</v>
      </c>
      <c r="G14" s="289">
        <f t="shared" ref="G14" si="3">ROUND(F14*1.2,2)</f>
        <v>149060.03</v>
      </c>
      <c r="H14" s="211" t="s">
        <v>1319</v>
      </c>
    </row>
    <row r="15" spans="1:10" ht="14.55" customHeight="1" x14ac:dyDescent="0.3">
      <c r="A15" s="478" t="s">
        <v>413</v>
      </c>
      <c r="B15" s="505"/>
      <c r="C15" s="120"/>
      <c r="D15" s="120"/>
      <c r="E15" s="120"/>
      <c r="F15" s="120"/>
      <c r="G15" s="120"/>
      <c r="H15" s="210"/>
    </row>
    <row r="16" spans="1:10" x14ac:dyDescent="0.3">
      <c r="A16" s="324">
        <f>A14+1</f>
        <v>10</v>
      </c>
      <c r="B16" s="378" t="s">
        <v>705</v>
      </c>
      <c r="C16" s="324" t="s">
        <v>193</v>
      </c>
      <c r="D16" s="380">
        <v>5327.17</v>
      </c>
      <c r="E16" s="110">
        <v>2139.3589751999998</v>
      </c>
      <c r="F16" s="289">
        <f t="shared" ref="F16:F34" si="4">ROUND(E16*D16,2)</f>
        <v>11396728.949999999</v>
      </c>
      <c r="G16" s="289">
        <f t="shared" ref="G16:G34" si="5">ROUND(F16*1.2,2)</f>
        <v>13676074.74</v>
      </c>
    </row>
    <row r="17" spans="1:8" ht="27.6" x14ac:dyDescent="0.3">
      <c r="A17" s="324">
        <f>A16+1</f>
        <v>11</v>
      </c>
      <c r="B17" s="378" t="s">
        <v>706</v>
      </c>
      <c r="C17" s="324" t="s">
        <v>193</v>
      </c>
      <c r="D17" s="380">
        <v>437.94</v>
      </c>
      <c r="E17" s="110">
        <v>2073.7107756</v>
      </c>
      <c r="F17" s="289">
        <f t="shared" si="4"/>
        <v>908160.9</v>
      </c>
      <c r="G17" s="289">
        <f t="shared" si="5"/>
        <v>1089793.08</v>
      </c>
    </row>
    <row r="18" spans="1:8" ht="41.4" x14ac:dyDescent="0.3">
      <c r="A18" s="324">
        <f t="shared" ref="A18:A34" si="6">A17+1</f>
        <v>12</v>
      </c>
      <c r="B18" s="378" t="s">
        <v>414</v>
      </c>
      <c r="C18" s="324" t="s">
        <v>194</v>
      </c>
      <c r="D18" s="379">
        <v>1211</v>
      </c>
      <c r="E18" s="110">
        <v>3358.2129119999995</v>
      </c>
      <c r="F18" s="289">
        <f t="shared" si="4"/>
        <v>4066795.84</v>
      </c>
      <c r="G18" s="289">
        <f t="shared" si="5"/>
        <v>4880155.01</v>
      </c>
      <c r="H18" s="501"/>
    </row>
    <row r="19" spans="1:8" ht="41.4" x14ac:dyDescent="0.3">
      <c r="A19" s="324">
        <f t="shared" si="6"/>
        <v>13</v>
      </c>
      <c r="B19" s="378" t="s">
        <v>415</v>
      </c>
      <c r="C19" s="324" t="s">
        <v>194</v>
      </c>
      <c r="D19" s="379">
        <v>688</v>
      </c>
      <c r="E19" s="110">
        <v>2269.7972279999994</v>
      </c>
      <c r="F19" s="289">
        <f t="shared" si="4"/>
        <v>1561620.49</v>
      </c>
      <c r="G19" s="289">
        <f t="shared" si="5"/>
        <v>1873944.59</v>
      </c>
      <c r="H19" s="501"/>
    </row>
    <row r="20" spans="1:8" ht="24.75" customHeight="1" x14ac:dyDescent="0.3">
      <c r="A20" s="324">
        <f>A19+1</f>
        <v>14</v>
      </c>
      <c r="B20" s="378" t="s">
        <v>1317</v>
      </c>
      <c r="C20" s="324" t="s">
        <v>220</v>
      </c>
      <c r="D20" s="379">
        <f>266*3</f>
        <v>798</v>
      </c>
      <c r="E20" s="110">
        <v>417.15449999999998</v>
      </c>
      <c r="F20" s="289">
        <f t="shared" si="4"/>
        <v>332889.28999999998</v>
      </c>
      <c r="G20" s="289">
        <f t="shared" ref="G20" si="7">ROUND(F20*1.2,2)</f>
        <v>399467.15</v>
      </c>
      <c r="H20" s="272" t="s">
        <v>1324</v>
      </c>
    </row>
    <row r="21" spans="1:8" ht="41.4" x14ac:dyDescent="0.3">
      <c r="A21" s="324">
        <f>A20+1</f>
        <v>15</v>
      </c>
      <c r="B21" s="378" t="s">
        <v>416</v>
      </c>
      <c r="C21" s="324" t="s">
        <v>194</v>
      </c>
      <c r="D21" s="380">
        <v>31.12</v>
      </c>
      <c r="E21" s="110">
        <v>3358.2129119999995</v>
      </c>
      <c r="F21" s="289">
        <f t="shared" si="4"/>
        <v>104507.59</v>
      </c>
      <c r="G21" s="289">
        <f t="shared" si="5"/>
        <v>125409.11</v>
      </c>
      <c r="H21" s="250"/>
    </row>
    <row r="22" spans="1:8" ht="41.4" x14ac:dyDescent="0.3">
      <c r="A22" s="324">
        <f>A21+1</f>
        <v>16</v>
      </c>
      <c r="B22" s="378" t="s">
        <v>416</v>
      </c>
      <c r="C22" s="324" t="s">
        <v>194</v>
      </c>
      <c r="D22" s="380">
        <v>31.12</v>
      </c>
      <c r="E22" s="110">
        <v>3358.2129119999995</v>
      </c>
      <c r="F22" s="289">
        <f t="shared" si="4"/>
        <v>104507.59</v>
      </c>
      <c r="G22" s="289">
        <f t="shared" ref="G22:G23" si="8">ROUND(F22*1.2,2)</f>
        <v>125409.11</v>
      </c>
      <c r="H22" s="211" t="s">
        <v>1320</v>
      </c>
    </row>
    <row r="23" spans="1:8" ht="41.4" x14ac:dyDescent="0.3">
      <c r="A23" s="324">
        <f t="shared" si="6"/>
        <v>17</v>
      </c>
      <c r="B23" s="378" t="s">
        <v>415</v>
      </c>
      <c r="C23" s="324" t="s">
        <v>194</v>
      </c>
      <c r="D23" s="379">
        <v>25</v>
      </c>
      <c r="E23" s="110">
        <v>2269.7972279999994</v>
      </c>
      <c r="F23" s="289">
        <f t="shared" si="4"/>
        <v>56744.93</v>
      </c>
      <c r="G23" s="289">
        <f t="shared" si="8"/>
        <v>68093.919999999998</v>
      </c>
      <c r="H23" s="211" t="s">
        <v>1325</v>
      </c>
    </row>
    <row r="24" spans="1:8" ht="41.4" x14ac:dyDescent="0.3">
      <c r="A24" s="324">
        <f t="shared" si="6"/>
        <v>18</v>
      </c>
      <c r="B24" s="378" t="s">
        <v>415</v>
      </c>
      <c r="C24" s="324" t="s">
        <v>194</v>
      </c>
      <c r="D24" s="379">
        <v>25</v>
      </c>
      <c r="E24" s="110">
        <v>2269.7972279999994</v>
      </c>
      <c r="F24" s="289">
        <f t="shared" si="4"/>
        <v>56744.93</v>
      </c>
      <c r="G24" s="289">
        <f t="shared" ref="G24" si="9">ROUND(F24*1.2,2)</f>
        <v>68093.919999999998</v>
      </c>
      <c r="H24" s="211" t="s">
        <v>1328</v>
      </c>
    </row>
    <row r="25" spans="1:8" ht="27.6" x14ac:dyDescent="0.3">
      <c r="A25" s="324">
        <f>A21+1</f>
        <v>16</v>
      </c>
      <c r="B25" s="378" t="s">
        <v>417</v>
      </c>
      <c r="C25" s="324" t="s">
        <v>194</v>
      </c>
      <c r="D25" s="380">
        <f>9*4</f>
        <v>36</v>
      </c>
      <c r="E25" s="110">
        <v>2269.7972279999994</v>
      </c>
      <c r="F25" s="289">
        <f t="shared" si="4"/>
        <v>81712.7</v>
      </c>
      <c r="G25" s="289">
        <f t="shared" si="5"/>
        <v>98055.24</v>
      </c>
      <c r="H25" s="210"/>
    </row>
    <row r="26" spans="1:8" ht="48" customHeight="1" x14ac:dyDescent="0.3">
      <c r="A26" s="324">
        <f t="shared" si="6"/>
        <v>17</v>
      </c>
      <c r="B26" s="378" t="s">
        <v>710</v>
      </c>
      <c r="C26" s="324" t="s">
        <v>195</v>
      </c>
      <c r="D26" s="379">
        <v>1</v>
      </c>
      <c r="E26" s="110">
        <v>270959.72579999996</v>
      </c>
      <c r="F26" s="289">
        <f t="shared" si="4"/>
        <v>270959.73</v>
      </c>
      <c r="G26" s="289">
        <f t="shared" si="5"/>
        <v>325151.68</v>
      </c>
    </row>
    <row r="27" spans="1:8" ht="48" customHeight="1" x14ac:dyDescent="0.3">
      <c r="A27" s="324">
        <f t="shared" si="6"/>
        <v>18</v>
      </c>
      <c r="B27" s="378" t="s">
        <v>709</v>
      </c>
      <c r="C27" s="324" t="s">
        <v>193</v>
      </c>
      <c r="D27" s="379">
        <v>796</v>
      </c>
      <c r="E27" s="110">
        <v>418.34637000000004</v>
      </c>
      <c r="F27" s="289">
        <f t="shared" si="4"/>
        <v>333003.71000000002</v>
      </c>
      <c r="G27" s="289">
        <f t="shared" si="5"/>
        <v>399604.45</v>
      </c>
    </row>
    <row r="28" spans="1:8" ht="41.4" x14ac:dyDescent="0.3">
      <c r="A28" s="324">
        <f t="shared" si="6"/>
        <v>19</v>
      </c>
      <c r="B28" s="378" t="s">
        <v>418</v>
      </c>
      <c r="C28" s="324" t="s">
        <v>195</v>
      </c>
      <c r="D28" s="379">
        <v>2</v>
      </c>
      <c r="E28" s="110">
        <v>308932.70400000003</v>
      </c>
      <c r="F28" s="289">
        <f t="shared" si="4"/>
        <v>617865.41</v>
      </c>
      <c r="G28" s="289">
        <f t="shared" si="5"/>
        <v>741438.49</v>
      </c>
    </row>
    <row r="29" spans="1:8" ht="41.4" x14ac:dyDescent="0.3">
      <c r="A29" s="324">
        <f t="shared" si="6"/>
        <v>20</v>
      </c>
      <c r="B29" s="378" t="s">
        <v>419</v>
      </c>
      <c r="C29" s="324" t="s">
        <v>195</v>
      </c>
      <c r="D29" s="379">
        <v>1</v>
      </c>
      <c r="E29" s="110">
        <v>308932.70400000003</v>
      </c>
      <c r="F29" s="289">
        <f t="shared" si="4"/>
        <v>308932.7</v>
      </c>
      <c r="G29" s="289">
        <f t="shared" si="5"/>
        <v>370719.24</v>
      </c>
    </row>
    <row r="30" spans="1:8" ht="41.4" x14ac:dyDescent="0.3">
      <c r="A30" s="324">
        <f t="shared" si="6"/>
        <v>21</v>
      </c>
      <c r="B30" s="378" t="s">
        <v>420</v>
      </c>
      <c r="C30" s="324" t="s">
        <v>195</v>
      </c>
      <c r="D30" s="379">
        <v>2</v>
      </c>
      <c r="E30" s="110">
        <v>248496.313536</v>
      </c>
      <c r="F30" s="289">
        <f t="shared" si="4"/>
        <v>496992.63</v>
      </c>
      <c r="G30" s="289">
        <f t="shared" si="5"/>
        <v>596391.16</v>
      </c>
    </row>
    <row r="31" spans="1:8" ht="41.4" x14ac:dyDescent="0.3">
      <c r="A31" s="324">
        <f t="shared" si="6"/>
        <v>22</v>
      </c>
      <c r="B31" s="378" t="s">
        <v>421</v>
      </c>
      <c r="C31" s="324" t="s">
        <v>195</v>
      </c>
      <c r="D31" s="379">
        <v>1</v>
      </c>
      <c r="E31" s="110">
        <v>248496.313536</v>
      </c>
      <c r="F31" s="289">
        <f t="shared" si="4"/>
        <v>248496.31</v>
      </c>
      <c r="G31" s="289">
        <f t="shared" si="5"/>
        <v>298195.57</v>
      </c>
    </row>
    <row r="32" spans="1:8" ht="41.4" x14ac:dyDescent="0.3">
      <c r="A32" s="324">
        <f t="shared" si="6"/>
        <v>23</v>
      </c>
      <c r="B32" s="378" t="s">
        <v>422</v>
      </c>
      <c r="C32" s="324" t="s">
        <v>195</v>
      </c>
      <c r="D32" s="379">
        <v>3</v>
      </c>
      <c r="E32" s="110">
        <v>248496.313536</v>
      </c>
      <c r="F32" s="289">
        <f t="shared" si="4"/>
        <v>745488.94</v>
      </c>
      <c r="G32" s="289">
        <f t="shared" si="5"/>
        <v>894586.73</v>
      </c>
    </row>
    <row r="33" spans="1:7" x14ac:dyDescent="0.3">
      <c r="A33" s="324">
        <f>A32+1</f>
        <v>24</v>
      </c>
      <c r="B33" s="378" t="s">
        <v>124</v>
      </c>
      <c r="C33" s="324" t="s">
        <v>178</v>
      </c>
      <c r="D33" s="379">
        <v>4</v>
      </c>
      <c r="E33" s="110">
        <v>114419.52</v>
      </c>
      <c r="F33" s="289">
        <f t="shared" si="4"/>
        <v>457678.08000000002</v>
      </c>
      <c r="G33" s="289">
        <f t="shared" si="5"/>
        <v>549213.69999999995</v>
      </c>
    </row>
    <row r="34" spans="1:7" x14ac:dyDescent="0.3">
      <c r="A34" s="324">
        <f t="shared" si="6"/>
        <v>25</v>
      </c>
      <c r="B34" s="378" t="s">
        <v>423</v>
      </c>
      <c r="C34" s="324" t="s">
        <v>194</v>
      </c>
      <c r="D34" s="379">
        <v>28</v>
      </c>
      <c r="E34" s="110">
        <v>6007.0248000000001</v>
      </c>
      <c r="F34" s="289">
        <f t="shared" si="4"/>
        <v>168196.69</v>
      </c>
      <c r="G34" s="289">
        <f t="shared" si="5"/>
        <v>201836.03</v>
      </c>
    </row>
    <row r="35" spans="1:7" x14ac:dyDescent="0.3">
      <c r="A35" s="100"/>
      <c r="B35" s="502" t="s">
        <v>716</v>
      </c>
      <c r="C35" s="503"/>
      <c r="D35" s="503"/>
      <c r="E35" s="504"/>
      <c r="F35" s="111">
        <f>SUM(F5:F34)</f>
        <v>85102554.760000035</v>
      </c>
      <c r="G35" s="319">
        <f>SUM(G5:G34)</f>
        <v>102123065.73999999</v>
      </c>
    </row>
  </sheetData>
  <mergeCells count="12"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33"/>
  <sheetViews>
    <sheetView zoomScale="85" zoomScaleNormal="85" zoomScaleSheetLayoutView="85" workbookViewId="0">
      <pane ySplit="2" topLeftCell="A3" activePane="bottomLeft" state="frozen"/>
      <selection pane="bottomLeft" activeCell="L6" sqref="I1:L6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</cols>
  <sheetData>
    <row r="1" spans="1:10" ht="28.95" customHeight="1" x14ac:dyDescent="0.3">
      <c r="A1" s="509" t="s">
        <v>226</v>
      </c>
      <c r="B1" s="480" t="s">
        <v>201</v>
      </c>
      <c r="C1" s="511" t="s">
        <v>700</v>
      </c>
      <c r="D1" s="511" t="s">
        <v>202</v>
      </c>
      <c r="E1" s="513" t="s">
        <v>699</v>
      </c>
      <c r="F1" s="509" t="s">
        <v>197</v>
      </c>
      <c r="G1" s="509" t="s">
        <v>199</v>
      </c>
    </row>
    <row r="2" spans="1:10" s="54" customFormat="1" ht="20.7" customHeight="1" x14ac:dyDescent="0.3">
      <c r="A2" s="510"/>
      <c r="B2" s="482"/>
      <c r="C2" s="512"/>
      <c r="D2" s="512"/>
      <c r="E2" s="514"/>
      <c r="F2" s="510"/>
      <c r="G2" s="510"/>
      <c r="I2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417">
        <v>1</v>
      </c>
      <c r="B4" s="418" t="s">
        <v>161</v>
      </c>
      <c r="C4" s="419" t="s">
        <v>193</v>
      </c>
      <c r="D4" s="419">
        <v>598.14</v>
      </c>
      <c r="E4" s="316">
        <v>1396.1632041</v>
      </c>
      <c r="F4" s="289">
        <f t="shared" ref="F4:F29" si="0">ROUND(E4*D4,2)</f>
        <v>835101.06</v>
      </c>
      <c r="G4" s="289">
        <f>ROUND(F4*1.2,2)</f>
        <v>1002121.27</v>
      </c>
      <c r="J4" s="382"/>
    </row>
    <row r="5" spans="1:10" x14ac:dyDescent="0.3">
      <c r="A5" s="417">
        <f>A4+1</f>
        <v>2</v>
      </c>
      <c r="B5" s="418" t="s">
        <v>179</v>
      </c>
      <c r="C5" s="419" t="s">
        <v>193</v>
      </c>
      <c r="D5" s="420">
        <f>6232.7889+504.9</f>
        <v>6737.6888999999992</v>
      </c>
      <c r="E5" s="316">
        <v>5692.0717958999994</v>
      </c>
      <c r="F5" s="289">
        <f t="shared" si="0"/>
        <v>38351408.960000001</v>
      </c>
      <c r="G5" s="289">
        <f t="shared" ref="G5:G27" si="1">ROUND(F5*1.2,2)</f>
        <v>46021690.75</v>
      </c>
    </row>
    <row r="6" spans="1:10" x14ac:dyDescent="0.3">
      <c r="A6" s="417">
        <f>A5+1</f>
        <v>3</v>
      </c>
      <c r="B6" s="418" t="s">
        <v>180</v>
      </c>
      <c r="C6" s="419" t="s">
        <v>431</v>
      </c>
      <c r="D6" s="421">
        <v>6000</v>
      </c>
      <c r="E6" s="316">
        <v>197.60710410000002</v>
      </c>
      <c r="F6" s="289">
        <f t="shared" si="0"/>
        <v>1185642.6200000001</v>
      </c>
      <c r="G6" s="289">
        <f t="shared" si="1"/>
        <v>1422771.14</v>
      </c>
    </row>
    <row r="7" spans="1:10" x14ac:dyDescent="0.3">
      <c r="A7" s="417">
        <f t="shared" ref="A7:A29" si="2">A6+1</f>
        <v>4</v>
      </c>
      <c r="B7" s="418" t="s">
        <v>181</v>
      </c>
      <c r="C7" s="419" t="s">
        <v>194</v>
      </c>
      <c r="D7" s="316">
        <v>36</v>
      </c>
      <c r="E7" s="316">
        <v>17720.587500000001</v>
      </c>
      <c r="F7" s="289">
        <f t="shared" si="0"/>
        <v>637941.15</v>
      </c>
      <c r="G7" s="289">
        <f t="shared" si="1"/>
        <v>765529.38</v>
      </c>
      <c r="H7" s="210"/>
      <c r="I7" s="422"/>
    </row>
    <row r="8" spans="1:10" ht="27.6" x14ac:dyDescent="0.3">
      <c r="A8" s="417">
        <f>A7+1</f>
        <v>5</v>
      </c>
      <c r="B8" s="418" t="s">
        <v>182</v>
      </c>
      <c r="C8" s="419" t="s">
        <v>194</v>
      </c>
      <c r="D8" s="421">
        <v>1211</v>
      </c>
      <c r="E8" s="316">
        <v>34058.973170186997</v>
      </c>
      <c r="F8" s="289">
        <f t="shared" si="0"/>
        <v>41245416.509999998</v>
      </c>
      <c r="G8" s="289">
        <f t="shared" si="1"/>
        <v>49494499.810000002</v>
      </c>
      <c r="H8" s="501"/>
    </row>
    <row r="9" spans="1:10" ht="27.6" x14ac:dyDescent="0.3">
      <c r="A9" s="417">
        <f t="shared" si="2"/>
        <v>6</v>
      </c>
      <c r="B9" s="418" t="s">
        <v>183</v>
      </c>
      <c r="C9" s="419" t="s">
        <v>194</v>
      </c>
      <c r="D9" s="421">
        <v>688</v>
      </c>
      <c r="E9" s="316">
        <v>38453.670879812998</v>
      </c>
      <c r="F9" s="289">
        <f t="shared" si="0"/>
        <v>26456125.57</v>
      </c>
      <c r="G9" s="289">
        <f t="shared" si="1"/>
        <v>31747350.68</v>
      </c>
      <c r="H9" s="501"/>
    </row>
    <row r="10" spans="1:10" x14ac:dyDescent="0.3">
      <c r="A10" s="417">
        <f t="shared" si="2"/>
        <v>7</v>
      </c>
      <c r="B10" s="418" t="s">
        <v>701</v>
      </c>
      <c r="C10" s="419" t="s">
        <v>178</v>
      </c>
      <c r="D10" s="421">
        <f>620*6</f>
        <v>3720</v>
      </c>
      <c r="E10" s="316">
        <v>214.79929589999998</v>
      </c>
      <c r="F10" s="289">
        <f t="shared" si="0"/>
        <v>799053.38</v>
      </c>
      <c r="G10" s="289">
        <f t="shared" si="1"/>
        <v>958864.06</v>
      </c>
    </row>
    <row r="11" spans="1:10" x14ac:dyDescent="0.3">
      <c r="A11" s="417">
        <f t="shared" si="2"/>
        <v>8</v>
      </c>
      <c r="B11" s="418" t="s">
        <v>702</v>
      </c>
      <c r="C11" s="419" t="s">
        <v>178</v>
      </c>
      <c r="D11" s="421">
        <v>620</v>
      </c>
      <c r="E11" s="316">
        <v>6273.0879750000004</v>
      </c>
      <c r="F11" s="289">
        <f t="shared" si="0"/>
        <v>3889314.54</v>
      </c>
      <c r="G11" s="289">
        <f t="shared" si="1"/>
        <v>4667177.45</v>
      </c>
      <c r="H11" s="210"/>
    </row>
    <row r="12" spans="1:10" ht="27.6" x14ac:dyDescent="0.3">
      <c r="A12" s="417">
        <f t="shared" si="2"/>
        <v>9</v>
      </c>
      <c r="B12" s="418" t="s">
        <v>184</v>
      </c>
      <c r="C12" s="419" t="s">
        <v>194</v>
      </c>
      <c r="D12" s="419">
        <f>6*12.5/2</f>
        <v>37.5</v>
      </c>
      <c r="E12" s="316">
        <v>32960.292750000001</v>
      </c>
      <c r="F12" s="289">
        <f t="shared" si="0"/>
        <v>1236010.98</v>
      </c>
      <c r="G12" s="289">
        <f t="shared" si="1"/>
        <v>1483213.18</v>
      </c>
      <c r="H12" s="250"/>
    </row>
    <row r="13" spans="1:10" ht="27.6" x14ac:dyDescent="0.3">
      <c r="A13" s="417">
        <f t="shared" si="2"/>
        <v>10</v>
      </c>
      <c r="B13" s="418" t="s">
        <v>184</v>
      </c>
      <c r="C13" s="419" t="s">
        <v>194</v>
      </c>
      <c r="D13" s="419">
        <f>6*12.5/2</f>
        <v>37.5</v>
      </c>
      <c r="E13" s="316">
        <v>32960.292750000001</v>
      </c>
      <c r="F13" s="289">
        <f t="shared" si="0"/>
        <v>1236010.98</v>
      </c>
      <c r="G13" s="289">
        <f t="shared" ref="G13:G14" si="3">ROUND(F13*1.2,2)</f>
        <v>1483213.18</v>
      </c>
      <c r="H13" s="211" t="s">
        <v>1323</v>
      </c>
    </row>
    <row r="14" spans="1:10" ht="27.6" x14ac:dyDescent="0.3">
      <c r="A14" s="417">
        <f t="shared" si="2"/>
        <v>11</v>
      </c>
      <c r="B14" s="418" t="s">
        <v>183</v>
      </c>
      <c r="C14" s="419" t="s">
        <v>194</v>
      </c>
      <c r="D14" s="421">
        <v>25</v>
      </c>
      <c r="E14" s="316">
        <v>38453.670879812998</v>
      </c>
      <c r="F14" s="289">
        <f t="shared" si="0"/>
        <v>961341.77</v>
      </c>
      <c r="G14" s="289">
        <f t="shared" si="3"/>
        <v>1153610.1200000001</v>
      </c>
      <c r="H14" s="211" t="s">
        <v>1326</v>
      </c>
    </row>
    <row r="15" spans="1:10" x14ac:dyDescent="0.3">
      <c r="A15" s="417">
        <f>A12+1</f>
        <v>10</v>
      </c>
      <c r="B15" s="418" t="s">
        <v>703</v>
      </c>
      <c r="C15" s="419" t="s">
        <v>178</v>
      </c>
      <c r="D15" s="419">
        <f>14*6</f>
        <v>84</v>
      </c>
      <c r="E15" s="316">
        <v>154.6524</v>
      </c>
      <c r="F15" s="289">
        <f t="shared" si="0"/>
        <v>12990.8</v>
      </c>
      <c r="G15" s="289">
        <f t="shared" si="1"/>
        <v>15588.96</v>
      </c>
      <c r="H15" s="501"/>
    </row>
    <row r="16" spans="1:10" x14ac:dyDescent="0.3">
      <c r="A16" s="417">
        <f t="shared" si="2"/>
        <v>11</v>
      </c>
      <c r="B16" s="418" t="s">
        <v>704</v>
      </c>
      <c r="C16" s="419" t="s">
        <v>178</v>
      </c>
      <c r="D16" s="419">
        <v>14</v>
      </c>
      <c r="E16" s="316">
        <v>6209.7191541000002</v>
      </c>
      <c r="F16" s="289">
        <f t="shared" si="0"/>
        <v>86936.07</v>
      </c>
      <c r="G16" s="289">
        <f t="shared" si="1"/>
        <v>104323.28</v>
      </c>
      <c r="H16" s="501"/>
    </row>
    <row r="17" spans="1:8" ht="27.6" x14ac:dyDescent="0.3">
      <c r="A17" s="417">
        <f t="shared" si="2"/>
        <v>12</v>
      </c>
      <c r="B17" s="418" t="s">
        <v>185</v>
      </c>
      <c r="C17" s="419" t="s">
        <v>195</v>
      </c>
      <c r="D17" s="421">
        <v>1</v>
      </c>
      <c r="E17" s="316">
        <v>1610962.5</v>
      </c>
      <c r="F17" s="289">
        <f t="shared" si="0"/>
        <v>1610962.5</v>
      </c>
      <c r="G17" s="289">
        <f t="shared" si="1"/>
        <v>1933155</v>
      </c>
    </row>
    <row r="18" spans="1:8" x14ac:dyDescent="0.3">
      <c r="A18" s="417">
        <f t="shared" si="2"/>
        <v>13</v>
      </c>
      <c r="B18" s="418" t="s">
        <v>1245</v>
      </c>
      <c r="C18" s="419" t="s">
        <v>178</v>
      </c>
      <c r="D18" s="421">
        <v>31</v>
      </c>
      <c r="E18" s="316">
        <v>0</v>
      </c>
      <c r="F18" s="289">
        <f t="shared" si="0"/>
        <v>0</v>
      </c>
      <c r="G18" s="289">
        <f t="shared" ref="G18:G19" si="4">ROUND(F18*1.2,2)</f>
        <v>0</v>
      </c>
      <c r="H18" s="501" t="s">
        <v>1619</v>
      </c>
    </row>
    <row r="19" spans="1:8" x14ac:dyDescent="0.3">
      <c r="A19" s="417">
        <f t="shared" si="2"/>
        <v>14</v>
      </c>
      <c r="B19" s="418" t="s">
        <v>1246</v>
      </c>
      <c r="C19" s="419" t="s">
        <v>178</v>
      </c>
      <c r="D19" s="421">
        <v>89</v>
      </c>
      <c r="E19" s="316">
        <v>0</v>
      </c>
      <c r="F19" s="289">
        <f t="shared" si="0"/>
        <v>0</v>
      </c>
      <c r="G19" s="289">
        <f t="shared" si="4"/>
        <v>0</v>
      </c>
      <c r="H19" s="501"/>
    </row>
    <row r="20" spans="1:8" s="57" customFormat="1" ht="27.6" x14ac:dyDescent="0.3">
      <c r="A20" s="417">
        <f t="shared" si="2"/>
        <v>15</v>
      </c>
      <c r="B20" s="418" t="s">
        <v>186</v>
      </c>
      <c r="C20" s="419" t="s">
        <v>195</v>
      </c>
      <c r="D20" s="421">
        <v>2</v>
      </c>
      <c r="E20" s="316">
        <v>5163779.1935048141</v>
      </c>
      <c r="F20" s="289">
        <f t="shared" si="0"/>
        <v>10327558.390000001</v>
      </c>
      <c r="G20" s="289">
        <f t="shared" si="1"/>
        <v>12393070.07</v>
      </c>
      <c r="H20" s="283"/>
    </row>
    <row r="21" spans="1:8" s="57" customFormat="1" ht="27.6" x14ac:dyDescent="0.3">
      <c r="A21" s="417">
        <f t="shared" si="2"/>
        <v>16</v>
      </c>
      <c r="B21" s="418" t="s">
        <v>187</v>
      </c>
      <c r="C21" s="419" t="s">
        <v>195</v>
      </c>
      <c r="D21" s="421">
        <v>1</v>
      </c>
      <c r="E21" s="316">
        <v>5163779.1935048141</v>
      </c>
      <c r="F21" s="289">
        <f t="shared" si="0"/>
        <v>5163779.1900000004</v>
      </c>
      <c r="G21" s="289">
        <f t="shared" si="1"/>
        <v>6196535.0300000003</v>
      </c>
      <c r="H21" s="283"/>
    </row>
    <row r="22" spans="1:8" s="57" customFormat="1" ht="27.6" x14ac:dyDescent="0.3">
      <c r="A22" s="417">
        <f t="shared" si="2"/>
        <v>17</v>
      </c>
      <c r="B22" s="418" t="s">
        <v>189</v>
      </c>
      <c r="C22" s="419" t="s">
        <v>195</v>
      </c>
      <c r="D22" s="421">
        <v>2</v>
      </c>
      <c r="E22" s="316">
        <v>4174970.4110048139</v>
      </c>
      <c r="F22" s="289">
        <f t="shared" si="0"/>
        <v>8349940.8200000003</v>
      </c>
      <c r="G22" s="289">
        <f t="shared" si="1"/>
        <v>10019928.98</v>
      </c>
      <c r="H22" s="283"/>
    </row>
    <row r="23" spans="1:8" s="57" customFormat="1" ht="27.6" x14ac:dyDescent="0.3">
      <c r="A23" s="417">
        <f t="shared" si="2"/>
        <v>18</v>
      </c>
      <c r="B23" s="418" t="s">
        <v>188</v>
      </c>
      <c r="C23" s="419" t="s">
        <v>195</v>
      </c>
      <c r="D23" s="421">
        <v>1</v>
      </c>
      <c r="E23" s="316">
        <v>4174970.4110048139</v>
      </c>
      <c r="F23" s="289">
        <f t="shared" si="0"/>
        <v>4174970.41</v>
      </c>
      <c r="G23" s="289">
        <f t="shared" si="1"/>
        <v>5009964.49</v>
      </c>
      <c r="H23" s="283"/>
    </row>
    <row r="24" spans="1:8" s="57" customFormat="1" ht="27.6" x14ac:dyDescent="0.3">
      <c r="A24" s="417">
        <f t="shared" si="2"/>
        <v>19</v>
      </c>
      <c r="B24" s="418" t="s">
        <v>190</v>
      </c>
      <c r="C24" s="419" t="s">
        <v>195</v>
      </c>
      <c r="D24" s="421">
        <v>3</v>
      </c>
      <c r="E24" s="316">
        <v>2911492.5302451868</v>
      </c>
      <c r="F24" s="289">
        <f t="shared" si="0"/>
        <v>8734477.5899999999</v>
      </c>
      <c r="G24" s="289">
        <f t="shared" si="1"/>
        <v>10481373.109999999</v>
      </c>
    </row>
    <row r="25" spans="1:8" s="57" customFormat="1" ht="19.5" customHeight="1" x14ac:dyDescent="0.3">
      <c r="A25" s="417">
        <f t="shared" si="2"/>
        <v>20</v>
      </c>
      <c r="B25" s="418" t="s">
        <v>1321</v>
      </c>
      <c r="C25" s="419" t="s">
        <v>178</v>
      </c>
      <c r="D25" s="421">
        <v>9</v>
      </c>
      <c r="E25" s="316">
        <v>64425.612300000008</v>
      </c>
      <c r="F25" s="289">
        <f t="shared" si="0"/>
        <v>579830.51</v>
      </c>
      <c r="G25" s="289">
        <f t="shared" si="1"/>
        <v>695796.61</v>
      </c>
      <c r="H25" s="273" t="s">
        <v>1322</v>
      </c>
    </row>
    <row r="26" spans="1:8" x14ac:dyDescent="0.3">
      <c r="A26" s="417">
        <f t="shared" si="2"/>
        <v>21</v>
      </c>
      <c r="B26" s="418" t="s">
        <v>191</v>
      </c>
      <c r="C26" s="419" t="s">
        <v>178</v>
      </c>
      <c r="D26" s="421">
        <v>3</v>
      </c>
      <c r="E26" s="316">
        <v>165392.14570410002</v>
      </c>
      <c r="F26" s="289">
        <f t="shared" si="0"/>
        <v>496176.44</v>
      </c>
      <c r="G26" s="289">
        <f t="shared" si="1"/>
        <v>595411.73</v>
      </c>
    </row>
    <row r="27" spans="1:8" x14ac:dyDescent="0.3">
      <c r="A27" s="417">
        <f t="shared" si="2"/>
        <v>22</v>
      </c>
      <c r="B27" s="418" t="s">
        <v>192</v>
      </c>
      <c r="C27" s="419" t="s">
        <v>178</v>
      </c>
      <c r="D27" s="421">
        <v>1</v>
      </c>
      <c r="E27" s="316">
        <v>85918.004295899998</v>
      </c>
      <c r="F27" s="289">
        <f t="shared" si="0"/>
        <v>85918</v>
      </c>
      <c r="G27" s="289">
        <f t="shared" si="1"/>
        <v>103101.6</v>
      </c>
    </row>
    <row r="28" spans="1:8" x14ac:dyDescent="0.3">
      <c r="A28" s="417">
        <f t="shared" si="2"/>
        <v>23</v>
      </c>
      <c r="B28" s="418" t="s">
        <v>729</v>
      </c>
      <c r="C28" s="419" t="s">
        <v>193</v>
      </c>
      <c r="D28" s="421">
        <v>80</v>
      </c>
      <c r="E28" s="316">
        <v>2037.54537</v>
      </c>
      <c r="F28" s="289">
        <f t="shared" si="0"/>
        <v>163003.63</v>
      </c>
      <c r="G28" s="289">
        <f t="shared" ref="G28" si="5">ROUND(F28*1.2,2)</f>
        <v>195604.36</v>
      </c>
    </row>
    <row r="29" spans="1:8" x14ac:dyDescent="0.3">
      <c r="A29" s="417">
        <f t="shared" si="2"/>
        <v>24</v>
      </c>
      <c r="B29" s="418" t="s">
        <v>714</v>
      </c>
      <c r="C29" s="419" t="s">
        <v>730</v>
      </c>
      <c r="D29" s="421">
        <v>1</v>
      </c>
      <c r="E29" s="316">
        <v>425294.10000000003</v>
      </c>
      <c r="F29" s="289">
        <f t="shared" si="0"/>
        <v>425294.1</v>
      </c>
      <c r="G29" s="289">
        <f t="shared" ref="G29" si="6">ROUND(F29*1.2,2)</f>
        <v>510352.92</v>
      </c>
    </row>
    <row r="30" spans="1:8" s="1" customFormat="1" x14ac:dyDescent="0.3">
      <c r="A30" s="94"/>
      <c r="B30" s="502" t="s">
        <v>716</v>
      </c>
      <c r="C30" s="503"/>
      <c r="D30" s="503"/>
      <c r="E30" s="504"/>
      <c r="F30" s="111">
        <f>SUM(F4:F29)</f>
        <v>157045205.96999997</v>
      </c>
      <c r="G30" s="111">
        <f>SUM(G4:G29)</f>
        <v>188454247.16</v>
      </c>
    </row>
    <row r="33" spans="2:7" x14ac:dyDescent="0.3">
      <c r="B33" s="56"/>
      <c r="G33" s="26"/>
    </row>
  </sheetData>
  <mergeCells count="11">
    <mergeCell ref="H15:H16"/>
    <mergeCell ref="H8:H9"/>
    <mergeCell ref="B30:E30"/>
    <mergeCell ref="A1:A2"/>
    <mergeCell ref="B1:B2"/>
    <mergeCell ref="C1:C2"/>
    <mergeCell ref="D1:D2"/>
    <mergeCell ref="H18:H19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517" t="s">
        <v>200</v>
      </c>
      <c r="B1" s="517" t="s">
        <v>227</v>
      </c>
      <c r="C1" s="517" t="s">
        <v>411</v>
      </c>
      <c r="D1" s="517" t="s">
        <v>202</v>
      </c>
      <c r="E1" s="497" t="s">
        <v>698</v>
      </c>
      <c r="F1" s="497"/>
      <c r="G1" s="497"/>
    </row>
    <row r="2" spans="1:7" ht="26.4" x14ac:dyDescent="0.3">
      <c r="A2" s="517"/>
      <c r="B2" s="517"/>
      <c r="C2" s="517"/>
      <c r="D2" s="517"/>
      <c r="E2" s="91" t="s">
        <v>412</v>
      </c>
      <c r="F2" s="112" t="s">
        <v>438</v>
      </c>
      <c r="G2" s="113" t="s">
        <v>409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4.55" customHeight="1" x14ac:dyDescent="0.3">
      <c r="A4" s="515" t="s">
        <v>708</v>
      </c>
      <c r="B4" s="516"/>
      <c r="C4" s="120"/>
      <c r="D4" s="122"/>
      <c r="E4" s="120"/>
      <c r="F4" s="120"/>
      <c r="G4" s="123"/>
    </row>
    <row r="5" spans="1:7" x14ac:dyDescent="0.3">
      <c r="A5" s="107">
        <v>1</v>
      </c>
      <c r="B5" s="108" t="s">
        <v>425</v>
      </c>
      <c r="C5" s="108" t="s">
        <v>178</v>
      </c>
      <c r="D5" s="118">
        <v>2</v>
      </c>
      <c r="E5" s="97">
        <v>109572</v>
      </c>
      <c r="F5" s="102">
        <f>ROUND(E5*D5,2)</f>
        <v>219144</v>
      </c>
      <c r="G5" s="102">
        <f>ROUND(F5*1.2,2)</f>
        <v>262972.79999999999</v>
      </c>
    </row>
    <row r="6" spans="1:7" x14ac:dyDescent="0.3">
      <c r="A6" s="107">
        <f>A5+1</f>
        <v>2</v>
      </c>
      <c r="B6" s="108" t="s">
        <v>435</v>
      </c>
      <c r="C6" s="108" t="s">
        <v>194</v>
      </c>
      <c r="D6" s="117">
        <v>8.5</v>
      </c>
      <c r="E6" s="97">
        <v>4200</v>
      </c>
      <c r="F6" s="102">
        <f>ROUND(E6*D6,2)</f>
        <v>35700</v>
      </c>
      <c r="G6" s="102">
        <f>ROUND(F6*1.2,2)</f>
        <v>42840</v>
      </c>
    </row>
    <row r="7" spans="1:7" x14ac:dyDescent="0.3">
      <c r="A7" s="107">
        <f>A6+1</f>
        <v>3</v>
      </c>
      <c r="B7" s="108" t="s">
        <v>424</v>
      </c>
      <c r="C7" s="108" t="s">
        <v>194</v>
      </c>
      <c r="D7" s="118">
        <v>110</v>
      </c>
      <c r="E7" s="97">
        <f>ROUND(2315*0.9,2)</f>
        <v>2083.5</v>
      </c>
      <c r="F7" s="102">
        <f>ROUND(E7*D7,2)</f>
        <v>229185</v>
      </c>
      <c r="G7" s="102">
        <f>ROUND(F7*1.2,2)</f>
        <v>275022</v>
      </c>
    </row>
    <row r="8" spans="1:7" ht="14.55" customHeight="1" x14ac:dyDescent="0.3">
      <c r="A8" s="515" t="s">
        <v>207</v>
      </c>
      <c r="B8" s="516"/>
      <c r="C8" s="120"/>
      <c r="D8" s="122"/>
      <c r="E8" s="120"/>
      <c r="F8" s="120"/>
      <c r="G8" s="123"/>
    </row>
    <row r="9" spans="1:7" x14ac:dyDescent="0.3">
      <c r="A9" s="107">
        <f>A7+1</f>
        <v>4</v>
      </c>
      <c r="B9" s="108" t="s">
        <v>428</v>
      </c>
      <c r="C9" s="108" t="s">
        <v>193</v>
      </c>
      <c r="D9" s="116">
        <v>146.52000000000001</v>
      </c>
      <c r="E9" s="97">
        <f>ROUND(1380*0.9,2)</f>
        <v>1242</v>
      </c>
      <c r="F9" s="102">
        <f t="shared" ref="F9:F14" si="0">ROUND(E9*D9,2)</f>
        <v>181977.84</v>
      </c>
      <c r="G9" s="102">
        <f t="shared" ref="G9:G14" si="1">ROUND(F9*1.2,2)</f>
        <v>218373.41</v>
      </c>
    </row>
    <row r="10" spans="1:7" x14ac:dyDescent="0.3">
      <c r="A10" s="107">
        <f>A9+1</f>
        <v>5</v>
      </c>
      <c r="B10" s="108" t="s">
        <v>429</v>
      </c>
      <c r="C10" s="108" t="s">
        <v>193</v>
      </c>
      <c r="D10" s="116">
        <v>704.98</v>
      </c>
      <c r="E10" s="97">
        <f>ROUND(5165*0.9,2)</f>
        <v>4648.5</v>
      </c>
      <c r="F10" s="102">
        <f t="shared" si="0"/>
        <v>3277099.53</v>
      </c>
      <c r="G10" s="102">
        <f t="shared" si="1"/>
        <v>3932519.44</v>
      </c>
    </row>
    <row r="11" spans="1:7" x14ac:dyDescent="0.3">
      <c r="A11" s="107">
        <f t="shared" ref="A11:A14" si="2">A10+1</f>
        <v>6</v>
      </c>
      <c r="B11" s="108" t="s">
        <v>430</v>
      </c>
      <c r="C11" s="108" t="s">
        <v>431</v>
      </c>
      <c r="D11" s="116">
        <v>226</v>
      </c>
      <c r="E11" s="97">
        <f>ROUND(325*0.9,2)</f>
        <v>292.5</v>
      </c>
      <c r="F11" s="102">
        <f t="shared" si="0"/>
        <v>66105</v>
      </c>
      <c r="G11" s="102">
        <f t="shared" si="1"/>
        <v>79326</v>
      </c>
    </row>
    <row r="12" spans="1:7" x14ac:dyDescent="0.3">
      <c r="A12" s="107">
        <f t="shared" si="2"/>
        <v>7</v>
      </c>
      <c r="B12" s="108" t="s">
        <v>432</v>
      </c>
      <c r="C12" s="108" t="s">
        <v>431</v>
      </c>
      <c r="D12" s="116">
        <v>73.2</v>
      </c>
      <c r="E12" s="97">
        <f t="shared" ref="E12:E14" si="3">ROUND(325*0.9,2)</f>
        <v>292.5</v>
      </c>
      <c r="F12" s="102">
        <f t="shared" si="0"/>
        <v>21411</v>
      </c>
      <c r="G12" s="102">
        <f t="shared" si="1"/>
        <v>25693.200000000001</v>
      </c>
    </row>
    <row r="13" spans="1:7" x14ac:dyDescent="0.3">
      <c r="A13" s="107">
        <f t="shared" si="2"/>
        <v>8</v>
      </c>
      <c r="B13" s="108" t="s">
        <v>436</v>
      </c>
      <c r="C13" s="108" t="s">
        <v>431</v>
      </c>
      <c r="D13" s="116">
        <v>861.3</v>
      </c>
      <c r="E13" s="97">
        <f t="shared" si="3"/>
        <v>292.5</v>
      </c>
      <c r="F13" s="102">
        <f t="shared" si="0"/>
        <v>251930.25</v>
      </c>
      <c r="G13" s="102">
        <f t="shared" si="1"/>
        <v>302316.3</v>
      </c>
    </row>
    <row r="14" spans="1:7" x14ac:dyDescent="0.3">
      <c r="A14" s="107">
        <f t="shared" si="2"/>
        <v>9</v>
      </c>
      <c r="B14" s="108" t="s">
        <v>437</v>
      </c>
      <c r="C14" s="108" t="s">
        <v>431</v>
      </c>
      <c r="D14" s="116">
        <v>475.92</v>
      </c>
      <c r="E14" s="97">
        <f t="shared" si="3"/>
        <v>292.5</v>
      </c>
      <c r="F14" s="102">
        <f t="shared" si="0"/>
        <v>139206.6</v>
      </c>
      <c r="G14" s="102">
        <f t="shared" si="1"/>
        <v>167047.92000000001</v>
      </c>
    </row>
    <row r="15" spans="1:7" ht="14.55" customHeight="1" x14ac:dyDescent="0.3">
      <c r="A15" s="515" t="s">
        <v>413</v>
      </c>
      <c r="B15" s="516"/>
      <c r="C15" s="120"/>
      <c r="D15" s="122"/>
      <c r="E15" s="120"/>
      <c r="F15" s="120"/>
      <c r="G15" s="123"/>
    </row>
    <row r="16" spans="1:7" x14ac:dyDescent="0.3">
      <c r="A16" s="107">
        <f>A14+1</f>
        <v>10</v>
      </c>
      <c r="B16" s="108" t="s">
        <v>427</v>
      </c>
      <c r="C16" s="108" t="s">
        <v>193</v>
      </c>
      <c r="D16" s="116">
        <v>549.42999999999995</v>
      </c>
      <c r="E16" s="97">
        <f>ROUND(1610.8*0.9,2)</f>
        <v>1449.72</v>
      </c>
      <c r="F16" s="102">
        <f>ROUND(E16*D16,2)</f>
        <v>796519.66</v>
      </c>
      <c r="G16" s="102">
        <f>ROUND(F16*1.2,2)</f>
        <v>955823.59</v>
      </c>
    </row>
    <row r="17" spans="1:8" ht="41.4" x14ac:dyDescent="0.3">
      <c r="A17" s="107">
        <f>A16+1</f>
        <v>11</v>
      </c>
      <c r="B17" s="108" t="s">
        <v>414</v>
      </c>
      <c r="C17" s="108" t="s">
        <v>194</v>
      </c>
      <c r="D17" s="115">
        <v>284</v>
      </c>
      <c r="E17" s="97">
        <v>2348</v>
      </c>
      <c r="F17" s="102">
        <f>ROUND(E17*D17,2)</f>
        <v>666832</v>
      </c>
      <c r="G17" s="102">
        <f>ROUND(F17*1.2,2)</f>
        <v>800198.4</v>
      </c>
      <c r="H17" s="30"/>
    </row>
    <row r="18" spans="1:8" ht="41.4" x14ac:dyDescent="0.3">
      <c r="A18" s="107">
        <f>A17+1</f>
        <v>12</v>
      </c>
      <c r="B18" s="108" t="s">
        <v>434</v>
      </c>
      <c r="C18" s="108" t="s">
        <v>194</v>
      </c>
      <c r="D18" s="114">
        <v>145.63</v>
      </c>
      <c r="E18" s="97">
        <v>1587</v>
      </c>
      <c r="F18" s="102">
        <f>ROUND(E18*D18,2)</f>
        <v>231114.81</v>
      </c>
      <c r="G18" s="102">
        <f>ROUND(F18*1.2,2)</f>
        <v>277337.77</v>
      </c>
    </row>
    <row r="19" spans="1:8" s="1" customFormat="1" x14ac:dyDescent="0.3">
      <c r="A19" s="100"/>
      <c r="B19" s="502" t="s">
        <v>716</v>
      </c>
      <c r="C19" s="503"/>
      <c r="D19" s="503"/>
      <c r="E19" s="504"/>
      <c r="F19" s="111">
        <f>SUM(F5:F18)</f>
        <v>6116225.6899999985</v>
      </c>
      <c r="G19" s="111">
        <f>SUM(G5:G18)</f>
        <v>7339470.8300000001</v>
      </c>
    </row>
    <row r="20" spans="1:8" x14ac:dyDescent="0.3">
      <c r="A20" s="475" t="s">
        <v>717</v>
      </c>
      <c r="B20" s="476"/>
      <c r="C20" s="476"/>
      <c r="D20" s="476"/>
      <c r="E20" s="477"/>
      <c r="F20" s="212">
        <f>ROUND(F19*0.03,2)</f>
        <v>183486.77</v>
      </c>
      <c r="G20" s="212">
        <f>ROUND(G19*0.03,2)</f>
        <v>220184.12</v>
      </c>
      <c r="H20" s="52"/>
    </row>
    <row r="21" spans="1:8" x14ac:dyDescent="0.3">
      <c r="A21" s="475" t="s">
        <v>718</v>
      </c>
      <c r="B21" s="476"/>
      <c r="C21" s="476"/>
      <c r="D21" s="476"/>
      <c r="E21" s="477"/>
      <c r="F21" s="212">
        <f>F19+F20</f>
        <v>6299712.4599999981</v>
      </c>
      <c r="G21" s="212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Лист1</vt:lpstr>
      <vt:lpstr>Лист2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исключение-свод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2023-09-14T06:39:31Z</dcterms:modified>
</cp:coreProperties>
</file>