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ВМ\Мое\Исключение объемов\"/>
    </mc:Choice>
  </mc:AlternateContent>
  <xr:revisionPtr revIDLastSave="0" documentId="13_ncr:1_{CA1B8486-CC44-4407-8A94-6882EC47B427}" xr6:coauthVersionLast="47" xr6:coauthVersionMax="47" xr10:uidLastSave="{00000000-0000-0000-0000-000000000000}"/>
  <bookViews>
    <workbookView xWindow="28680" yWindow="-120" windowWidth="29040" windowHeight="15840" tabRatio="914" firstSheet="2" activeTab="11" xr2:uid="{00000000-000D-0000-FFFF-FFFF00000000}"/>
  </bookViews>
  <sheets>
    <sheet name="Лист1" sheetId="1" state="hidden" r:id="rId1"/>
    <sheet name="Лист2" sheetId="2" state="hidden" r:id="rId2"/>
    <sheet name="СМР трнсбрдр (2)" sheetId="24" r:id="rId3"/>
    <sheet name="мат трнсбрдр (2)" sheetId="25" r:id="rId4"/>
    <sheet name="Свод" sheetId="13" state="hidden" r:id="rId5"/>
    <sheet name="Результат" sheetId="26" state="hidden" r:id="rId6"/>
    <sheet name="СМР 417 путь" sheetId="8" r:id="rId7"/>
    <sheet name="мат 417 путь" sheetId="3" r:id="rId8"/>
    <sheet name="СМР 217 путь" sheetId="9" state="hidden" r:id="rId9"/>
    <sheet name="мат 217 путь" sheetId="4" state="hidden" r:id="rId10"/>
    <sheet name="СМР комм-ции 417" sheetId="12" r:id="rId11"/>
    <sheet name="мат комм-ции 417" sheetId="7" r:id="rId12"/>
    <sheet name="искл-свод" sheetId="27" r:id="rId13"/>
    <sheet name="СМР комм-ции 217 " sheetId="14" state="hidden" r:id="rId14"/>
    <sheet name="мат комм-ции 217" sheetId="15" state="hidden" r:id="rId15"/>
    <sheet name="СМР жд 8 цех" sheetId="10" state="hidden" r:id="rId16"/>
    <sheet name="мат 8 цех" sheetId="5" state="hidden" r:id="rId17"/>
    <sheet name="СМР трнсбрдр" sheetId="11" state="hidden" r:id="rId18"/>
    <sheet name="мат трнсбрдр" sheetId="6" state="hidden" r:id="rId19"/>
    <sheet name="СМР ГСН" sheetId="16" r:id="rId20"/>
    <sheet name="мат ГСН" sheetId="17" r:id="rId21"/>
    <sheet name="СМР эстакада" sheetId="22" r:id="rId22"/>
    <sheet name="мат эстакада" sheetId="23" r:id="rId23"/>
    <sheet name="СМР ТС2" sheetId="18" r:id="rId24"/>
    <sheet name="мат ТС2" sheetId="19" r:id="rId25"/>
    <sheet name="СМР ТС3" sheetId="20" r:id="rId26"/>
    <sheet name="мат ТС3" sheetId="21" r:id="rId27"/>
  </sheets>
  <externalReferences>
    <externalReference r:id="rId28"/>
  </externalReferences>
  <definedNames>
    <definedName name="_xlnm._FilterDatabase" localSheetId="10" hidden="1">'СМР комм-ции 417'!$A$1:$H$386</definedName>
    <definedName name="_xlnm._FilterDatabase" localSheetId="2" hidden="1">'СМР трнсбрдр (2)'!$A$1:$H$236</definedName>
    <definedName name="_xlnm._FilterDatabase" localSheetId="23" hidden="1">'СМР ТС2'!$A$1:$G$89</definedName>
    <definedName name="_xlnm._FilterDatabase" localSheetId="25" hidden="1">'СМР ТС3'!$A$1:$H$103</definedName>
    <definedName name="_xlnm._FilterDatabase" localSheetId="21" hidden="1">'СМР эстакада'!$A$1:$H$100</definedName>
    <definedName name="_xlnm.Print_Area" localSheetId="7">'мат 417 путь'!$A$1:$G$30</definedName>
    <definedName name="_xlnm.Print_Area" localSheetId="14">'мат комм-ции 217'!$A$1:$G$109</definedName>
    <definedName name="_xlnm.Print_Area" localSheetId="11">'мат комм-ции 417'!$A$1:$G$280</definedName>
    <definedName name="_xlnm.Print_Area" localSheetId="18">'мат трнсбрдр'!$A$1:$G$301</definedName>
    <definedName name="_xlnm.Print_Area" localSheetId="3">'мат трнсбрдр (2)'!$A$1:$G$301</definedName>
    <definedName name="_xlnm.Print_Area" localSheetId="24">'мат ТС2'!$A$1:$G$99</definedName>
    <definedName name="_xlnm.Print_Area" localSheetId="26">'мат ТС3'!$A$1:$G$93</definedName>
    <definedName name="_xlnm.Print_Area" localSheetId="22">'мат эстакада'!$A$1:$G$87</definedName>
    <definedName name="_xlnm.Print_Area" localSheetId="4">Свод!$A$1:$H$14</definedName>
    <definedName name="_xlnm.Print_Area" localSheetId="6">'СМР 417 путь'!$A$1:$G$35</definedName>
    <definedName name="_xlnm.Print_Area" localSheetId="19">'СМР ГСН'!$A$1:$G$42</definedName>
    <definedName name="_xlnm.Print_Area" localSheetId="13">'СМР комм-ции 217 '!$A$1:$G$253</definedName>
    <definedName name="_xlnm.Print_Area" localSheetId="10">'СМР комм-ции 417'!$A$1:$G$386</definedName>
    <definedName name="_xlnm.Print_Area" localSheetId="17">'СМР трнсбрдр'!$A$1:$G$238</definedName>
    <definedName name="_xlnm.Print_Area" localSheetId="2">'СМР трнсбрдр (2)'!$A$1:$G$236</definedName>
    <definedName name="_xlnm.Print_Area" localSheetId="23">'СМР ТС2'!$A$1:$G$89</definedName>
    <definedName name="_xlnm.Print_Area" localSheetId="25">'СМР ТС3'!$A$1:$G$103</definedName>
    <definedName name="_xlnm.Print_Area" localSheetId="21">'СМР эстакада'!$A$1:$G$100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7" l="1"/>
  <c r="J9" i="17"/>
  <c r="J17" i="17"/>
  <c r="J16" i="17"/>
  <c r="J20" i="17"/>
  <c r="J19" i="17"/>
  <c r="J36" i="16"/>
  <c r="J35" i="16"/>
  <c r="J33" i="16"/>
  <c r="J32" i="16"/>
  <c r="J30" i="16"/>
  <c r="J27" i="16"/>
  <c r="J26" i="16"/>
  <c r="K26" i="16" s="1"/>
  <c r="J24" i="16"/>
  <c r="J23" i="16"/>
  <c r="N7" i="16"/>
  <c r="M7" i="16"/>
  <c r="M6" i="16"/>
  <c r="D5" i="8"/>
  <c r="E116" i="24"/>
  <c r="J16" i="16"/>
  <c r="J20" i="16"/>
  <c r="L17" i="16"/>
  <c r="L18" i="16"/>
  <c r="J17" i="16"/>
  <c r="J13" i="16"/>
  <c r="J6" i="16"/>
  <c r="E5" i="8"/>
  <c r="K5" i="8" s="1"/>
  <c r="K35" i="8" s="1"/>
  <c r="E368" i="12"/>
  <c r="K368" i="12" s="1"/>
  <c r="E356" i="12"/>
  <c r="K356" i="12" s="1"/>
  <c r="E343" i="12"/>
  <c r="K343" i="12" s="1"/>
  <c r="E295" i="12"/>
  <c r="K295" i="12" s="1"/>
  <c r="E271" i="12"/>
  <c r="E254" i="12"/>
  <c r="E231" i="12"/>
  <c r="E186" i="12"/>
  <c r="K186" i="12" s="1"/>
  <c r="E47" i="12"/>
  <c r="K47" i="12" s="1"/>
  <c r="E136" i="24"/>
  <c r="F12" i="27"/>
  <c r="C12" i="27"/>
  <c r="K93" i="21"/>
  <c r="K92" i="21"/>
  <c r="K91" i="21"/>
  <c r="K90" i="21"/>
  <c r="K89" i="21"/>
  <c r="K88" i="21"/>
  <c r="K87" i="21"/>
  <c r="K86" i="21"/>
  <c r="K85" i="21"/>
  <c r="K84" i="21"/>
  <c r="K83" i="21"/>
  <c r="K82" i="21"/>
  <c r="K81" i="21"/>
  <c r="K80" i="21"/>
  <c r="K79" i="21"/>
  <c r="K78" i="21"/>
  <c r="K77" i="21"/>
  <c r="K76" i="21"/>
  <c r="K75" i="21"/>
  <c r="K74" i="21"/>
  <c r="K73" i="21"/>
  <c r="K72" i="21"/>
  <c r="K71" i="21"/>
  <c r="K70" i="21"/>
  <c r="K69" i="21"/>
  <c r="K68" i="21"/>
  <c r="K67" i="21"/>
  <c r="K66" i="21"/>
  <c r="K65" i="21"/>
  <c r="K64" i="21"/>
  <c r="K63" i="21"/>
  <c r="K62" i="21"/>
  <c r="K61" i="21"/>
  <c r="K60" i="21"/>
  <c r="K59" i="21"/>
  <c r="K58" i="21"/>
  <c r="K57" i="21"/>
  <c r="K56" i="21"/>
  <c r="K55" i="21"/>
  <c r="K54" i="21"/>
  <c r="K53" i="21"/>
  <c r="K52" i="21"/>
  <c r="K51" i="21"/>
  <c r="K50" i="21"/>
  <c r="K49" i="21"/>
  <c r="K48" i="21"/>
  <c r="K47" i="21"/>
  <c r="K46" i="21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K7" i="21"/>
  <c r="K6" i="21"/>
  <c r="K5" i="21"/>
  <c r="K89" i="20"/>
  <c r="K90" i="20"/>
  <c r="K91" i="20"/>
  <c r="K92" i="20"/>
  <c r="K93" i="20"/>
  <c r="K94" i="20"/>
  <c r="K95" i="20"/>
  <c r="K96" i="20"/>
  <c r="K97" i="20"/>
  <c r="K98" i="20"/>
  <c r="K99" i="20"/>
  <c r="K100" i="20"/>
  <c r="K101" i="20"/>
  <c r="K102" i="20"/>
  <c r="K88" i="20"/>
  <c r="K87" i="20"/>
  <c r="K86" i="20"/>
  <c r="K85" i="20"/>
  <c r="K84" i="20"/>
  <c r="K83" i="20"/>
  <c r="K82" i="20"/>
  <c r="K81" i="20"/>
  <c r="K80" i="20"/>
  <c r="K79" i="20"/>
  <c r="K78" i="20"/>
  <c r="K77" i="20"/>
  <c r="K76" i="20"/>
  <c r="K75" i="20"/>
  <c r="K74" i="20"/>
  <c r="K73" i="20"/>
  <c r="K72" i="20"/>
  <c r="K71" i="20"/>
  <c r="K70" i="20"/>
  <c r="K69" i="20"/>
  <c r="K68" i="20"/>
  <c r="K67" i="20"/>
  <c r="K66" i="20"/>
  <c r="K65" i="20"/>
  <c r="K64" i="20"/>
  <c r="K63" i="20"/>
  <c r="K62" i="20"/>
  <c r="K61" i="20"/>
  <c r="K60" i="20"/>
  <c r="K59" i="20"/>
  <c r="K58" i="20"/>
  <c r="K57" i="20"/>
  <c r="K55" i="20"/>
  <c r="K54" i="20"/>
  <c r="K53" i="20"/>
  <c r="K52" i="20"/>
  <c r="K51" i="20"/>
  <c r="K50" i="20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3" i="20"/>
  <c r="K12" i="20"/>
  <c r="K11" i="20"/>
  <c r="K10" i="20"/>
  <c r="K9" i="20"/>
  <c r="K8" i="20"/>
  <c r="K7" i="20"/>
  <c r="K6" i="20"/>
  <c r="K5" i="20"/>
  <c r="F11" i="27"/>
  <c r="C11" i="27"/>
  <c r="K99" i="19"/>
  <c r="K89" i="19"/>
  <c r="K90" i="19"/>
  <c r="K91" i="19"/>
  <c r="K92" i="19"/>
  <c r="K93" i="19"/>
  <c r="K94" i="19"/>
  <c r="K95" i="19"/>
  <c r="K96" i="19"/>
  <c r="K97" i="19"/>
  <c r="K98" i="19"/>
  <c r="K88" i="19"/>
  <c r="K87" i="19"/>
  <c r="K86" i="19"/>
  <c r="K85" i="19"/>
  <c r="K84" i="19"/>
  <c r="K83" i="19"/>
  <c r="K82" i="19"/>
  <c r="K81" i="19"/>
  <c r="K80" i="19"/>
  <c r="K79" i="19"/>
  <c r="K78" i="19"/>
  <c r="K77" i="19"/>
  <c r="K76" i="19"/>
  <c r="K75" i="19"/>
  <c r="K74" i="19"/>
  <c r="K73" i="19"/>
  <c r="K72" i="19"/>
  <c r="K71" i="19"/>
  <c r="K70" i="19"/>
  <c r="K69" i="19"/>
  <c r="K68" i="19"/>
  <c r="K67" i="19"/>
  <c r="K66" i="19"/>
  <c r="K65" i="19"/>
  <c r="K64" i="19"/>
  <c r="K63" i="19"/>
  <c r="K62" i="19"/>
  <c r="K61" i="19"/>
  <c r="K60" i="19"/>
  <c r="K59" i="19"/>
  <c r="K58" i="19"/>
  <c r="K57" i="19"/>
  <c r="K56" i="19"/>
  <c r="K55" i="19"/>
  <c r="K54" i="19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K34" i="19"/>
  <c r="K33" i="19"/>
  <c r="K32" i="19"/>
  <c r="K31" i="19"/>
  <c r="K30" i="19"/>
  <c r="K29" i="19"/>
  <c r="K28" i="19"/>
  <c r="K27" i="19"/>
  <c r="K26" i="19"/>
  <c r="K25" i="19"/>
  <c r="K24" i="19"/>
  <c r="K23" i="19"/>
  <c r="K22" i="19"/>
  <c r="K21" i="19"/>
  <c r="K20" i="19"/>
  <c r="K19" i="19"/>
  <c r="K18" i="19"/>
  <c r="K17" i="19"/>
  <c r="K16" i="19"/>
  <c r="K15" i="19"/>
  <c r="K14" i="19"/>
  <c r="K13" i="19"/>
  <c r="K12" i="19"/>
  <c r="K11" i="19"/>
  <c r="K10" i="19"/>
  <c r="K9" i="19"/>
  <c r="K8" i="19"/>
  <c r="K7" i="19"/>
  <c r="K6" i="19"/>
  <c r="K5" i="19"/>
  <c r="K87" i="18"/>
  <c r="K88" i="18"/>
  <c r="K86" i="18"/>
  <c r="K85" i="18"/>
  <c r="K84" i="18"/>
  <c r="K83" i="18"/>
  <c r="K82" i="18"/>
  <c r="K81" i="18"/>
  <c r="K80" i="18"/>
  <c r="K79" i="18"/>
  <c r="K78" i="18"/>
  <c r="K77" i="18"/>
  <c r="K76" i="18"/>
  <c r="K75" i="18"/>
  <c r="K74" i="18"/>
  <c r="K73" i="18"/>
  <c r="K72" i="18"/>
  <c r="K71" i="18"/>
  <c r="K70" i="18"/>
  <c r="K69" i="18"/>
  <c r="K68" i="18"/>
  <c r="K67" i="18"/>
  <c r="K66" i="18"/>
  <c r="K65" i="18"/>
  <c r="K64" i="18"/>
  <c r="K63" i="18"/>
  <c r="K62" i="18"/>
  <c r="K61" i="18"/>
  <c r="K60" i="18"/>
  <c r="K59" i="18"/>
  <c r="K58" i="18"/>
  <c r="K57" i="18"/>
  <c r="K56" i="18"/>
  <c r="K55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1" i="18"/>
  <c r="K10" i="18"/>
  <c r="K9" i="18"/>
  <c r="K8" i="18"/>
  <c r="K7" i="18"/>
  <c r="K6" i="18"/>
  <c r="K5" i="18"/>
  <c r="F10" i="27"/>
  <c r="C10" i="27"/>
  <c r="K87" i="23"/>
  <c r="K86" i="23"/>
  <c r="K85" i="23"/>
  <c r="K84" i="23"/>
  <c r="K83" i="23"/>
  <c r="K82" i="23"/>
  <c r="K81" i="23"/>
  <c r="K80" i="23"/>
  <c r="K79" i="23"/>
  <c r="K78" i="23"/>
  <c r="K77" i="23"/>
  <c r="K76" i="23"/>
  <c r="K75" i="23"/>
  <c r="K74" i="23"/>
  <c r="K73" i="23"/>
  <c r="K72" i="23"/>
  <c r="K71" i="23"/>
  <c r="K70" i="23"/>
  <c r="K69" i="23"/>
  <c r="K68" i="23"/>
  <c r="K67" i="23"/>
  <c r="K66" i="23"/>
  <c r="K65" i="23"/>
  <c r="K64" i="23"/>
  <c r="K63" i="23"/>
  <c r="K62" i="23"/>
  <c r="K61" i="23"/>
  <c r="K60" i="23"/>
  <c r="K59" i="23"/>
  <c r="K58" i="23"/>
  <c r="K57" i="23"/>
  <c r="K56" i="23"/>
  <c r="K55" i="23"/>
  <c r="K54" i="23"/>
  <c r="K53" i="23"/>
  <c r="K52" i="23"/>
  <c r="K51" i="23"/>
  <c r="K50" i="23"/>
  <c r="K49" i="23"/>
  <c r="K48" i="23"/>
  <c r="K47" i="23"/>
  <c r="K46" i="23"/>
  <c r="K45" i="23"/>
  <c r="K44" i="23"/>
  <c r="K43" i="23"/>
  <c r="K42" i="23"/>
  <c r="K41" i="23"/>
  <c r="K40" i="23"/>
  <c r="K39" i="23"/>
  <c r="K38" i="23"/>
  <c r="K37" i="23"/>
  <c r="K36" i="23"/>
  <c r="K35" i="23"/>
  <c r="K34" i="23"/>
  <c r="K33" i="23"/>
  <c r="K32" i="23"/>
  <c r="K31" i="23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K99" i="22"/>
  <c r="K98" i="22"/>
  <c r="K97" i="22"/>
  <c r="K96" i="22"/>
  <c r="K94" i="22"/>
  <c r="K93" i="22"/>
  <c r="K92" i="22"/>
  <c r="K91" i="22"/>
  <c r="K90" i="22"/>
  <c r="K89" i="22"/>
  <c r="K88" i="22"/>
  <c r="K87" i="22"/>
  <c r="K86" i="22"/>
  <c r="K85" i="22"/>
  <c r="K84" i="22"/>
  <c r="K83" i="22"/>
  <c r="K82" i="22"/>
  <c r="K81" i="22"/>
  <c r="K80" i="22"/>
  <c r="K78" i="22"/>
  <c r="K77" i="22"/>
  <c r="K76" i="22"/>
  <c r="K75" i="22"/>
  <c r="K74" i="22"/>
  <c r="K73" i="22"/>
  <c r="K72" i="22"/>
  <c r="K71" i="22"/>
  <c r="K70" i="22"/>
  <c r="K69" i="22"/>
  <c r="K68" i="22"/>
  <c r="K67" i="22"/>
  <c r="K66" i="22"/>
  <c r="K65" i="22"/>
  <c r="K64" i="22"/>
  <c r="K63" i="22"/>
  <c r="K61" i="22"/>
  <c r="K60" i="22"/>
  <c r="K59" i="22"/>
  <c r="K58" i="22"/>
  <c r="K57" i="22"/>
  <c r="K56" i="22"/>
  <c r="K55" i="22"/>
  <c r="K54" i="22"/>
  <c r="K53" i="22"/>
  <c r="K52" i="22"/>
  <c r="K51" i="22"/>
  <c r="K50" i="22"/>
  <c r="K49" i="22"/>
  <c r="K48" i="22"/>
  <c r="K47" i="22"/>
  <c r="K46" i="22"/>
  <c r="K45" i="22"/>
  <c r="K44" i="22"/>
  <c r="K43" i="22"/>
  <c r="K42" i="22"/>
  <c r="K41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2" i="22"/>
  <c r="K11" i="22"/>
  <c r="K10" i="22"/>
  <c r="K9" i="22"/>
  <c r="K8" i="22"/>
  <c r="K7" i="22"/>
  <c r="K6" i="22"/>
  <c r="K5" i="22"/>
  <c r="C9" i="27"/>
  <c r="B9" i="2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6" i="16"/>
  <c r="K7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5" i="16"/>
  <c r="C8" i="27"/>
  <c r="J211" i="7"/>
  <c r="J208" i="7"/>
  <c r="J207" i="7"/>
  <c r="J206" i="7"/>
  <c r="J202" i="7"/>
  <c r="J195" i="7"/>
  <c r="J194" i="7"/>
  <c r="K194" i="7" s="1"/>
  <c r="J174" i="7"/>
  <c r="K174" i="7" s="1"/>
  <c r="J175" i="7"/>
  <c r="K175" i="7" s="1"/>
  <c r="J176" i="7"/>
  <c r="K176" i="7" s="1"/>
  <c r="J177" i="7"/>
  <c r="J178" i="7"/>
  <c r="J179" i="7"/>
  <c r="J180" i="7"/>
  <c r="J181" i="7"/>
  <c r="J182" i="7"/>
  <c r="J183" i="7"/>
  <c r="J184" i="7"/>
  <c r="J173" i="7"/>
  <c r="J130" i="7"/>
  <c r="J124" i="7"/>
  <c r="J123" i="7"/>
  <c r="J119" i="7"/>
  <c r="J94" i="7"/>
  <c r="K94" i="7" s="1"/>
  <c r="J95" i="7"/>
  <c r="J96" i="7"/>
  <c r="J97" i="7"/>
  <c r="J98" i="7"/>
  <c r="J99" i="7"/>
  <c r="J100" i="7"/>
  <c r="J101" i="7"/>
  <c r="J102" i="7"/>
  <c r="J103" i="7"/>
  <c r="J104" i="7"/>
  <c r="J93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5" i="7"/>
  <c r="K327" i="12"/>
  <c r="K270" i="12"/>
  <c r="K269" i="12"/>
  <c r="K268" i="12"/>
  <c r="K267" i="12"/>
  <c r="K266" i="12"/>
  <c r="K265" i="12"/>
  <c r="K264" i="12"/>
  <c r="K263" i="12"/>
  <c r="J252" i="12"/>
  <c r="K252" i="12" s="1"/>
  <c r="J253" i="12"/>
  <c r="K253" i="12" s="1"/>
  <c r="J254" i="12"/>
  <c r="J251" i="12"/>
  <c r="K251" i="12" s="1"/>
  <c r="J245" i="12"/>
  <c r="J246" i="12"/>
  <c r="J247" i="12"/>
  <c r="J244" i="12"/>
  <c r="K244" i="12" s="1"/>
  <c r="J216" i="12"/>
  <c r="J217" i="12"/>
  <c r="J218" i="12"/>
  <c r="K218" i="12" s="1"/>
  <c r="J219" i="12"/>
  <c r="K219" i="12" s="1"/>
  <c r="J220" i="12"/>
  <c r="K220" i="12" s="1"/>
  <c r="J221" i="12"/>
  <c r="K221" i="12" s="1"/>
  <c r="J222" i="12"/>
  <c r="K222" i="12" s="1"/>
  <c r="J223" i="12"/>
  <c r="K223" i="12" s="1"/>
  <c r="J224" i="12"/>
  <c r="K224" i="12" s="1"/>
  <c r="J225" i="12"/>
  <c r="K225" i="12" s="1"/>
  <c r="J226" i="12"/>
  <c r="K226" i="12" s="1"/>
  <c r="J227" i="12"/>
  <c r="K227" i="12" s="1"/>
  <c r="J228" i="12"/>
  <c r="K228" i="12" s="1"/>
  <c r="J229" i="12"/>
  <c r="K229" i="12" s="1"/>
  <c r="J230" i="12"/>
  <c r="K230" i="12" s="1"/>
  <c r="J231" i="12"/>
  <c r="J232" i="12"/>
  <c r="J233" i="12"/>
  <c r="K233" i="12" s="1"/>
  <c r="J234" i="12"/>
  <c r="K234" i="12" s="1"/>
  <c r="J236" i="12"/>
  <c r="K236" i="12" s="1"/>
  <c r="J237" i="12"/>
  <c r="K237" i="12" s="1"/>
  <c r="J238" i="12"/>
  <c r="K238" i="12" s="1"/>
  <c r="J239" i="12"/>
  <c r="K239" i="12" s="1"/>
  <c r="J240" i="12"/>
  <c r="K240" i="12" s="1"/>
  <c r="J241" i="12"/>
  <c r="K241" i="12" s="1"/>
  <c r="J215" i="12"/>
  <c r="K215" i="12" s="1"/>
  <c r="J115" i="12"/>
  <c r="K115" i="12" s="1"/>
  <c r="J116" i="12"/>
  <c r="K116" i="12" s="1"/>
  <c r="J117" i="12"/>
  <c r="J118" i="12"/>
  <c r="J119" i="12"/>
  <c r="K119" i="12" s="1"/>
  <c r="J120" i="12"/>
  <c r="J121" i="12"/>
  <c r="J122" i="12"/>
  <c r="K122" i="12" s="1"/>
  <c r="J123" i="12"/>
  <c r="J124" i="12"/>
  <c r="K124" i="12" s="1"/>
  <c r="J125" i="12"/>
  <c r="K125" i="12" s="1"/>
  <c r="J126" i="12"/>
  <c r="K126" i="12" s="1"/>
  <c r="J127" i="12"/>
  <c r="K127" i="12" s="1"/>
  <c r="J128" i="12"/>
  <c r="K128" i="12" s="1"/>
  <c r="J129" i="12"/>
  <c r="K129" i="12" s="1"/>
  <c r="J130" i="12"/>
  <c r="K130" i="12" s="1"/>
  <c r="J131" i="12"/>
  <c r="K131" i="12" s="1"/>
  <c r="J132" i="12"/>
  <c r="K132" i="12" s="1"/>
  <c r="J114" i="12"/>
  <c r="K6" i="12"/>
  <c r="K7" i="12"/>
  <c r="K8" i="12"/>
  <c r="K9" i="12"/>
  <c r="K10" i="12"/>
  <c r="K11" i="12"/>
  <c r="K12" i="12"/>
  <c r="K13" i="12"/>
  <c r="K14" i="12"/>
  <c r="K15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9" i="12"/>
  <c r="K70" i="12"/>
  <c r="K71" i="12"/>
  <c r="K72" i="12"/>
  <c r="K73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9" i="12"/>
  <c r="K90" i="12"/>
  <c r="K91" i="12"/>
  <c r="K92" i="12"/>
  <c r="K93" i="12"/>
  <c r="K94" i="12"/>
  <c r="K95" i="12"/>
  <c r="K96" i="12"/>
  <c r="K97" i="12"/>
  <c r="K98" i="12"/>
  <c r="K99" i="12"/>
  <c r="K100" i="12"/>
  <c r="K101" i="12"/>
  <c r="K102" i="12"/>
  <c r="K103" i="12"/>
  <c r="K104" i="12"/>
  <c r="K105" i="12"/>
  <c r="K106" i="12"/>
  <c r="K107" i="12"/>
  <c r="K108" i="12"/>
  <c r="K109" i="12"/>
  <c r="K110" i="12"/>
  <c r="K111" i="12"/>
  <c r="K112" i="12"/>
  <c r="K113" i="12"/>
  <c r="K114" i="12"/>
  <c r="K117" i="12"/>
  <c r="K118" i="12"/>
  <c r="K120" i="12"/>
  <c r="K121" i="12"/>
  <c r="K133" i="12"/>
  <c r="K134" i="12"/>
  <c r="K135" i="12"/>
  <c r="K136" i="12"/>
  <c r="K137" i="12"/>
  <c r="K138" i="12"/>
  <c r="K139" i="12"/>
  <c r="K140" i="12"/>
  <c r="K141" i="12"/>
  <c r="K142" i="12"/>
  <c r="K143" i="12"/>
  <c r="K145" i="12"/>
  <c r="K146" i="12"/>
  <c r="K147" i="12"/>
  <c r="K148" i="12"/>
  <c r="K149" i="12"/>
  <c r="K150" i="12"/>
  <c r="K151" i="12"/>
  <c r="K152" i="12"/>
  <c r="K153" i="12"/>
  <c r="K154" i="12"/>
  <c r="K155" i="12"/>
  <c r="K156" i="12"/>
  <c r="K157" i="12"/>
  <c r="K158" i="12"/>
  <c r="K159" i="12"/>
  <c r="K160" i="12"/>
  <c r="K161" i="12"/>
  <c r="K163" i="12"/>
  <c r="K164" i="12"/>
  <c r="K165" i="12"/>
  <c r="K166" i="12"/>
  <c r="K167" i="12"/>
  <c r="K168" i="12"/>
  <c r="K169" i="12"/>
  <c r="K170" i="12"/>
  <c r="K171" i="12"/>
  <c r="K172" i="12"/>
  <c r="K173" i="12"/>
  <c r="K174" i="12"/>
  <c r="K175" i="12"/>
  <c r="K176" i="12"/>
  <c r="K177" i="12"/>
  <c r="K178" i="12"/>
  <c r="K179" i="12"/>
  <c r="K180" i="12"/>
  <c r="K181" i="12"/>
  <c r="K182" i="12"/>
  <c r="K183" i="12"/>
  <c r="K184" i="12"/>
  <c r="K185" i="12"/>
  <c r="K187" i="12"/>
  <c r="K188" i="12"/>
  <c r="K189" i="12"/>
  <c r="K190" i="12"/>
  <c r="K191" i="12"/>
  <c r="K192" i="12"/>
  <c r="K193" i="12"/>
  <c r="K194" i="12"/>
  <c r="K195" i="12"/>
  <c r="K196" i="12"/>
  <c r="K197" i="12"/>
  <c r="K198" i="12"/>
  <c r="K199" i="12"/>
  <c r="K200" i="12"/>
  <c r="K201" i="12"/>
  <c r="K202" i="12"/>
  <c r="K203" i="12"/>
  <c r="K204" i="12"/>
  <c r="K205" i="12"/>
  <c r="K206" i="12"/>
  <c r="K207" i="12"/>
  <c r="K208" i="12"/>
  <c r="K210" i="12"/>
  <c r="K211" i="12"/>
  <c r="K212" i="12"/>
  <c r="K213" i="12"/>
  <c r="K214" i="12"/>
  <c r="K216" i="12"/>
  <c r="K217" i="12"/>
  <c r="K232" i="12"/>
  <c r="K242" i="12"/>
  <c r="K243" i="12"/>
  <c r="K245" i="12"/>
  <c r="K246" i="12"/>
  <c r="K247" i="12"/>
  <c r="K248" i="12"/>
  <c r="K249" i="12"/>
  <c r="K250" i="12"/>
  <c r="K255" i="12"/>
  <c r="K256" i="12"/>
  <c r="K257" i="12"/>
  <c r="K258" i="12"/>
  <c r="K259" i="12"/>
  <c r="K260" i="12"/>
  <c r="K261" i="12"/>
  <c r="K262" i="12"/>
  <c r="K272" i="12"/>
  <c r="K273" i="12"/>
  <c r="K274" i="12"/>
  <c r="K275" i="12"/>
  <c r="K276" i="12"/>
  <c r="K277" i="12"/>
  <c r="K278" i="12"/>
  <c r="K279" i="12"/>
  <c r="K280" i="12"/>
  <c r="K281" i="12"/>
  <c r="K282" i="12"/>
  <c r="K283" i="12"/>
  <c r="K284" i="12"/>
  <c r="K285" i="12"/>
  <c r="K286" i="12"/>
  <c r="K287" i="12"/>
  <c r="K288" i="12"/>
  <c r="K289" i="12"/>
  <c r="K290" i="12"/>
  <c r="K291" i="12"/>
  <c r="K292" i="12"/>
  <c r="K293" i="12"/>
  <c r="K294" i="12"/>
  <c r="K296" i="12"/>
  <c r="K297" i="12"/>
  <c r="K298" i="12"/>
  <c r="K299" i="12"/>
  <c r="K300" i="12"/>
  <c r="K301" i="12"/>
  <c r="K302" i="12"/>
  <c r="K303" i="12"/>
  <c r="K304" i="12"/>
  <c r="K305" i="12"/>
  <c r="K306" i="12"/>
  <c r="K307" i="12"/>
  <c r="K308" i="12"/>
  <c r="K309" i="12"/>
  <c r="K310" i="12"/>
  <c r="K311" i="12"/>
  <c r="K312" i="12"/>
  <c r="K313" i="12"/>
  <c r="K314" i="12"/>
  <c r="K315" i="12"/>
  <c r="K316" i="12"/>
  <c r="K317" i="12"/>
  <c r="K318" i="12"/>
  <c r="K319" i="12"/>
  <c r="K320" i="12"/>
  <c r="K321" i="12"/>
  <c r="K322" i="12"/>
  <c r="K323" i="12"/>
  <c r="K324" i="12"/>
  <c r="K325" i="12"/>
  <c r="K328" i="12"/>
  <c r="K329" i="12"/>
  <c r="K330" i="12"/>
  <c r="K331" i="12"/>
  <c r="K332" i="12"/>
  <c r="K333" i="12"/>
  <c r="K334" i="12"/>
  <c r="K335" i="12"/>
  <c r="K336" i="12"/>
  <c r="K337" i="12"/>
  <c r="K338" i="12"/>
  <c r="K339" i="12"/>
  <c r="K340" i="12"/>
  <c r="K341" i="12"/>
  <c r="K342" i="12"/>
  <c r="K344" i="12"/>
  <c r="K345" i="12"/>
  <c r="K346" i="12"/>
  <c r="K347" i="12"/>
  <c r="K348" i="12"/>
  <c r="K349" i="12"/>
  <c r="K350" i="12"/>
  <c r="K351" i="12"/>
  <c r="K352" i="12"/>
  <c r="K353" i="12"/>
  <c r="K354" i="12"/>
  <c r="K355" i="12"/>
  <c r="K357" i="12"/>
  <c r="K358" i="12"/>
  <c r="K359" i="12"/>
  <c r="K360" i="12"/>
  <c r="K361" i="12"/>
  <c r="K362" i="12"/>
  <c r="K363" i="12"/>
  <c r="K364" i="12"/>
  <c r="K365" i="12"/>
  <c r="K366" i="12"/>
  <c r="K367" i="12"/>
  <c r="K369" i="12"/>
  <c r="K370" i="12"/>
  <c r="K371" i="12"/>
  <c r="K372" i="12"/>
  <c r="K373" i="12"/>
  <c r="K374" i="12"/>
  <c r="K375" i="12"/>
  <c r="K376" i="12"/>
  <c r="K377" i="12"/>
  <c r="K378" i="12"/>
  <c r="K379" i="12"/>
  <c r="K380" i="12"/>
  <c r="K381" i="12"/>
  <c r="K382" i="12"/>
  <c r="K383" i="12"/>
  <c r="K384" i="12"/>
  <c r="K5" i="12"/>
  <c r="F7" i="27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F6" i="27"/>
  <c r="C6" i="27"/>
  <c r="D9" i="27"/>
  <c r="J161" i="25"/>
  <c r="K236" i="25"/>
  <c r="K237" i="25"/>
  <c r="K238" i="25"/>
  <c r="K239" i="25"/>
  <c r="K240" i="25"/>
  <c r="K241" i="25"/>
  <c r="K242" i="25"/>
  <c r="K243" i="25"/>
  <c r="K244" i="25"/>
  <c r="K245" i="25"/>
  <c r="K246" i="25"/>
  <c r="K247" i="25"/>
  <c r="K248" i="25"/>
  <c r="K249" i="25"/>
  <c r="K250" i="25"/>
  <c r="K251" i="25"/>
  <c r="K252" i="25"/>
  <c r="K253" i="25"/>
  <c r="K254" i="25"/>
  <c r="K255" i="25"/>
  <c r="K256" i="25"/>
  <c r="K257" i="25"/>
  <c r="K258" i="25"/>
  <c r="K259" i="25"/>
  <c r="K260" i="25"/>
  <c r="K261" i="25"/>
  <c r="K262" i="25"/>
  <c r="K263" i="25"/>
  <c r="K264" i="25"/>
  <c r="K265" i="25"/>
  <c r="K266" i="25"/>
  <c r="K267" i="25"/>
  <c r="K268" i="25"/>
  <c r="K269" i="25"/>
  <c r="K270" i="25"/>
  <c r="K271" i="25"/>
  <c r="K272" i="25"/>
  <c r="K273" i="25"/>
  <c r="K274" i="25"/>
  <c r="K275" i="25"/>
  <c r="K276" i="25"/>
  <c r="K277" i="25"/>
  <c r="K278" i="25"/>
  <c r="K279" i="25"/>
  <c r="K280" i="25"/>
  <c r="K281" i="25"/>
  <c r="K282" i="25"/>
  <c r="K283" i="25"/>
  <c r="K284" i="25"/>
  <c r="K285" i="25"/>
  <c r="K286" i="25"/>
  <c r="K287" i="25"/>
  <c r="K288" i="25"/>
  <c r="K289" i="25"/>
  <c r="K290" i="25"/>
  <c r="K291" i="25"/>
  <c r="K292" i="25"/>
  <c r="K293" i="25"/>
  <c r="K294" i="25"/>
  <c r="K295" i="25"/>
  <c r="K296" i="25"/>
  <c r="K297" i="25"/>
  <c r="K298" i="25"/>
  <c r="K299" i="25"/>
  <c r="K300" i="25"/>
  <c r="K235" i="25"/>
  <c r="K234" i="25"/>
  <c r="K233" i="25"/>
  <c r="K232" i="25"/>
  <c r="K231" i="25"/>
  <c r="K230" i="25"/>
  <c r="K229" i="25"/>
  <c r="K228" i="25"/>
  <c r="K227" i="25"/>
  <c r="K226" i="25"/>
  <c r="K225" i="25"/>
  <c r="K224" i="25"/>
  <c r="K223" i="25"/>
  <c r="K222" i="25"/>
  <c r="K221" i="25"/>
  <c r="K220" i="25"/>
  <c r="K219" i="25"/>
  <c r="K218" i="25"/>
  <c r="K217" i="25"/>
  <c r="K216" i="25"/>
  <c r="K215" i="25"/>
  <c r="K214" i="25"/>
  <c r="K213" i="25"/>
  <c r="K212" i="25"/>
  <c r="K211" i="25"/>
  <c r="K210" i="25"/>
  <c r="K209" i="25"/>
  <c r="K208" i="25"/>
  <c r="K207" i="25"/>
  <c r="K206" i="25"/>
  <c r="K205" i="25"/>
  <c r="K204" i="25"/>
  <c r="K203" i="25"/>
  <c r="K202" i="25"/>
  <c r="K201" i="25"/>
  <c r="K200" i="25"/>
  <c r="K199" i="25"/>
  <c r="K198" i="25"/>
  <c r="K197" i="25"/>
  <c r="K196" i="25"/>
  <c r="K195" i="25"/>
  <c r="K194" i="25"/>
  <c r="K193" i="25"/>
  <c r="K192" i="25"/>
  <c r="K191" i="25"/>
  <c r="K190" i="25"/>
  <c r="K189" i="25"/>
  <c r="K188" i="25"/>
  <c r="K187" i="25"/>
  <c r="K186" i="25"/>
  <c r="K185" i="25"/>
  <c r="K184" i="25"/>
  <c r="K183" i="25"/>
  <c r="K182" i="25"/>
  <c r="K181" i="25"/>
  <c r="K180" i="25"/>
  <c r="K179" i="25"/>
  <c r="K178" i="25"/>
  <c r="K177" i="25"/>
  <c r="K176" i="25"/>
  <c r="K175" i="25"/>
  <c r="K174" i="25"/>
  <c r="K173" i="25"/>
  <c r="K172" i="25"/>
  <c r="K171" i="25"/>
  <c r="K170" i="25"/>
  <c r="K169" i="25"/>
  <c r="K168" i="25"/>
  <c r="K167" i="25"/>
  <c r="K166" i="25"/>
  <c r="K165" i="25"/>
  <c r="K164" i="25"/>
  <c r="K163" i="25"/>
  <c r="K162" i="25"/>
  <c r="K161" i="25"/>
  <c r="K160" i="25"/>
  <c r="K159" i="25"/>
  <c r="K158" i="25"/>
  <c r="K157" i="25"/>
  <c r="K156" i="25"/>
  <c r="K155" i="25"/>
  <c r="K154" i="25"/>
  <c r="K153" i="25"/>
  <c r="K152" i="25"/>
  <c r="K151" i="25"/>
  <c r="K150" i="25"/>
  <c r="K149" i="25"/>
  <c r="K148" i="25"/>
  <c r="K147" i="25"/>
  <c r="K146" i="25"/>
  <c r="K145" i="25"/>
  <c r="K144" i="25"/>
  <c r="K143" i="25"/>
  <c r="K142" i="25"/>
  <c r="K141" i="25"/>
  <c r="K140" i="25"/>
  <c r="K139" i="25"/>
  <c r="K138" i="25"/>
  <c r="K137" i="25"/>
  <c r="K127" i="25"/>
  <c r="K126" i="25"/>
  <c r="K125" i="25"/>
  <c r="K124" i="25"/>
  <c r="K123" i="25"/>
  <c r="K122" i="25"/>
  <c r="K121" i="25"/>
  <c r="K120" i="25"/>
  <c r="K119" i="25"/>
  <c r="K118" i="25"/>
  <c r="K117" i="25"/>
  <c r="K116" i="25"/>
  <c r="K115" i="25"/>
  <c r="K114" i="25"/>
  <c r="K113" i="25"/>
  <c r="K112" i="25"/>
  <c r="K111" i="25"/>
  <c r="K110" i="25"/>
  <c r="K109" i="25"/>
  <c r="K108" i="25"/>
  <c r="K107" i="25"/>
  <c r="K106" i="25"/>
  <c r="K105" i="25"/>
  <c r="K104" i="25"/>
  <c r="K103" i="25"/>
  <c r="K102" i="25"/>
  <c r="K101" i="25"/>
  <c r="K100" i="25"/>
  <c r="K99" i="25"/>
  <c r="K98" i="25"/>
  <c r="K97" i="25"/>
  <c r="K96" i="25"/>
  <c r="K95" i="25"/>
  <c r="K94" i="25"/>
  <c r="K93" i="25"/>
  <c r="K92" i="25"/>
  <c r="K91" i="25"/>
  <c r="K90" i="25"/>
  <c r="K89" i="25"/>
  <c r="K88" i="25"/>
  <c r="K87" i="25"/>
  <c r="K86" i="25"/>
  <c r="K85" i="25"/>
  <c r="K84" i="25"/>
  <c r="K83" i="25"/>
  <c r="K82" i="25"/>
  <c r="K81" i="25"/>
  <c r="K80" i="25"/>
  <c r="K79" i="25"/>
  <c r="K78" i="25"/>
  <c r="K77" i="25"/>
  <c r="K76" i="25"/>
  <c r="K75" i="25"/>
  <c r="K74" i="25"/>
  <c r="K73" i="25"/>
  <c r="K72" i="25"/>
  <c r="K71" i="25"/>
  <c r="K70" i="25"/>
  <c r="K69" i="25"/>
  <c r="K68" i="25"/>
  <c r="K67" i="25"/>
  <c r="K66" i="25"/>
  <c r="K65" i="25"/>
  <c r="K64" i="25"/>
  <c r="K63" i="25"/>
  <c r="K62" i="25"/>
  <c r="K61" i="25"/>
  <c r="K60" i="25"/>
  <c r="K59" i="25"/>
  <c r="K58" i="25"/>
  <c r="K57" i="25"/>
  <c r="K56" i="25"/>
  <c r="K55" i="25"/>
  <c r="K54" i="25"/>
  <c r="K53" i="25"/>
  <c r="K52" i="25"/>
  <c r="K51" i="25"/>
  <c r="K50" i="25"/>
  <c r="K49" i="25"/>
  <c r="K48" i="25"/>
  <c r="K47" i="25"/>
  <c r="K46" i="25"/>
  <c r="K45" i="25"/>
  <c r="K44" i="25"/>
  <c r="K43" i="25"/>
  <c r="K42" i="25"/>
  <c r="K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K9" i="25"/>
  <c r="K8" i="25"/>
  <c r="K7" i="25"/>
  <c r="K6" i="25"/>
  <c r="K5" i="25"/>
  <c r="J129" i="24"/>
  <c r="J130" i="24"/>
  <c r="J131" i="24"/>
  <c r="J132" i="24"/>
  <c r="J133" i="24"/>
  <c r="J134" i="24"/>
  <c r="J135" i="24"/>
  <c r="J136" i="24"/>
  <c r="J128" i="24"/>
  <c r="K32" i="17" l="1"/>
  <c r="F9" i="27" s="1"/>
  <c r="E385" i="12"/>
  <c r="K385" i="12" s="1"/>
  <c r="E40" i="22"/>
  <c r="K40" i="22" s="1"/>
  <c r="E209" i="12"/>
  <c r="K209" i="12" s="1"/>
  <c r="E62" i="22"/>
  <c r="K62" i="22" s="1"/>
  <c r="E12" i="18"/>
  <c r="K12" i="18" s="1"/>
  <c r="K42" i="16"/>
  <c r="E9" i="27" s="1"/>
  <c r="E79" i="22"/>
  <c r="K79" i="22" s="1"/>
  <c r="E88" i="12"/>
  <c r="K88" i="12" s="1"/>
  <c r="E95" i="22"/>
  <c r="K95" i="22" s="1"/>
  <c r="E68" i="12"/>
  <c r="K68" i="12" s="1"/>
  <c r="E123" i="12"/>
  <c r="K123" i="12" s="1"/>
  <c r="E56" i="20"/>
  <c r="K56" i="20" s="1"/>
  <c r="E144" i="12"/>
  <c r="K144" i="12" s="1"/>
  <c r="E35" i="20"/>
  <c r="K35" i="20" s="1"/>
  <c r="E162" i="12"/>
  <c r="K162" i="12" s="1"/>
  <c r="E39" i="18"/>
  <c r="K39" i="18" s="1"/>
  <c r="K254" i="12"/>
  <c r="E14" i="20"/>
  <c r="K14" i="20" s="1"/>
  <c r="E94" i="24"/>
  <c r="E16" i="12"/>
  <c r="K16" i="12" s="1"/>
  <c r="E13" i="22"/>
  <c r="K13" i="22" s="1"/>
  <c r="K280" i="7"/>
  <c r="F8" i="27" s="1"/>
  <c r="K271" i="12"/>
  <c r="K231" i="12"/>
  <c r="K36" i="8"/>
  <c r="E7" i="27" s="1"/>
  <c r="G7" i="27" s="1"/>
  <c r="F13" i="27" l="1"/>
  <c r="G9" i="27"/>
  <c r="K100" i="22"/>
  <c r="E10" i="27" s="1"/>
  <c r="G10" i="27" s="1"/>
  <c r="K89" i="18"/>
  <c r="E11" i="27" s="1"/>
  <c r="G11" i="27" s="1"/>
  <c r="K103" i="20"/>
  <c r="E12" i="27" s="1"/>
  <c r="G12" i="27" s="1"/>
  <c r="K6" i="24" l="1"/>
  <c r="K7" i="24"/>
  <c r="K8" i="24"/>
  <c r="K9" i="24"/>
  <c r="K10" i="24"/>
  <c r="K11" i="24"/>
  <c r="K12" i="24"/>
  <c r="K13" i="24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57" i="24"/>
  <c r="K58" i="24"/>
  <c r="K59" i="24"/>
  <c r="K60" i="24"/>
  <c r="K61" i="24"/>
  <c r="K62" i="24"/>
  <c r="K63" i="24"/>
  <c r="K64" i="24"/>
  <c r="K65" i="24"/>
  <c r="K66" i="24"/>
  <c r="K67" i="24"/>
  <c r="K68" i="24"/>
  <c r="K69" i="24"/>
  <c r="K70" i="24"/>
  <c r="K71" i="24"/>
  <c r="K72" i="24"/>
  <c r="K73" i="24"/>
  <c r="K74" i="24"/>
  <c r="K75" i="24"/>
  <c r="K76" i="24"/>
  <c r="K77" i="24"/>
  <c r="K78" i="24"/>
  <c r="K79" i="24"/>
  <c r="K80" i="24"/>
  <c r="K81" i="24"/>
  <c r="K82" i="24"/>
  <c r="K83" i="24"/>
  <c r="K84" i="24"/>
  <c r="K85" i="24"/>
  <c r="K86" i="24"/>
  <c r="K87" i="24"/>
  <c r="K88" i="24"/>
  <c r="K89" i="24"/>
  <c r="K90" i="24"/>
  <c r="K91" i="24"/>
  <c r="K92" i="24"/>
  <c r="K93" i="24"/>
  <c r="K94" i="24"/>
  <c r="K95" i="24"/>
  <c r="K96" i="24"/>
  <c r="K97" i="24"/>
  <c r="K98" i="24"/>
  <c r="K99" i="24"/>
  <c r="K100" i="24"/>
  <c r="K101" i="24"/>
  <c r="K102" i="24"/>
  <c r="K103" i="24"/>
  <c r="K104" i="24"/>
  <c r="K105" i="24"/>
  <c r="K106" i="24"/>
  <c r="K107" i="24"/>
  <c r="K108" i="24"/>
  <c r="K109" i="24"/>
  <c r="K110" i="24"/>
  <c r="K111" i="24"/>
  <c r="K112" i="24"/>
  <c r="K113" i="24"/>
  <c r="K114" i="24"/>
  <c r="K115" i="24"/>
  <c r="K116" i="24"/>
  <c r="K117" i="24"/>
  <c r="K118" i="24"/>
  <c r="K119" i="24"/>
  <c r="K120" i="24"/>
  <c r="K121" i="24"/>
  <c r="K122" i="24"/>
  <c r="K123" i="24"/>
  <c r="K124" i="24"/>
  <c r="K125" i="24"/>
  <c r="K126" i="24"/>
  <c r="K127" i="24"/>
  <c r="K128" i="24"/>
  <c r="K129" i="24"/>
  <c r="K130" i="24"/>
  <c r="K131" i="24"/>
  <c r="K132" i="24"/>
  <c r="K133" i="24"/>
  <c r="K134" i="24"/>
  <c r="K135" i="24"/>
  <c r="K136" i="24"/>
  <c r="K137" i="24"/>
  <c r="K138" i="24"/>
  <c r="K139" i="24"/>
  <c r="K140" i="24"/>
  <c r="K141" i="24"/>
  <c r="K142" i="24"/>
  <c r="K143" i="24"/>
  <c r="K144" i="24"/>
  <c r="K145" i="24"/>
  <c r="K146" i="24"/>
  <c r="K147" i="24"/>
  <c r="K148" i="24"/>
  <c r="K149" i="24"/>
  <c r="K150" i="24"/>
  <c r="K151" i="24"/>
  <c r="K152" i="24"/>
  <c r="K153" i="24"/>
  <c r="K154" i="24"/>
  <c r="K155" i="24"/>
  <c r="K156" i="24"/>
  <c r="K157" i="24"/>
  <c r="K158" i="24"/>
  <c r="K159" i="24"/>
  <c r="K160" i="24"/>
  <c r="K161" i="24"/>
  <c r="K162" i="24"/>
  <c r="K163" i="24"/>
  <c r="K164" i="24"/>
  <c r="K165" i="24"/>
  <c r="K166" i="24"/>
  <c r="K167" i="24"/>
  <c r="K168" i="24"/>
  <c r="K169" i="24"/>
  <c r="K170" i="24"/>
  <c r="K171" i="24"/>
  <c r="K172" i="24"/>
  <c r="K173" i="24"/>
  <c r="K174" i="24"/>
  <c r="K175" i="24"/>
  <c r="K176" i="24"/>
  <c r="K177" i="24"/>
  <c r="K178" i="24"/>
  <c r="K179" i="24"/>
  <c r="K180" i="24"/>
  <c r="K181" i="24"/>
  <c r="K182" i="24"/>
  <c r="K183" i="24"/>
  <c r="K184" i="24"/>
  <c r="K185" i="24"/>
  <c r="K186" i="24"/>
  <c r="K187" i="24"/>
  <c r="K188" i="24"/>
  <c r="K189" i="24"/>
  <c r="K190" i="24"/>
  <c r="K191" i="24"/>
  <c r="K192" i="24"/>
  <c r="K193" i="24"/>
  <c r="K194" i="24"/>
  <c r="K195" i="24"/>
  <c r="K196" i="24"/>
  <c r="K197" i="24"/>
  <c r="K198" i="24"/>
  <c r="K199" i="24"/>
  <c r="K200" i="24"/>
  <c r="K201" i="24"/>
  <c r="K202" i="24"/>
  <c r="K203" i="24"/>
  <c r="K204" i="24"/>
  <c r="K205" i="24"/>
  <c r="K206" i="24"/>
  <c r="K207" i="24"/>
  <c r="K208" i="24"/>
  <c r="K209" i="24"/>
  <c r="K210" i="24"/>
  <c r="K211" i="24"/>
  <c r="K212" i="24"/>
  <c r="K213" i="24"/>
  <c r="K214" i="24"/>
  <c r="K215" i="24"/>
  <c r="K216" i="24"/>
  <c r="K217" i="24"/>
  <c r="K218" i="24"/>
  <c r="K219" i="24"/>
  <c r="K220" i="24"/>
  <c r="K221" i="24"/>
  <c r="K222" i="24"/>
  <c r="K223" i="24"/>
  <c r="K224" i="24"/>
  <c r="K225" i="24"/>
  <c r="K226" i="24"/>
  <c r="K227" i="24"/>
  <c r="K228" i="24"/>
  <c r="K229" i="24"/>
  <c r="K230" i="24"/>
  <c r="K231" i="24"/>
  <c r="K232" i="24"/>
  <c r="K233" i="24"/>
  <c r="K234" i="24"/>
  <c r="K235" i="24"/>
  <c r="K5" i="24"/>
  <c r="B22" i="26"/>
  <c r="B21" i="26"/>
  <c r="B20" i="26"/>
  <c r="B19" i="26"/>
  <c r="B17" i="26"/>
  <c r="B16" i="26"/>
  <c r="B14" i="26"/>
  <c r="B13" i="26"/>
  <c r="B11" i="26"/>
  <c r="B10" i="26"/>
  <c r="B9" i="26"/>
  <c r="B8" i="26"/>
  <c r="B7" i="26"/>
  <c r="B6" i="26"/>
  <c r="B3" i="26"/>
  <c r="K236" i="24" l="1"/>
  <c r="E6" i="27" s="1"/>
  <c r="F300" i="25"/>
  <c r="G300" i="25" s="1"/>
  <c r="F299" i="25"/>
  <c r="G299" i="25" s="1"/>
  <c r="F298" i="25"/>
  <c r="G298" i="25" s="1"/>
  <c r="F297" i="25"/>
  <c r="G297" i="25" s="1"/>
  <c r="F296" i="25"/>
  <c r="G296" i="25" s="1"/>
  <c r="F295" i="25"/>
  <c r="G295" i="25" s="1"/>
  <c r="F294" i="25"/>
  <c r="G294" i="25" s="1"/>
  <c r="F293" i="25"/>
  <c r="G293" i="25" s="1"/>
  <c r="F292" i="25"/>
  <c r="G292" i="25" s="1"/>
  <c r="F291" i="25"/>
  <c r="G291" i="25" s="1"/>
  <c r="F290" i="25"/>
  <c r="G290" i="25" s="1"/>
  <c r="F289" i="25"/>
  <c r="G289" i="25" s="1"/>
  <c r="D288" i="25"/>
  <c r="F288" i="25" s="1"/>
  <c r="G288" i="25" s="1"/>
  <c r="F287" i="25"/>
  <c r="G287" i="25" s="1"/>
  <c r="D286" i="25"/>
  <c r="F286" i="25" s="1"/>
  <c r="G286" i="25" s="1"/>
  <c r="D285" i="25"/>
  <c r="F285" i="25" s="1"/>
  <c r="G285" i="25" s="1"/>
  <c r="F284" i="25"/>
  <c r="G284" i="25" s="1"/>
  <c r="D283" i="25"/>
  <c r="F283" i="25" s="1"/>
  <c r="G283" i="25" s="1"/>
  <c r="F282" i="25"/>
  <c r="G282" i="25" s="1"/>
  <c r="F281" i="25"/>
  <c r="G281" i="25" s="1"/>
  <c r="F280" i="25"/>
  <c r="G280" i="25" s="1"/>
  <c r="F279" i="25"/>
  <c r="G279" i="25" s="1"/>
  <c r="F278" i="25"/>
  <c r="G278" i="25" s="1"/>
  <c r="F277" i="25"/>
  <c r="G277" i="25" s="1"/>
  <c r="D275" i="25"/>
  <c r="F275" i="25" s="1"/>
  <c r="G275" i="25" s="1"/>
  <c r="D274" i="25"/>
  <c r="F274" i="25" s="1"/>
  <c r="G274" i="25" s="1"/>
  <c r="D273" i="25"/>
  <c r="F273" i="25" s="1"/>
  <c r="G273" i="25" s="1"/>
  <c r="D272" i="25"/>
  <c r="F272" i="25" s="1"/>
  <c r="G272" i="25" s="1"/>
  <c r="D271" i="25"/>
  <c r="F271" i="25" s="1"/>
  <c r="G271" i="25" s="1"/>
  <c r="D270" i="25"/>
  <c r="F270" i="25" s="1"/>
  <c r="G270" i="25" s="1"/>
  <c r="D269" i="25"/>
  <c r="F269" i="25" s="1"/>
  <c r="G269" i="25" s="1"/>
  <c r="D268" i="25"/>
  <c r="F268" i="25" s="1"/>
  <c r="G268" i="25" s="1"/>
  <c r="F266" i="25"/>
  <c r="G266" i="25" s="1"/>
  <c r="D265" i="25"/>
  <c r="F265" i="25" s="1"/>
  <c r="G265" i="25" s="1"/>
  <c r="D264" i="25"/>
  <c r="F264" i="25" s="1"/>
  <c r="G264" i="25" s="1"/>
  <c r="F263" i="25"/>
  <c r="G263" i="25" s="1"/>
  <c r="F262" i="25"/>
  <c r="G262" i="25" s="1"/>
  <c r="F261" i="25"/>
  <c r="G261" i="25" s="1"/>
  <c r="F260" i="25"/>
  <c r="G260" i="25" s="1"/>
  <c r="F259" i="25"/>
  <c r="G259" i="25" s="1"/>
  <c r="F258" i="25"/>
  <c r="G258" i="25" s="1"/>
  <c r="F257" i="25"/>
  <c r="G257" i="25" s="1"/>
  <c r="F256" i="25"/>
  <c r="G256" i="25" s="1"/>
  <c r="F255" i="25"/>
  <c r="G255" i="25" s="1"/>
  <c r="F254" i="25"/>
  <c r="G254" i="25" s="1"/>
  <c r="F253" i="25"/>
  <c r="G253" i="25" s="1"/>
  <c r="F252" i="25"/>
  <c r="G252" i="25" s="1"/>
  <c r="F251" i="25"/>
  <c r="G251" i="25" s="1"/>
  <c r="F250" i="25"/>
  <c r="G250" i="25" s="1"/>
  <c r="D248" i="25"/>
  <c r="F248" i="25" s="1"/>
  <c r="G248" i="25" s="1"/>
  <c r="F247" i="25"/>
  <c r="G247" i="25" s="1"/>
  <c r="F246" i="25"/>
  <c r="G246" i="25" s="1"/>
  <c r="D244" i="25"/>
  <c r="F244" i="25" s="1"/>
  <c r="G244" i="25" s="1"/>
  <c r="D243" i="25"/>
  <c r="F243" i="25" s="1"/>
  <c r="G243" i="25" s="1"/>
  <c r="F241" i="25"/>
  <c r="G241" i="25" s="1"/>
  <c r="D240" i="25"/>
  <c r="F240" i="25" s="1"/>
  <c r="G240" i="25" s="1"/>
  <c r="D239" i="25"/>
  <c r="F239" i="25" s="1"/>
  <c r="G239" i="25" s="1"/>
  <c r="D238" i="25"/>
  <c r="F238" i="25" s="1"/>
  <c r="G238" i="25" s="1"/>
  <c r="D237" i="25"/>
  <c r="F237" i="25" s="1"/>
  <c r="G237" i="25" s="1"/>
  <c r="D236" i="25"/>
  <c r="F236" i="25" s="1"/>
  <c r="G236" i="25" s="1"/>
  <c r="D235" i="25"/>
  <c r="F235" i="25" s="1"/>
  <c r="G235" i="25" s="1"/>
  <c r="D234" i="25"/>
  <c r="F234" i="25" s="1"/>
  <c r="G234" i="25" s="1"/>
  <c r="D233" i="25"/>
  <c r="F233" i="25" s="1"/>
  <c r="G233" i="25" s="1"/>
  <c r="D232" i="25"/>
  <c r="F232" i="25" s="1"/>
  <c r="G232" i="25" s="1"/>
  <c r="D231" i="25"/>
  <c r="F231" i="25" s="1"/>
  <c r="G231" i="25" s="1"/>
  <c r="D230" i="25"/>
  <c r="F230" i="25" s="1"/>
  <c r="G230" i="25" s="1"/>
  <c r="D229" i="25"/>
  <c r="F229" i="25" s="1"/>
  <c r="G229" i="25" s="1"/>
  <c r="D228" i="25"/>
  <c r="F228" i="25" s="1"/>
  <c r="G228" i="25" s="1"/>
  <c r="D227" i="25"/>
  <c r="F227" i="25" s="1"/>
  <c r="G227" i="25" s="1"/>
  <c r="F226" i="25"/>
  <c r="G226" i="25" s="1"/>
  <c r="F225" i="25"/>
  <c r="G225" i="25" s="1"/>
  <c r="F223" i="25"/>
  <c r="G223" i="25" s="1"/>
  <c r="F222" i="25"/>
  <c r="G222" i="25" s="1"/>
  <c r="F221" i="25"/>
  <c r="G221" i="25" s="1"/>
  <c r="D220" i="25"/>
  <c r="F220" i="25" s="1"/>
  <c r="G220" i="25" s="1"/>
  <c r="D219" i="25"/>
  <c r="F219" i="25" s="1"/>
  <c r="G219" i="25" s="1"/>
  <c r="F218" i="25"/>
  <c r="G218" i="25" s="1"/>
  <c r="F217" i="25"/>
  <c r="G217" i="25" s="1"/>
  <c r="F216" i="25"/>
  <c r="G216" i="25" s="1"/>
  <c r="F214" i="25"/>
  <c r="G214" i="25" s="1"/>
  <c r="F213" i="25"/>
  <c r="G213" i="25" s="1"/>
  <c r="F212" i="25"/>
  <c r="G212" i="25" s="1"/>
  <c r="F211" i="25"/>
  <c r="G211" i="25" s="1"/>
  <c r="F210" i="25"/>
  <c r="G210" i="25" s="1"/>
  <c r="F209" i="25"/>
  <c r="G209" i="25" s="1"/>
  <c r="F207" i="25"/>
  <c r="G207" i="25" s="1"/>
  <c r="F206" i="25"/>
  <c r="G206" i="25" s="1"/>
  <c r="F205" i="25"/>
  <c r="G205" i="25" s="1"/>
  <c r="F204" i="25"/>
  <c r="G204" i="25" s="1"/>
  <c r="F203" i="25"/>
  <c r="G203" i="25" s="1"/>
  <c r="D202" i="25"/>
  <c r="F202" i="25" s="1"/>
  <c r="G202" i="25" s="1"/>
  <c r="F201" i="25"/>
  <c r="G201" i="25" s="1"/>
  <c r="F200" i="25"/>
  <c r="G200" i="25" s="1"/>
  <c r="D199" i="25"/>
  <c r="F199" i="25" s="1"/>
  <c r="G199" i="25" s="1"/>
  <c r="F198" i="25"/>
  <c r="G198" i="25" s="1"/>
  <c r="F196" i="25"/>
  <c r="G196" i="25" s="1"/>
  <c r="D195" i="25"/>
  <c r="F195" i="25" s="1"/>
  <c r="G195" i="25" s="1"/>
  <c r="F194" i="25"/>
  <c r="G194" i="25" s="1"/>
  <c r="F193" i="25"/>
  <c r="G193" i="25" s="1"/>
  <c r="F191" i="25"/>
  <c r="G191" i="25" s="1"/>
  <c r="D190" i="25"/>
  <c r="F190" i="25" s="1"/>
  <c r="G190" i="25" s="1"/>
  <c r="F189" i="25"/>
  <c r="G189" i="25" s="1"/>
  <c r="F188" i="25"/>
  <c r="G188" i="25" s="1"/>
  <c r="F187" i="25"/>
  <c r="G187" i="25" s="1"/>
  <c r="F186" i="25"/>
  <c r="G186" i="25" s="1"/>
  <c r="F185" i="25"/>
  <c r="G185" i="25" s="1"/>
  <c r="F182" i="25"/>
  <c r="G182" i="25" s="1"/>
  <c r="F181" i="25"/>
  <c r="G181" i="25" s="1"/>
  <c r="F180" i="25"/>
  <c r="G180" i="25" s="1"/>
  <c r="F179" i="25"/>
  <c r="G179" i="25" s="1"/>
  <c r="F178" i="25"/>
  <c r="G178" i="25" s="1"/>
  <c r="F177" i="25"/>
  <c r="G177" i="25" s="1"/>
  <c r="F176" i="25"/>
  <c r="G176" i="25" s="1"/>
  <c r="F175" i="25"/>
  <c r="G175" i="25" s="1"/>
  <c r="D174" i="25"/>
  <c r="F174" i="25" s="1"/>
  <c r="G174" i="25" s="1"/>
  <c r="D173" i="25"/>
  <c r="F173" i="25" s="1"/>
  <c r="G173" i="25" s="1"/>
  <c r="D172" i="25"/>
  <c r="F172" i="25" s="1"/>
  <c r="G172" i="25" s="1"/>
  <c r="F171" i="25"/>
  <c r="G171" i="25" s="1"/>
  <c r="F170" i="25"/>
  <c r="G170" i="25" s="1"/>
  <c r="F169" i="25"/>
  <c r="G169" i="25" s="1"/>
  <c r="F168" i="25"/>
  <c r="G168" i="25" s="1"/>
  <c r="F167" i="25"/>
  <c r="G167" i="25" s="1"/>
  <c r="F166" i="25"/>
  <c r="G166" i="25" s="1"/>
  <c r="F165" i="25"/>
  <c r="G165" i="25" s="1"/>
  <c r="F164" i="25"/>
  <c r="G164" i="25" s="1"/>
  <c r="F163" i="25"/>
  <c r="G163" i="25" s="1"/>
  <c r="F162" i="25"/>
  <c r="G162" i="25" s="1"/>
  <c r="D161" i="25"/>
  <c r="F161" i="25" s="1"/>
  <c r="G161" i="25" s="1"/>
  <c r="F160" i="25"/>
  <c r="G160" i="25" s="1"/>
  <c r="F158" i="25"/>
  <c r="G158" i="25" s="1"/>
  <c r="F157" i="25"/>
  <c r="G157" i="25" s="1"/>
  <c r="F156" i="25"/>
  <c r="G156" i="25" s="1"/>
  <c r="F155" i="25"/>
  <c r="G155" i="25" s="1"/>
  <c r="F153" i="25"/>
  <c r="G153" i="25" s="1"/>
  <c r="F152" i="25"/>
  <c r="G152" i="25" s="1"/>
  <c r="F150" i="25"/>
  <c r="G150" i="25" s="1"/>
  <c r="F149" i="25"/>
  <c r="G149" i="25" s="1"/>
  <c r="F148" i="25"/>
  <c r="G148" i="25" s="1"/>
  <c r="F147" i="25"/>
  <c r="G147" i="25" s="1"/>
  <c r="F146" i="25"/>
  <c r="G146" i="25" s="1"/>
  <c r="F143" i="25"/>
  <c r="G143" i="25" s="1"/>
  <c r="F142" i="25"/>
  <c r="G142" i="25" s="1"/>
  <c r="F141" i="25"/>
  <c r="G141" i="25" s="1"/>
  <c r="D140" i="25"/>
  <c r="F140" i="25" s="1"/>
  <c r="G140" i="25" s="1"/>
  <c r="D139" i="25"/>
  <c r="F139" i="25" s="1"/>
  <c r="G139" i="25" s="1"/>
  <c r="D138" i="25"/>
  <c r="F138" i="25" s="1"/>
  <c r="G138" i="25" s="1"/>
  <c r="F137" i="25"/>
  <c r="G137" i="25" s="1"/>
  <c r="D137" i="25"/>
  <c r="D136" i="25"/>
  <c r="K136" i="25" s="1"/>
  <c r="D135" i="25"/>
  <c r="K135" i="25" s="1"/>
  <c r="D134" i="25"/>
  <c r="K134" i="25" s="1"/>
  <c r="D133" i="25"/>
  <c r="K133" i="25" s="1"/>
  <c r="D132" i="25"/>
  <c r="K132" i="25" s="1"/>
  <c r="D131" i="25"/>
  <c r="K131" i="25" s="1"/>
  <c r="D130" i="25"/>
  <c r="K130" i="25" s="1"/>
  <c r="D129" i="25"/>
  <c r="K129" i="25" s="1"/>
  <c r="D128" i="25"/>
  <c r="K128" i="25" s="1"/>
  <c r="K301" i="25" s="1"/>
  <c r="F126" i="25"/>
  <c r="G126" i="25" s="1"/>
  <c r="F125" i="25"/>
  <c r="G125" i="25" s="1"/>
  <c r="D124" i="25"/>
  <c r="F124" i="25" s="1"/>
  <c r="G124" i="25" s="1"/>
  <c r="D123" i="25"/>
  <c r="F123" i="25" s="1"/>
  <c r="G123" i="25" s="1"/>
  <c r="F122" i="25"/>
  <c r="G122" i="25" s="1"/>
  <c r="F121" i="25"/>
  <c r="G121" i="25" s="1"/>
  <c r="D120" i="25"/>
  <c r="F120" i="25" s="1"/>
  <c r="G120" i="25" s="1"/>
  <c r="F119" i="25"/>
  <c r="G119" i="25" s="1"/>
  <c r="F118" i="25"/>
  <c r="G118" i="25" s="1"/>
  <c r="F117" i="25"/>
  <c r="G117" i="25" s="1"/>
  <c r="F114" i="25"/>
  <c r="G114" i="25" s="1"/>
  <c r="F113" i="25"/>
  <c r="G113" i="25" s="1"/>
  <c r="F112" i="25"/>
  <c r="G112" i="25" s="1"/>
  <c r="D111" i="25"/>
  <c r="F111" i="25" s="1"/>
  <c r="G111" i="25" s="1"/>
  <c r="D110" i="25"/>
  <c r="F110" i="25" s="1"/>
  <c r="G110" i="25" s="1"/>
  <c r="F109" i="25"/>
  <c r="G109" i="25" s="1"/>
  <c r="D108" i="25"/>
  <c r="F108" i="25" s="1"/>
  <c r="G108" i="25" s="1"/>
  <c r="F107" i="25"/>
  <c r="G107" i="25" s="1"/>
  <c r="F106" i="25"/>
  <c r="G106" i="25" s="1"/>
  <c r="F105" i="25"/>
  <c r="G105" i="25" s="1"/>
  <c r="F104" i="25"/>
  <c r="G104" i="25" s="1"/>
  <c r="F103" i="25"/>
  <c r="G103" i="25" s="1"/>
  <c r="F102" i="25"/>
  <c r="G102" i="25" s="1"/>
  <c r="F101" i="25"/>
  <c r="G101" i="25" s="1"/>
  <c r="F100" i="25"/>
  <c r="G100" i="25" s="1"/>
  <c r="F99" i="25"/>
  <c r="G99" i="25" s="1"/>
  <c r="F98" i="25"/>
  <c r="G98" i="25" s="1"/>
  <c r="F97" i="25"/>
  <c r="G97" i="25" s="1"/>
  <c r="F96" i="25"/>
  <c r="G96" i="25" s="1"/>
  <c r="F95" i="25"/>
  <c r="G95" i="25" s="1"/>
  <c r="F93" i="25"/>
  <c r="G93" i="25" s="1"/>
  <c r="D92" i="25"/>
  <c r="F92" i="25" s="1"/>
  <c r="G92" i="25" s="1"/>
  <c r="D91" i="25"/>
  <c r="F91" i="25" s="1"/>
  <c r="G91" i="25" s="1"/>
  <c r="F90" i="25"/>
  <c r="G90" i="25" s="1"/>
  <c r="D89" i="25"/>
  <c r="F89" i="25" s="1"/>
  <c r="G89" i="25" s="1"/>
  <c r="D88" i="25"/>
  <c r="F88" i="25" s="1"/>
  <c r="G88" i="25" s="1"/>
  <c r="D87" i="25"/>
  <c r="F87" i="25" s="1"/>
  <c r="G87" i="25" s="1"/>
  <c r="F84" i="25"/>
  <c r="G84" i="25" s="1"/>
  <c r="D83" i="25"/>
  <c r="F83" i="25" s="1"/>
  <c r="G83" i="25" s="1"/>
  <c r="D82" i="25"/>
  <c r="F82" i="25" s="1"/>
  <c r="G82" i="25" s="1"/>
  <c r="D81" i="25"/>
  <c r="F81" i="25" s="1"/>
  <c r="G81" i="25" s="1"/>
  <c r="D80" i="25"/>
  <c r="F80" i="25" s="1"/>
  <c r="G80" i="25" s="1"/>
  <c r="D79" i="25"/>
  <c r="F79" i="25" s="1"/>
  <c r="G79" i="25" s="1"/>
  <c r="D78" i="25"/>
  <c r="F78" i="25" s="1"/>
  <c r="G78" i="25" s="1"/>
  <c r="D77" i="25"/>
  <c r="F77" i="25" s="1"/>
  <c r="G77" i="25" s="1"/>
  <c r="D76" i="25"/>
  <c r="F76" i="25" s="1"/>
  <c r="G76" i="25" s="1"/>
  <c r="D75" i="25"/>
  <c r="F75" i="25" s="1"/>
  <c r="G75" i="25" s="1"/>
  <c r="D74" i="25"/>
  <c r="F74" i="25" s="1"/>
  <c r="G74" i="25" s="1"/>
  <c r="D73" i="25"/>
  <c r="F73" i="25" s="1"/>
  <c r="G73" i="25" s="1"/>
  <c r="D71" i="25"/>
  <c r="F71" i="25" s="1"/>
  <c r="G71" i="25" s="1"/>
  <c r="D70" i="25"/>
  <c r="F70" i="25" s="1"/>
  <c r="G70" i="25" s="1"/>
  <c r="D69" i="25"/>
  <c r="F69" i="25" s="1"/>
  <c r="G69" i="25" s="1"/>
  <c r="D68" i="25"/>
  <c r="F68" i="25" s="1"/>
  <c r="G68" i="25" s="1"/>
  <c r="D67" i="25"/>
  <c r="F67" i="25" s="1"/>
  <c r="G67" i="25" s="1"/>
  <c r="D66" i="25"/>
  <c r="F66" i="25" s="1"/>
  <c r="G66" i="25" s="1"/>
  <c r="D65" i="25"/>
  <c r="F65" i="25" s="1"/>
  <c r="G65" i="25" s="1"/>
  <c r="D64" i="25"/>
  <c r="F64" i="25" s="1"/>
  <c r="G64" i="25" s="1"/>
  <c r="D63" i="25"/>
  <c r="F63" i="25" s="1"/>
  <c r="G63" i="25" s="1"/>
  <c r="F61" i="25"/>
  <c r="G61" i="25" s="1"/>
  <c r="F60" i="25"/>
  <c r="G60" i="25" s="1"/>
  <c r="F59" i="25"/>
  <c r="G59" i="25" s="1"/>
  <c r="F58" i="25"/>
  <c r="G58" i="25" s="1"/>
  <c r="D57" i="25"/>
  <c r="F57" i="25" s="1"/>
  <c r="G57" i="25" s="1"/>
  <c r="D56" i="25"/>
  <c r="F56" i="25" s="1"/>
  <c r="G56" i="25" s="1"/>
  <c r="D55" i="25"/>
  <c r="F55" i="25" s="1"/>
  <c r="G55" i="25" s="1"/>
  <c r="D54" i="25"/>
  <c r="F54" i="25" s="1"/>
  <c r="G54" i="25" s="1"/>
  <c r="D53" i="25"/>
  <c r="F53" i="25" s="1"/>
  <c r="G53" i="25" s="1"/>
  <c r="D52" i="25"/>
  <c r="F52" i="25" s="1"/>
  <c r="G52" i="25" s="1"/>
  <c r="D49" i="25"/>
  <c r="F49" i="25" s="1"/>
  <c r="G49" i="25" s="1"/>
  <c r="D48" i="25"/>
  <c r="F48" i="25" s="1"/>
  <c r="G48" i="25" s="1"/>
  <c r="D47" i="25"/>
  <c r="F47" i="25" s="1"/>
  <c r="G47" i="25" s="1"/>
  <c r="D46" i="25"/>
  <c r="F46" i="25" s="1"/>
  <c r="G46" i="25" s="1"/>
  <c r="D45" i="25"/>
  <c r="F45" i="25" s="1"/>
  <c r="G45" i="25" s="1"/>
  <c r="D44" i="25"/>
  <c r="F44" i="25" s="1"/>
  <c r="G44" i="25" s="1"/>
  <c r="D43" i="25"/>
  <c r="F43" i="25" s="1"/>
  <c r="G43" i="25" s="1"/>
  <c r="F41" i="25"/>
  <c r="G41" i="25" s="1"/>
  <c r="F40" i="25"/>
  <c r="G40" i="25" s="1"/>
  <c r="D39" i="25"/>
  <c r="F39" i="25" s="1"/>
  <c r="G39" i="25" s="1"/>
  <c r="D38" i="25"/>
  <c r="F38" i="25" s="1"/>
  <c r="G38" i="25" s="1"/>
  <c r="D37" i="25"/>
  <c r="F37" i="25" s="1"/>
  <c r="G37" i="25" s="1"/>
  <c r="D36" i="25"/>
  <c r="F36" i="25" s="1"/>
  <c r="G36" i="25" s="1"/>
  <c r="D35" i="25"/>
  <c r="F35" i="25" s="1"/>
  <c r="G35" i="25" s="1"/>
  <c r="F33" i="25"/>
  <c r="G33" i="25" s="1"/>
  <c r="F32" i="25"/>
  <c r="G32" i="25" s="1"/>
  <c r="D31" i="25"/>
  <c r="F31" i="25" s="1"/>
  <c r="G31" i="25" s="1"/>
  <c r="D30" i="25"/>
  <c r="F30" i="25" s="1"/>
  <c r="G30" i="25" s="1"/>
  <c r="D29" i="25"/>
  <c r="F29" i="25" s="1"/>
  <c r="G29" i="25" s="1"/>
  <c r="D28" i="25"/>
  <c r="F28" i="25" s="1"/>
  <c r="G28" i="25" s="1"/>
  <c r="D27" i="25"/>
  <c r="F27" i="25" s="1"/>
  <c r="G27" i="25" s="1"/>
  <c r="D26" i="25"/>
  <c r="F26" i="25" s="1"/>
  <c r="G26" i="25" s="1"/>
  <c r="D25" i="25"/>
  <c r="F25" i="25" s="1"/>
  <c r="G25" i="25" s="1"/>
  <c r="D24" i="25"/>
  <c r="F24" i="25" s="1"/>
  <c r="G24" i="25" s="1"/>
  <c r="F21" i="25"/>
  <c r="G21" i="25" s="1"/>
  <c r="F20" i="25"/>
  <c r="G20" i="25" s="1"/>
  <c r="F19" i="25"/>
  <c r="G19" i="25" s="1"/>
  <c r="F18" i="25"/>
  <c r="G18" i="25" s="1"/>
  <c r="F17" i="25"/>
  <c r="G17" i="25" s="1"/>
  <c r="F16" i="25"/>
  <c r="G16" i="25" s="1"/>
  <c r="F14" i="25"/>
  <c r="G14" i="25" s="1"/>
  <c r="F13" i="25"/>
  <c r="G13" i="25" s="1"/>
  <c r="F12" i="25"/>
  <c r="G12" i="25" s="1"/>
  <c r="F11" i="25"/>
  <c r="G11" i="25" s="1"/>
  <c r="F10" i="25"/>
  <c r="G10" i="25" s="1"/>
  <c r="F9" i="25"/>
  <c r="G9" i="25" s="1"/>
  <c r="F8" i="25"/>
  <c r="G8" i="25" s="1"/>
  <c r="A8" i="25"/>
  <c r="A9" i="25" s="1"/>
  <c r="A10" i="25" s="1"/>
  <c r="A11" i="25" s="1"/>
  <c r="A12" i="25" s="1"/>
  <c r="A13" i="25" s="1"/>
  <c r="A14" i="25" s="1"/>
  <c r="A16" i="25" s="1"/>
  <c r="A17" i="25" s="1"/>
  <c r="A18" i="25" s="1"/>
  <c r="A19" i="25" s="1"/>
  <c r="A20" i="25" s="1"/>
  <c r="A21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5" i="25" s="1"/>
  <c r="A36" i="25" s="1"/>
  <c r="A37" i="25" s="1"/>
  <c r="A38" i="25" s="1"/>
  <c r="A39" i="25" s="1"/>
  <c r="A40" i="25" s="1"/>
  <c r="A41" i="25" s="1"/>
  <c r="A42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3" i="25" s="1"/>
  <c r="A64" i="25" s="1"/>
  <c r="A65" i="25" s="1"/>
  <c r="A66" i="25" s="1"/>
  <c r="A67" i="25" s="1"/>
  <c r="A68" i="25" s="1"/>
  <c r="A69" i="25" s="1"/>
  <c r="A70" i="25" s="1"/>
  <c r="A71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7" i="25" s="1"/>
  <c r="A88" i="25" s="1"/>
  <c r="A89" i="25" s="1"/>
  <c r="A90" i="25" s="1"/>
  <c r="A91" i="25" s="1"/>
  <c r="A92" i="25" s="1"/>
  <c r="A93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6" i="25" s="1"/>
  <c r="A147" i="25" s="1"/>
  <c r="A148" i="25" s="1"/>
  <c r="A149" i="25" s="1"/>
  <c r="A150" i="25" s="1"/>
  <c r="A152" i="25" s="1"/>
  <c r="A153" i="25" s="1"/>
  <c r="A155" i="25" s="1"/>
  <c r="A156" i="25" s="1"/>
  <c r="A157" i="25" s="1"/>
  <c r="A158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5" i="25" s="1"/>
  <c r="A186" i="25" s="1"/>
  <c r="A187" i="25" s="1"/>
  <c r="A188" i="25" s="1"/>
  <c r="F7" i="25"/>
  <c r="F235" i="24"/>
  <c r="G235" i="24" s="1"/>
  <c r="F234" i="24"/>
  <c r="G234" i="24" s="1"/>
  <c r="F233" i="24"/>
  <c r="G233" i="24" s="1"/>
  <c r="F232" i="24"/>
  <c r="G232" i="24" s="1"/>
  <c r="F231" i="24"/>
  <c r="G231" i="24" s="1"/>
  <c r="F230" i="24"/>
  <c r="G230" i="24" s="1"/>
  <c r="F229" i="24"/>
  <c r="G229" i="24" s="1"/>
  <c r="F228" i="24"/>
  <c r="G228" i="24" s="1"/>
  <c r="F227" i="24"/>
  <c r="G227" i="24" s="1"/>
  <c r="F226" i="24"/>
  <c r="G226" i="24" s="1"/>
  <c r="F225" i="24"/>
  <c r="G225" i="24" s="1"/>
  <c r="D224" i="24"/>
  <c r="F224" i="24" s="1"/>
  <c r="G224" i="24" s="1"/>
  <c r="F223" i="24"/>
  <c r="G223" i="24" s="1"/>
  <c r="F222" i="24"/>
  <c r="G222" i="24" s="1"/>
  <c r="F221" i="24"/>
  <c r="G221" i="24" s="1"/>
  <c r="F220" i="24"/>
  <c r="G220" i="24" s="1"/>
  <c r="F219" i="24"/>
  <c r="G219" i="24" s="1"/>
  <c r="F218" i="24"/>
  <c r="G218" i="24" s="1"/>
  <c r="F217" i="24"/>
  <c r="G217" i="24" s="1"/>
  <c r="F216" i="24"/>
  <c r="G216" i="24" s="1"/>
  <c r="F215" i="24"/>
  <c r="G215" i="24" s="1"/>
  <c r="F214" i="24"/>
  <c r="G214" i="24" s="1"/>
  <c r="F213" i="24"/>
  <c r="G213" i="24" s="1"/>
  <c r="F212" i="24"/>
  <c r="G212" i="24" s="1"/>
  <c r="F211" i="24"/>
  <c r="G211" i="24" s="1"/>
  <c r="D210" i="24"/>
  <c r="F210" i="24" s="1"/>
  <c r="G210" i="24" s="1"/>
  <c r="F209" i="24"/>
  <c r="G209" i="24" s="1"/>
  <c r="F208" i="24"/>
  <c r="G208" i="24" s="1"/>
  <c r="F207" i="24"/>
  <c r="G207" i="24" s="1"/>
  <c r="F205" i="24"/>
  <c r="G205" i="24" s="1"/>
  <c r="F204" i="24"/>
  <c r="G204" i="24" s="1"/>
  <c r="F203" i="24"/>
  <c r="G203" i="24" s="1"/>
  <c r="F202" i="24"/>
  <c r="G202" i="24" s="1"/>
  <c r="F201" i="24"/>
  <c r="G201" i="24" s="1"/>
  <c r="F200" i="24"/>
  <c r="G200" i="24" s="1"/>
  <c r="F199" i="24"/>
  <c r="G199" i="24" s="1"/>
  <c r="F198" i="24"/>
  <c r="G198" i="24" s="1"/>
  <c r="F197" i="24"/>
  <c r="G197" i="24" s="1"/>
  <c r="F196" i="24"/>
  <c r="G196" i="24" s="1"/>
  <c r="F195" i="24"/>
  <c r="G195" i="24" s="1"/>
  <c r="F194" i="24"/>
  <c r="G194" i="24" s="1"/>
  <c r="F193" i="24"/>
  <c r="G193" i="24" s="1"/>
  <c r="F192" i="24"/>
  <c r="G192" i="24" s="1"/>
  <c r="F191" i="24"/>
  <c r="G191" i="24" s="1"/>
  <c r="F190" i="24"/>
  <c r="G190" i="24" s="1"/>
  <c r="F189" i="24"/>
  <c r="G189" i="24" s="1"/>
  <c r="F188" i="24"/>
  <c r="G188" i="24" s="1"/>
  <c r="F187" i="24"/>
  <c r="G187" i="24" s="1"/>
  <c r="F186" i="24"/>
  <c r="G186" i="24" s="1"/>
  <c r="F185" i="24"/>
  <c r="G185" i="24" s="1"/>
  <c r="F183" i="24"/>
  <c r="G183" i="24" s="1"/>
  <c r="F182" i="24"/>
  <c r="G182" i="24" s="1"/>
  <c r="F181" i="24"/>
  <c r="G181" i="24" s="1"/>
  <c r="F180" i="24"/>
  <c r="G180" i="24" s="1"/>
  <c r="F179" i="24"/>
  <c r="G179" i="24" s="1"/>
  <c r="F178" i="24"/>
  <c r="G178" i="24" s="1"/>
  <c r="F177" i="24"/>
  <c r="G177" i="24" s="1"/>
  <c r="F176" i="24"/>
  <c r="G176" i="24" s="1"/>
  <c r="F175" i="24"/>
  <c r="G175" i="24" s="1"/>
  <c r="F174" i="24"/>
  <c r="G174" i="24" s="1"/>
  <c r="F173" i="24"/>
  <c r="G173" i="24" s="1"/>
  <c r="F172" i="24"/>
  <c r="G172" i="24" s="1"/>
  <c r="F171" i="24"/>
  <c r="G171" i="24" s="1"/>
  <c r="F170" i="24"/>
  <c r="G170" i="24" s="1"/>
  <c r="F169" i="24"/>
  <c r="G169" i="24" s="1"/>
  <c r="F168" i="24"/>
  <c r="G168" i="24" s="1"/>
  <c r="F167" i="24"/>
  <c r="G167" i="24" s="1"/>
  <c r="F166" i="24"/>
  <c r="G166" i="24" s="1"/>
  <c r="F165" i="24"/>
  <c r="G165" i="24" s="1"/>
  <c r="F164" i="24"/>
  <c r="G164" i="24" s="1"/>
  <c r="F163" i="24"/>
  <c r="G163" i="24" s="1"/>
  <c r="F162" i="24"/>
  <c r="G162" i="24" s="1"/>
  <c r="F161" i="24"/>
  <c r="G161" i="24" s="1"/>
  <c r="D159" i="24"/>
  <c r="F159" i="24" s="1"/>
  <c r="G159" i="24" s="1"/>
  <c r="D158" i="24"/>
  <c r="F158" i="24" s="1"/>
  <c r="G158" i="24" s="1"/>
  <c r="D157" i="24"/>
  <c r="F157" i="24" s="1"/>
  <c r="G157" i="24" s="1"/>
  <c r="D156" i="24"/>
  <c r="F156" i="24" s="1"/>
  <c r="G156" i="24" s="1"/>
  <c r="D155" i="24"/>
  <c r="F155" i="24" s="1"/>
  <c r="G155" i="24" s="1"/>
  <c r="D154" i="24"/>
  <c r="F154" i="24" s="1"/>
  <c r="G154" i="24" s="1"/>
  <c r="D153" i="24"/>
  <c r="F153" i="24" s="1"/>
  <c r="G153" i="24" s="1"/>
  <c r="F151" i="24"/>
  <c r="G151" i="24" s="1"/>
  <c r="F150" i="24"/>
  <c r="G150" i="24" s="1"/>
  <c r="F149" i="24"/>
  <c r="G149" i="24" s="1"/>
  <c r="F148" i="24"/>
  <c r="G148" i="24" s="1"/>
  <c r="F147" i="24"/>
  <c r="G147" i="24" s="1"/>
  <c r="F145" i="24"/>
  <c r="G145" i="24" s="1"/>
  <c r="F144" i="24"/>
  <c r="G144" i="24" s="1"/>
  <c r="F143" i="24"/>
  <c r="G143" i="24" s="1"/>
  <c r="F142" i="24"/>
  <c r="G142" i="24" s="1"/>
  <c r="F141" i="24"/>
  <c r="G141" i="24" s="1"/>
  <c r="F140" i="24"/>
  <c r="G140" i="24" s="1"/>
  <c r="F136" i="24"/>
  <c r="G136" i="24" s="1"/>
  <c r="F135" i="24"/>
  <c r="G135" i="24" s="1"/>
  <c r="F134" i="24"/>
  <c r="G134" i="24" s="1"/>
  <c r="F133" i="24"/>
  <c r="G133" i="24" s="1"/>
  <c r="F132" i="24"/>
  <c r="G132" i="24" s="1"/>
  <c r="F131" i="24"/>
  <c r="G131" i="24" s="1"/>
  <c r="F130" i="24"/>
  <c r="G130" i="24" s="1"/>
  <c r="F129" i="24"/>
  <c r="G129" i="24" s="1"/>
  <c r="F128" i="24"/>
  <c r="G128" i="24" s="1"/>
  <c r="F126" i="24"/>
  <c r="G126" i="24" s="1"/>
  <c r="F125" i="24"/>
  <c r="G125" i="24" s="1"/>
  <c r="F124" i="24"/>
  <c r="G124" i="24" s="1"/>
  <c r="F122" i="24"/>
  <c r="G122" i="24" s="1"/>
  <c r="F120" i="24"/>
  <c r="G120" i="24" s="1"/>
  <c r="F119" i="24"/>
  <c r="G119" i="24" s="1"/>
  <c r="F118" i="24"/>
  <c r="G118" i="24" s="1"/>
  <c r="F116" i="24"/>
  <c r="G116" i="24" s="1"/>
  <c r="F115" i="24"/>
  <c r="G115" i="24" s="1"/>
  <c r="F114" i="24"/>
  <c r="G114" i="24" s="1"/>
  <c r="F113" i="24"/>
  <c r="G113" i="24" s="1"/>
  <c r="F112" i="24"/>
  <c r="G112" i="24" s="1"/>
  <c r="F111" i="24"/>
  <c r="G111" i="24" s="1"/>
  <c r="D110" i="24"/>
  <c r="F110" i="24" s="1"/>
  <c r="G110" i="24" s="1"/>
  <c r="F106" i="24"/>
  <c r="G106" i="24" s="1"/>
  <c r="F105" i="24"/>
  <c r="G105" i="24" s="1"/>
  <c r="F104" i="24"/>
  <c r="G104" i="24" s="1"/>
  <c r="F102" i="24"/>
  <c r="G102" i="24" s="1"/>
  <c r="F101" i="24"/>
  <c r="G101" i="24" s="1"/>
  <c r="F99" i="24"/>
  <c r="G99" i="24" s="1"/>
  <c r="F98" i="24"/>
  <c r="G98" i="24" s="1"/>
  <c r="F97" i="24"/>
  <c r="G97" i="24" s="1"/>
  <c r="F96" i="24"/>
  <c r="G96" i="24" s="1"/>
  <c r="F95" i="24"/>
  <c r="G95" i="24" s="1"/>
  <c r="F94" i="24"/>
  <c r="G94" i="24" s="1"/>
  <c r="F93" i="24"/>
  <c r="G93" i="24" s="1"/>
  <c r="F92" i="24"/>
  <c r="G92" i="24" s="1"/>
  <c r="F90" i="24"/>
  <c r="G90" i="24" s="1"/>
  <c r="F89" i="24"/>
  <c r="G89" i="24" s="1"/>
  <c r="F88" i="24"/>
  <c r="G88" i="24" s="1"/>
  <c r="F87" i="24"/>
  <c r="G87" i="24" s="1"/>
  <c r="F86" i="24"/>
  <c r="G86" i="24" s="1"/>
  <c r="F85" i="24"/>
  <c r="G85" i="24" s="1"/>
  <c r="F82" i="24"/>
  <c r="G82" i="24" s="1"/>
  <c r="F81" i="24"/>
  <c r="G81" i="24" s="1"/>
  <c r="F80" i="24"/>
  <c r="G80" i="24" s="1"/>
  <c r="F79" i="24"/>
  <c r="G79" i="24" s="1"/>
  <c r="F78" i="24"/>
  <c r="G78" i="24" s="1"/>
  <c r="F77" i="24"/>
  <c r="G77" i="24" s="1"/>
  <c r="F76" i="24"/>
  <c r="G76" i="24" s="1"/>
  <c r="F75" i="24"/>
  <c r="G75" i="24" s="1"/>
  <c r="F73" i="24"/>
  <c r="G73" i="24" s="1"/>
  <c r="F72" i="24"/>
  <c r="G72" i="24" s="1"/>
  <c r="F71" i="24"/>
  <c r="G71" i="24" s="1"/>
  <c r="F70" i="24"/>
  <c r="G70" i="24" s="1"/>
  <c r="F69" i="24"/>
  <c r="G69" i="24" s="1"/>
  <c r="F68" i="24"/>
  <c r="G68" i="24" s="1"/>
  <c r="F66" i="24"/>
  <c r="G66" i="24" s="1"/>
  <c r="F65" i="24"/>
  <c r="G65" i="24" s="1"/>
  <c r="F64" i="24"/>
  <c r="G64" i="24" s="1"/>
  <c r="F61" i="24"/>
  <c r="G61" i="24" s="1"/>
  <c r="F60" i="24"/>
  <c r="G60" i="24" s="1"/>
  <c r="F59" i="24"/>
  <c r="G59" i="24" s="1"/>
  <c r="F58" i="24"/>
  <c r="G58" i="24" s="1"/>
  <c r="F57" i="24"/>
  <c r="G57" i="24" s="1"/>
  <c r="F56" i="24"/>
  <c r="G56" i="24" s="1"/>
  <c r="F55" i="24"/>
  <c r="G55" i="24" s="1"/>
  <c r="F53" i="24"/>
  <c r="G53" i="24" s="1"/>
  <c r="F52" i="24"/>
  <c r="G52" i="24" s="1"/>
  <c r="F51" i="24"/>
  <c r="G51" i="24" s="1"/>
  <c r="F48" i="24"/>
  <c r="G48" i="24" s="1"/>
  <c r="F47" i="24"/>
  <c r="G47" i="24" s="1"/>
  <c r="F46" i="24"/>
  <c r="G46" i="24" s="1"/>
  <c r="F44" i="24"/>
  <c r="G44" i="24" s="1"/>
  <c r="F43" i="24"/>
  <c r="G43" i="24" s="1"/>
  <c r="F42" i="24"/>
  <c r="G42" i="24" s="1"/>
  <c r="F41" i="24"/>
  <c r="G41" i="24" s="1"/>
  <c r="F40" i="24"/>
  <c r="G40" i="24" s="1"/>
  <c r="F37" i="24"/>
  <c r="G37" i="24" s="1"/>
  <c r="F36" i="24"/>
  <c r="G36" i="24" s="1"/>
  <c r="F35" i="24"/>
  <c r="G35" i="24" s="1"/>
  <c r="F34" i="24"/>
  <c r="G34" i="24" s="1"/>
  <c r="F33" i="24"/>
  <c r="G33" i="24" s="1"/>
  <c r="F31" i="24"/>
  <c r="G31" i="24" s="1"/>
  <c r="F30" i="24"/>
  <c r="G30" i="24" s="1"/>
  <c r="F29" i="24"/>
  <c r="G29" i="24" s="1"/>
  <c r="F28" i="24"/>
  <c r="G28" i="24" s="1"/>
  <c r="F25" i="24"/>
  <c r="G25" i="24" s="1"/>
  <c r="F23" i="24"/>
  <c r="G23" i="24" s="1"/>
  <c r="F22" i="24"/>
  <c r="G22" i="24" s="1"/>
  <c r="F21" i="24"/>
  <c r="G21" i="24" s="1"/>
  <c r="F20" i="24"/>
  <c r="G20" i="24" s="1"/>
  <c r="F19" i="24"/>
  <c r="G19" i="24" s="1"/>
  <c r="F18" i="24"/>
  <c r="G18" i="24" s="1"/>
  <c r="F17" i="24"/>
  <c r="G17" i="24" s="1"/>
  <c r="F15" i="24"/>
  <c r="G15" i="24" s="1"/>
  <c r="F14" i="24"/>
  <c r="G14" i="24" s="1"/>
  <c r="F13" i="24"/>
  <c r="G13" i="24" s="1"/>
  <c r="F12" i="24"/>
  <c r="G12" i="24" s="1"/>
  <c r="F11" i="24"/>
  <c r="G11" i="24" s="1"/>
  <c r="F10" i="24"/>
  <c r="G10" i="24" s="1"/>
  <c r="F9" i="24"/>
  <c r="G9" i="24" s="1"/>
  <c r="F8" i="24"/>
  <c r="A8" i="24"/>
  <c r="A9" i="24" s="1"/>
  <c r="A10" i="24" s="1"/>
  <c r="A11" i="24" s="1"/>
  <c r="A12" i="24" s="1"/>
  <c r="A13" i="24" s="1"/>
  <c r="A14" i="24" s="1"/>
  <c r="A15" i="24" s="1"/>
  <c r="A17" i="24" s="1"/>
  <c r="A18" i="24" s="1"/>
  <c r="A19" i="24" s="1"/>
  <c r="A20" i="24" s="1"/>
  <c r="A21" i="24" s="1"/>
  <c r="A22" i="24" s="1"/>
  <c r="A23" i="24" s="1"/>
  <c r="A25" i="24" s="1"/>
  <c r="A28" i="24" s="1"/>
  <c r="A29" i="24" s="1"/>
  <c r="A30" i="24" s="1"/>
  <c r="A31" i="24" s="1"/>
  <c r="A33" i="24" s="1"/>
  <c r="A34" i="24" s="1"/>
  <c r="A35" i="24" s="1"/>
  <c r="A36" i="24" s="1"/>
  <c r="A37" i="24" s="1"/>
  <c r="A40" i="24" s="1"/>
  <c r="A41" i="24" s="1"/>
  <c r="A42" i="24" s="1"/>
  <c r="A43" i="24" s="1"/>
  <c r="A44" i="24" s="1"/>
  <c r="A46" i="24" s="1"/>
  <c r="A47" i="24" s="1"/>
  <c r="A48" i="24" s="1"/>
  <c r="A51" i="24" s="1"/>
  <c r="A52" i="24" s="1"/>
  <c r="A53" i="24" s="1"/>
  <c r="A55" i="24" s="1"/>
  <c r="A56" i="24" s="1"/>
  <c r="A57" i="24" s="1"/>
  <c r="A58" i="24" s="1"/>
  <c r="A59" i="24" s="1"/>
  <c r="A60" i="24" s="1"/>
  <c r="A61" i="24" s="1"/>
  <c r="A64" i="24" s="1"/>
  <c r="A65" i="24" s="1"/>
  <c r="A66" i="24" s="1"/>
  <c r="A68" i="24" s="1"/>
  <c r="A69" i="24" s="1"/>
  <c r="A70" i="24" s="1"/>
  <c r="A71" i="24" s="1"/>
  <c r="A72" i="24" s="1"/>
  <c r="A73" i="24" s="1"/>
  <c r="A75" i="24" s="1"/>
  <c r="A76" i="24" s="1"/>
  <c r="A77" i="24" s="1"/>
  <c r="A78" i="24" s="1"/>
  <c r="A79" i="24" s="1"/>
  <c r="A80" i="24" s="1"/>
  <c r="A81" i="24" s="1"/>
  <c r="A82" i="24" s="1"/>
  <c r="A85" i="24" s="1"/>
  <c r="A86" i="24" s="1"/>
  <c r="A87" i="24" s="1"/>
  <c r="A88" i="24" s="1"/>
  <c r="A89" i="24" s="1"/>
  <c r="A90" i="24" s="1"/>
  <c r="A92" i="24" s="1"/>
  <c r="A93" i="24" s="1"/>
  <c r="A94" i="24" s="1"/>
  <c r="A95" i="24" s="1"/>
  <c r="A96" i="24" s="1"/>
  <c r="A97" i="24" s="1"/>
  <c r="A98" i="24" s="1"/>
  <c r="A99" i="24" s="1"/>
  <c r="A101" i="24" s="1"/>
  <c r="A102" i="24" s="1"/>
  <c r="A104" i="24" s="1"/>
  <c r="A105" i="24" s="1"/>
  <c r="A106" i="24" s="1"/>
  <c r="A110" i="24" s="1"/>
  <c r="A111" i="24" s="1"/>
  <c r="A112" i="24" s="1"/>
  <c r="A113" i="24" s="1"/>
  <c r="A114" i="24" s="1"/>
  <c r="A115" i="24" s="1"/>
  <c r="A116" i="24" s="1"/>
  <c r="A118" i="24" s="1"/>
  <c r="A119" i="24" s="1"/>
  <c r="A120" i="24" s="1"/>
  <c r="A122" i="24" s="1"/>
  <c r="A124" i="24" s="1"/>
  <c r="A125" i="24" s="1"/>
  <c r="A126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40" i="24" s="1"/>
  <c r="A141" i="24" s="1"/>
  <c r="A142" i="24" s="1"/>
  <c r="A143" i="24" s="1"/>
  <c r="A144" i="24" s="1"/>
  <c r="F7" i="24"/>
  <c r="G7" i="24" s="1"/>
  <c r="G6" i="27" l="1"/>
  <c r="F129" i="25"/>
  <c r="G129" i="25" s="1"/>
  <c r="F130" i="25"/>
  <c r="G130" i="25" s="1"/>
  <c r="F135" i="25"/>
  <c r="G135" i="25" s="1"/>
  <c r="F131" i="25"/>
  <c r="G131" i="25" s="1"/>
  <c r="F136" i="25"/>
  <c r="G136" i="25" s="1"/>
  <c r="F134" i="25"/>
  <c r="G134" i="25" s="1"/>
  <c r="F133" i="25"/>
  <c r="G133" i="25" s="1"/>
  <c r="F128" i="25"/>
  <c r="G128" i="25" s="1"/>
  <c r="F132" i="25"/>
  <c r="G132" i="25" s="1"/>
  <c r="A145" i="24"/>
  <c r="A147" i="24"/>
  <c r="A148" i="24" s="1"/>
  <c r="A149" i="24" s="1"/>
  <c r="A150" i="24" s="1"/>
  <c r="A151" i="24" s="1"/>
  <c r="A153" i="24" s="1"/>
  <c r="A154" i="24" s="1"/>
  <c r="A155" i="24" s="1"/>
  <c r="A156" i="24" s="1"/>
  <c r="A157" i="24" s="1"/>
  <c r="A158" i="24" s="1"/>
  <c r="A159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F236" i="24"/>
  <c r="A189" i="25"/>
  <c r="A190" i="25" s="1"/>
  <c r="A191" i="25" s="1"/>
  <c r="A193" i="25" s="1"/>
  <c r="A194" i="25" s="1"/>
  <c r="A195" i="25" s="1"/>
  <c r="A196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9" i="25"/>
  <c r="A210" i="25" s="1"/>
  <c r="A211" i="25" s="1"/>
  <c r="A212" i="25" s="1"/>
  <c r="A213" i="25" s="1"/>
  <c r="A214" i="25" s="1"/>
  <c r="A216" i="25" s="1"/>
  <c r="A217" i="25" s="1"/>
  <c r="A225" i="25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3" i="25" s="1"/>
  <c r="A244" i="25" s="1"/>
  <c r="A246" i="25" s="1"/>
  <c r="A247" i="25" s="1"/>
  <c r="A248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G8" i="24"/>
  <c r="G7" i="25"/>
  <c r="F301" i="25" l="1"/>
  <c r="G301" i="25"/>
  <c r="G236" i="24"/>
  <c r="B6" i="27" s="1"/>
  <c r="D6" i="27" s="1"/>
  <c r="A264" i="25"/>
  <c r="A265" i="25" s="1"/>
  <c r="A266" i="25" s="1"/>
  <c r="A268" i="25"/>
  <c r="A269" i="25" s="1"/>
  <c r="A270" i="25" s="1"/>
  <c r="A271" i="25" s="1"/>
  <c r="A272" i="25" s="1"/>
  <c r="A273" i="25" s="1"/>
  <c r="A274" i="25" s="1"/>
  <c r="A275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A218" i="25"/>
  <c r="A219" i="25"/>
  <c r="A220" i="25" s="1"/>
  <c r="A221" i="25" s="1"/>
  <c r="A222" i="25" s="1"/>
  <c r="A223" i="25" s="1"/>
  <c r="D5" i="3" l="1"/>
  <c r="A201" i="12" l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F98" i="19"/>
  <c r="G98" i="19" s="1"/>
  <c r="F97" i="19"/>
  <c r="G97" i="19" s="1"/>
  <c r="F96" i="19"/>
  <c r="G96" i="19" s="1"/>
  <c r="F95" i="19"/>
  <c r="G95" i="19" s="1"/>
  <c r="F94" i="19"/>
  <c r="G94" i="19" s="1"/>
  <c r="F93" i="19"/>
  <c r="G93" i="19" s="1"/>
  <c r="F92" i="19"/>
  <c r="G92" i="19" s="1"/>
  <c r="F91" i="19"/>
  <c r="G91" i="19" s="1"/>
  <c r="F90" i="19"/>
  <c r="G90" i="19" s="1"/>
  <c r="F89" i="19"/>
  <c r="G89" i="19" s="1"/>
  <c r="F88" i="19"/>
  <c r="G88" i="19" s="1"/>
  <c r="F87" i="19"/>
  <c r="G87" i="19" s="1"/>
  <c r="F86" i="19"/>
  <c r="G86" i="19" s="1"/>
  <c r="F85" i="19"/>
  <c r="G85" i="19" s="1"/>
  <c r="F84" i="19"/>
  <c r="G84" i="19" s="1"/>
  <c r="F82" i="19"/>
  <c r="G82" i="19" s="1"/>
  <c r="F81" i="19"/>
  <c r="G81" i="19" s="1"/>
  <c r="F80" i="19"/>
  <c r="G80" i="19" s="1"/>
  <c r="F79" i="19"/>
  <c r="G79" i="19" s="1"/>
  <c r="F78" i="19"/>
  <c r="G78" i="19" s="1"/>
  <c r="F77" i="19"/>
  <c r="G77" i="19" s="1"/>
  <c r="F76" i="19"/>
  <c r="G76" i="19" s="1"/>
  <c r="F75" i="19"/>
  <c r="G75" i="19" s="1"/>
  <c r="F74" i="19"/>
  <c r="G74" i="19" s="1"/>
  <c r="F73" i="19"/>
  <c r="G73" i="19" s="1"/>
  <c r="F72" i="19"/>
  <c r="G72" i="19" s="1"/>
  <c r="F71" i="19"/>
  <c r="G71" i="19" s="1"/>
  <c r="F70" i="19"/>
  <c r="G70" i="19" s="1"/>
  <c r="F69" i="19"/>
  <c r="G69" i="19" s="1"/>
  <c r="D67" i="19"/>
  <c r="F67" i="19" s="1"/>
  <c r="G67" i="19" s="1"/>
  <c r="D66" i="19"/>
  <c r="F66" i="19" s="1"/>
  <c r="G66" i="19" s="1"/>
  <c r="D65" i="19"/>
  <c r="F65" i="19" s="1"/>
  <c r="G65" i="19" s="1"/>
  <c r="D64" i="19"/>
  <c r="F64" i="19" s="1"/>
  <c r="G64" i="19" s="1"/>
  <c r="F63" i="19"/>
  <c r="G63" i="19" s="1"/>
  <c r="F62" i="19"/>
  <c r="G62" i="19" s="1"/>
  <c r="F61" i="19"/>
  <c r="G61" i="19" s="1"/>
  <c r="D60" i="19"/>
  <c r="F60" i="19" s="1"/>
  <c r="G60" i="19" s="1"/>
  <c r="F59" i="19"/>
  <c r="G59" i="19" s="1"/>
  <c r="F57" i="19"/>
  <c r="G57" i="19" s="1"/>
  <c r="F56" i="19"/>
  <c r="G56" i="19" s="1"/>
  <c r="F55" i="19"/>
  <c r="G55" i="19" s="1"/>
  <c r="F54" i="19"/>
  <c r="G54" i="19" s="1"/>
  <c r="F53" i="19"/>
  <c r="G53" i="19" s="1"/>
  <c r="F52" i="19"/>
  <c r="G52" i="19" s="1"/>
  <c r="F51" i="19"/>
  <c r="G51" i="19" s="1"/>
  <c r="F50" i="19"/>
  <c r="G50" i="19" s="1"/>
  <c r="F49" i="19"/>
  <c r="G49" i="19" s="1"/>
  <c r="F48" i="19"/>
  <c r="G48" i="19" s="1"/>
  <c r="F47" i="19"/>
  <c r="G47" i="19" s="1"/>
  <c r="D45" i="19"/>
  <c r="F45" i="19" s="1"/>
  <c r="G45" i="19" s="1"/>
  <c r="F44" i="19"/>
  <c r="G44" i="19" s="1"/>
  <c r="F43" i="19"/>
  <c r="G43" i="19" s="1"/>
  <c r="D42" i="19"/>
  <c r="F42" i="19" s="1"/>
  <c r="G42" i="19" s="1"/>
  <c r="F41" i="19"/>
  <c r="G41" i="19" s="1"/>
  <c r="F40" i="19"/>
  <c r="G40" i="19" s="1"/>
  <c r="F39" i="19"/>
  <c r="G39" i="19" s="1"/>
  <c r="D38" i="19"/>
  <c r="F38" i="19" s="1"/>
  <c r="G38" i="19" s="1"/>
  <c r="F37" i="19"/>
  <c r="G37" i="19" s="1"/>
  <c r="F35" i="19"/>
  <c r="G35" i="19" s="1"/>
  <c r="F34" i="19"/>
  <c r="G34" i="19" s="1"/>
  <c r="F33" i="19"/>
  <c r="G33" i="19" s="1"/>
  <c r="F32" i="19"/>
  <c r="G32" i="19" s="1"/>
  <c r="F31" i="19"/>
  <c r="G31" i="19" s="1"/>
  <c r="D29" i="19"/>
  <c r="F29" i="19" s="1"/>
  <c r="G29" i="19" s="1"/>
  <c r="F28" i="19"/>
  <c r="G28" i="19" s="1"/>
  <c r="F27" i="19"/>
  <c r="G27" i="19" s="1"/>
  <c r="F26" i="19"/>
  <c r="G26" i="19" s="1"/>
  <c r="D24" i="19"/>
  <c r="F24" i="19" s="1"/>
  <c r="G24" i="19" s="1"/>
  <c r="F23" i="19"/>
  <c r="G23" i="19" s="1"/>
  <c r="F22" i="19"/>
  <c r="G22" i="19" s="1"/>
  <c r="F21" i="19"/>
  <c r="G21" i="19" s="1"/>
  <c r="F19" i="19"/>
  <c r="G19" i="19" s="1"/>
  <c r="D18" i="19"/>
  <c r="F18" i="19" s="1"/>
  <c r="G18" i="19" s="1"/>
  <c r="F17" i="19"/>
  <c r="G17" i="19" s="1"/>
  <c r="D16" i="19"/>
  <c r="F16" i="19" s="1"/>
  <c r="G16" i="19" s="1"/>
  <c r="D15" i="19"/>
  <c r="F15" i="19" s="1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7" i="19"/>
  <c r="A7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1" i="19" s="1"/>
  <c r="A22" i="19" s="1"/>
  <c r="A23" i="19" s="1"/>
  <c r="A24" i="19" s="1"/>
  <c r="A26" i="19" s="1"/>
  <c r="A27" i="19" s="1"/>
  <c r="A28" i="19" s="1"/>
  <c r="A29" i="19" s="1"/>
  <c r="A31" i="19" s="1"/>
  <c r="A32" i="19" s="1"/>
  <c r="A33" i="19" s="1"/>
  <c r="A34" i="19" s="1"/>
  <c r="A35" i="19" s="1"/>
  <c r="A37" i="19" s="1"/>
  <c r="A38" i="19" s="1"/>
  <c r="A39" i="19" s="1"/>
  <c r="A40" i="19" s="1"/>
  <c r="A41" i="19" s="1"/>
  <c r="A42" i="19" s="1"/>
  <c r="A43" i="19" s="1"/>
  <c r="A44" i="19" s="1"/>
  <c r="A45" i="19" s="1"/>
  <c r="A47" i="19" s="1"/>
  <c r="A48" i="19" s="1"/>
  <c r="A49" i="19" s="1"/>
  <c r="A50" i="19" s="1"/>
  <c r="A51" i="19" s="1"/>
  <c r="A52" i="19" s="1"/>
  <c r="A53" i="19" s="1"/>
  <c r="A54" i="19" s="1"/>
  <c r="A55" i="19" s="1"/>
  <c r="F88" i="18"/>
  <c r="G88" i="18" s="1"/>
  <c r="F87" i="18"/>
  <c r="G87" i="18" s="1"/>
  <c r="F86" i="18"/>
  <c r="G86" i="18" s="1"/>
  <c r="F85" i="18"/>
  <c r="G85" i="18" s="1"/>
  <c r="F84" i="18"/>
  <c r="G84" i="18" s="1"/>
  <c r="F83" i="18"/>
  <c r="G83" i="18" s="1"/>
  <c r="F82" i="18"/>
  <c r="G82" i="18" s="1"/>
  <c r="F81" i="18"/>
  <c r="G81" i="18" s="1"/>
  <c r="F80" i="18"/>
  <c r="G80" i="18" s="1"/>
  <c r="F79" i="18"/>
  <c r="G79" i="18" s="1"/>
  <c r="F78" i="18"/>
  <c r="G78" i="18" s="1"/>
  <c r="F77" i="18"/>
  <c r="G77" i="18" s="1"/>
  <c r="F76" i="18"/>
  <c r="G76" i="18" s="1"/>
  <c r="F75" i="18"/>
  <c r="G75" i="18" s="1"/>
  <c r="F73" i="18"/>
  <c r="G73" i="18" s="1"/>
  <c r="F72" i="18"/>
  <c r="G72" i="18" s="1"/>
  <c r="F71" i="18"/>
  <c r="G71" i="18" s="1"/>
  <c r="F70" i="18"/>
  <c r="G70" i="18" s="1"/>
  <c r="F69" i="18"/>
  <c r="G69" i="18" s="1"/>
  <c r="F68" i="18"/>
  <c r="G68" i="18" s="1"/>
  <c r="F67" i="18"/>
  <c r="G67" i="18" s="1"/>
  <c r="F66" i="18"/>
  <c r="G66" i="18" s="1"/>
  <c r="F65" i="18"/>
  <c r="G65" i="18" s="1"/>
  <c r="F64" i="18"/>
  <c r="G64" i="18" s="1"/>
  <c r="F63" i="18"/>
  <c r="G63" i="18" s="1"/>
  <c r="F62" i="18"/>
  <c r="G62" i="18" s="1"/>
  <c r="F61" i="18"/>
  <c r="G61" i="18" s="1"/>
  <c r="F60" i="18"/>
  <c r="G60" i="18" s="1"/>
  <c r="F58" i="18"/>
  <c r="G58" i="18" s="1"/>
  <c r="F57" i="18"/>
  <c r="G57" i="18" s="1"/>
  <c r="F56" i="18"/>
  <c r="G56" i="18" s="1"/>
  <c r="F55" i="18"/>
  <c r="G55" i="18" s="1"/>
  <c r="F54" i="18"/>
  <c r="G54" i="18" s="1"/>
  <c r="F53" i="18"/>
  <c r="G53" i="18" s="1"/>
  <c r="F52" i="18"/>
  <c r="G52" i="18" s="1"/>
  <c r="F51" i="18"/>
  <c r="G51" i="18" s="1"/>
  <c r="D50" i="18"/>
  <c r="F50" i="18" s="1"/>
  <c r="G50" i="18" s="1"/>
  <c r="F49" i="18"/>
  <c r="G49" i="18" s="1"/>
  <c r="F47" i="18"/>
  <c r="G47" i="18" s="1"/>
  <c r="F46" i="18"/>
  <c r="G46" i="18" s="1"/>
  <c r="F45" i="18"/>
  <c r="G45" i="18" s="1"/>
  <c r="F44" i="18"/>
  <c r="G44" i="18" s="1"/>
  <c r="F43" i="18"/>
  <c r="G43" i="18" s="1"/>
  <c r="F42" i="18"/>
  <c r="G42" i="18" s="1"/>
  <c r="F41" i="18"/>
  <c r="G41" i="18" s="1"/>
  <c r="F39" i="18"/>
  <c r="G39" i="18" s="1"/>
  <c r="F38" i="18"/>
  <c r="G38" i="18" s="1"/>
  <c r="F37" i="18"/>
  <c r="G37" i="18" s="1"/>
  <c r="F36" i="18"/>
  <c r="G36" i="18" s="1"/>
  <c r="F33" i="18"/>
  <c r="G33" i="18" s="1"/>
  <c r="F32" i="18"/>
  <c r="G32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3" i="18"/>
  <c r="G23" i="18" s="1"/>
  <c r="F22" i="18"/>
  <c r="G22" i="18" s="1"/>
  <c r="F21" i="18"/>
  <c r="G21" i="18" s="1"/>
  <c r="F19" i="18"/>
  <c r="G19" i="18" s="1"/>
  <c r="F18" i="18"/>
  <c r="G18" i="18" s="1"/>
  <c r="F17" i="18"/>
  <c r="G17" i="18" s="1"/>
  <c r="F14" i="18"/>
  <c r="G14" i="18" s="1"/>
  <c r="F12" i="18"/>
  <c r="G12" i="18" s="1"/>
  <c r="F11" i="18"/>
  <c r="G11" i="18" s="1"/>
  <c r="F10" i="18"/>
  <c r="G10" i="18" s="1"/>
  <c r="F9" i="18"/>
  <c r="G9" i="18" s="1"/>
  <c r="F8" i="18"/>
  <c r="G8" i="18" s="1"/>
  <c r="A8" i="18"/>
  <c r="A9" i="18" s="1"/>
  <c r="A10" i="18" s="1"/>
  <c r="A11" i="18" s="1"/>
  <c r="A12" i="18" s="1"/>
  <c r="A14" i="18" s="1"/>
  <c r="A17" i="18" s="1"/>
  <c r="F7" i="18"/>
  <c r="G7" i="18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F9" i="17"/>
  <c r="G9" i="17" s="1"/>
  <c r="A9" i="17"/>
  <c r="A10" i="17" s="1"/>
  <c r="A11" i="17" s="1"/>
  <c r="A12" i="17" s="1"/>
  <c r="A13" i="17" s="1"/>
  <c r="A14" i="17" s="1"/>
  <c r="F7" i="17"/>
  <c r="G7" i="17" s="1"/>
  <c r="F41" i="16"/>
  <c r="G41" i="16" s="1"/>
  <c r="F40" i="16"/>
  <c r="G40" i="16" s="1"/>
  <c r="F39" i="16"/>
  <c r="G39" i="16" s="1"/>
  <c r="F38" i="16"/>
  <c r="G38" i="16" s="1"/>
  <c r="F36" i="16"/>
  <c r="G36" i="16" s="1"/>
  <c r="F35" i="16"/>
  <c r="G35" i="16" s="1"/>
  <c r="F34" i="16"/>
  <c r="G34" i="16" s="1"/>
  <c r="F33" i="16"/>
  <c r="G33" i="16" s="1"/>
  <c r="D32" i="16"/>
  <c r="F32" i="16" s="1"/>
  <c r="G32" i="16" s="1"/>
  <c r="F31" i="16"/>
  <c r="G31" i="16" s="1"/>
  <c r="F30" i="16"/>
  <c r="G30" i="16" s="1"/>
  <c r="F29" i="16"/>
  <c r="G29" i="16" s="1"/>
  <c r="F28" i="16"/>
  <c r="G28" i="16" s="1"/>
  <c r="F27" i="16"/>
  <c r="G27" i="16" s="1"/>
  <c r="F26" i="16"/>
  <c r="G26" i="16" s="1"/>
  <c r="F25" i="16"/>
  <c r="G25" i="16" s="1"/>
  <c r="F24" i="16"/>
  <c r="G24" i="16" s="1"/>
  <c r="F23" i="16"/>
  <c r="G23" i="16" s="1"/>
  <c r="F21" i="16"/>
  <c r="G21" i="16" s="1"/>
  <c r="F20" i="16"/>
  <c r="G20" i="16" s="1"/>
  <c r="F19" i="16"/>
  <c r="G19" i="16" s="1"/>
  <c r="F18" i="16"/>
  <c r="G18" i="16" s="1"/>
  <c r="F17" i="16"/>
  <c r="G17" i="16" s="1"/>
  <c r="F16" i="16"/>
  <c r="G16" i="16" s="1"/>
  <c r="F15" i="16"/>
  <c r="G15" i="16" s="1"/>
  <c r="F14" i="16"/>
  <c r="G14" i="16" s="1"/>
  <c r="F13" i="16"/>
  <c r="G13" i="16" s="1"/>
  <c r="F12" i="16"/>
  <c r="G12" i="16" s="1"/>
  <c r="F11" i="16"/>
  <c r="G11" i="16" s="1"/>
  <c r="F10" i="16"/>
  <c r="G10" i="16" s="1"/>
  <c r="F9" i="16"/>
  <c r="G9" i="16" s="1"/>
  <c r="F8" i="16"/>
  <c r="G8" i="16" s="1"/>
  <c r="A8" i="16"/>
  <c r="F7" i="16"/>
  <c r="A7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3" i="16" s="1"/>
  <c r="A24" i="16" s="1"/>
  <c r="A25" i="16" s="1"/>
  <c r="A26" i="16" s="1"/>
  <c r="A27" i="16" s="1"/>
  <c r="A28" i="16" s="1"/>
  <c r="A29" i="16" s="1"/>
  <c r="A30" i="16" s="1"/>
  <c r="A32" i="16" s="1"/>
  <c r="A33" i="16" s="1"/>
  <c r="A34" i="16" s="1"/>
  <c r="A35" i="16" s="1"/>
  <c r="A36" i="16" s="1"/>
  <c r="A38" i="16" s="1"/>
  <c r="A39" i="16" s="1"/>
  <c r="A40" i="16" s="1"/>
  <c r="A41" i="16" s="1"/>
  <c r="F6" i="16"/>
  <c r="G6" i="16" s="1"/>
  <c r="G32" i="17" l="1"/>
  <c r="F99" i="19"/>
  <c r="A59" i="19"/>
  <c r="A60" i="19" s="1"/>
  <c r="A61" i="19" s="1"/>
  <c r="A62" i="19" s="1"/>
  <c r="A63" i="19" s="1"/>
  <c r="A64" i="19" s="1"/>
  <c r="A65" i="19" s="1"/>
  <c r="A66" i="19" s="1"/>
  <c r="A67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56" i="19"/>
  <c r="A57" i="19" s="1"/>
  <c r="G7" i="19"/>
  <c r="G99" i="19" s="1"/>
  <c r="A21" i="18"/>
  <c r="A22" i="18" s="1"/>
  <c r="A23" i="18" s="1"/>
  <c r="A25" i="18" s="1"/>
  <c r="A26" i="18" s="1"/>
  <c r="A27" i="18" s="1"/>
  <c r="A28" i="18" s="1"/>
  <c r="A29" i="18" s="1"/>
  <c r="A30" i="18" s="1"/>
  <c r="A32" i="18" s="1"/>
  <c r="A33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18" i="18"/>
  <c r="A19" i="18" s="1"/>
  <c r="F40" i="18"/>
  <c r="G40" i="18" s="1"/>
  <c r="G89" i="18" s="1"/>
  <c r="B11" i="27" s="1"/>
  <c r="D11" i="27" s="1"/>
  <c r="A16" i="17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0" i="17" s="1"/>
  <c r="A31" i="17" s="1"/>
  <c r="A15" i="17"/>
  <c r="F32" i="17"/>
  <c r="F42" i="16"/>
  <c r="G7" i="16"/>
  <c r="G42" i="16" s="1"/>
  <c r="F89" i="18" l="1"/>
  <c r="F99" i="22" l="1"/>
  <c r="F35" i="22" l="1"/>
  <c r="G35" i="22" s="1"/>
  <c r="F36" i="22"/>
  <c r="G36" i="22" s="1"/>
  <c r="F9" i="22"/>
  <c r="G9" i="22" s="1"/>
  <c r="A9" i="22"/>
  <c r="A10" i="22" s="1"/>
  <c r="F86" i="23" l="1"/>
  <c r="G86" i="23" s="1"/>
  <c r="F85" i="23"/>
  <c r="G85" i="23" s="1"/>
  <c r="F84" i="23"/>
  <c r="G84" i="23" s="1"/>
  <c r="D82" i="23"/>
  <c r="F82" i="23" s="1"/>
  <c r="G82" i="23" s="1"/>
  <c r="D81" i="23"/>
  <c r="F81" i="23" s="1"/>
  <c r="G81" i="23" s="1"/>
  <c r="D80" i="23"/>
  <c r="F80" i="23" s="1"/>
  <c r="G80" i="23" s="1"/>
  <c r="D79" i="23"/>
  <c r="F79" i="23" s="1"/>
  <c r="G79" i="23" s="1"/>
  <c r="D78" i="23"/>
  <c r="F78" i="23" s="1"/>
  <c r="G78" i="23" s="1"/>
  <c r="D77" i="23"/>
  <c r="F77" i="23" s="1"/>
  <c r="G77" i="23" s="1"/>
  <c r="D76" i="23"/>
  <c r="F76" i="23" s="1"/>
  <c r="G76" i="23" s="1"/>
  <c r="D75" i="23"/>
  <c r="F75" i="23" s="1"/>
  <c r="G75" i="23" s="1"/>
  <c r="F74" i="23"/>
  <c r="G74" i="23" s="1"/>
  <c r="F73" i="23"/>
  <c r="G73" i="23" s="1"/>
  <c r="F72" i="23"/>
  <c r="G72" i="23" s="1"/>
  <c r="F71" i="23"/>
  <c r="G71" i="23" s="1"/>
  <c r="D70" i="23"/>
  <c r="F70" i="23" s="1"/>
  <c r="G70" i="23" s="1"/>
  <c r="F69" i="23"/>
  <c r="G69" i="23" s="1"/>
  <c r="F68" i="23"/>
  <c r="G68" i="23" s="1"/>
  <c r="F66" i="23"/>
  <c r="G66" i="23" s="1"/>
  <c r="F65" i="23"/>
  <c r="G65" i="23" s="1"/>
  <c r="F64" i="23"/>
  <c r="G64" i="23" s="1"/>
  <c r="F63" i="23"/>
  <c r="G63" i="23" s="1"/>
  <c r="D62" i="23"/>
  <c r="F62" i="23" s="1"/>
  <c r="G62" i="23" s="1"/>
  <c r="D61" i="23"/>
  <c r="F61" i="23" s="1"/>
  <c r="G61" i="23" s="1"/>
  <c r="D60" i="23"/>
  <c r="F60" i="23" s="1"/>
  <c r="G60" i="23" s="1"/>
  <c r="D58" i="23"/>
  <c r="F58" i="23" s="1"/>
  <c r="G58" i="23" s="1"/>
  <c r="D57" i="23"/>
  <c r="F57" i="23" s="1"/>
  <c r="G57" i="23" s="1"/>
  <c r="D56" i="23"/>
  <c r="F56" i="23" s="1"/>
  <c r="G56" i="23" s="1"/>
  <c r="D55" i="23"/>
  <c r="F55" i="23" s="1"/>
  <c r="G55" i="23" s="1"/>
  <c r="D54" i="23"/>
  <c r="F54" i="23" s="1"/>
  <c r="G54" i="23" s="1"/>
  <c r="D53" i="23"/>
  <c r="F53" i="23" s="1"/>
  <c r="G53" i="23" s="1"/>
  <c r="D52" i="23"/>
  <c r="F52" i="23" s="1"/>
  <c r="G52" i="23" s="1"/>
  <c r="D51" i="23"/>
  <c r="F51" i="23" s="1"/>
  <c r="G51" i="23" s="1"/>
  <c r="D50" i="23"/>
  <c r="F50" i="23" s="1"/>
  <c r="G50" i="23" s="1"/>
  <c r="D48" i="23"/>
  <c r="F48" i="23" s="1"/>
  <c r="G48" i="23" s="1"/>
  <c r="D47" i="23"/>
  <c r="F47" i="23" s="1"/>
  <c r="G47" i="23" s="1"/>
  <c r="D46" i="23"/>
  <c r="F46" i="23" s="1"/>
  <c r="G46" i="23" s="1"/>
  <c r="D45" i="23"/>
  <c r="F45" i="23" s="1"/>
  <c r="G45" i="23" s="1"/>
  <c r="D44" i="23"/>
  <c r="F44" i="23" s="1"/>
  <c r="G44" i="23" s="1"/>
  <c r="D43" i="23"/>
  <c r="F43" i="23" s="1"/>
  <c r="G43" i="23" s="1"/>
  <c r="D42" i="23"/>
  <c r="F42" i="23" s="1"/>
  <c r="G42" i="23" s="1"/>
  <c r="D41" i="23"/>
  <c r="F41" i="23" s="1"/>
  <c r="G41" i="23" s="1"/>
  <c r="D40" i="23"/>
  <c r="F40" i="23" s="1"/>
  <c r="G40" i="23" s="1"/>
  <c r="D38" i="23"/>
  <c r="F38" i="23" s="1"/>
  <c r="G38" i="23" s="1"/>
  <c r="D37" i="23"/>
  <c r="F37" i="23" s="1"/>
  <c r="G37" i="23" s="1"/>
  <c r="D36" i="23"/>
  <c r="F36" i="23" s="1"/>
  <c r="G36" i="23" s="1"/>
  <c r="D35" i="23"/>
  <c r="F35" i="23" s="1"/>
  <c r="G35" i="23" s="1"/>
  <c r="D34" i="23"/>
  <c r="F34" i="23" s="1"/>
  <c r="G34" i="23" s="1"/>
  <c r="D33" i="23"/>
  <c r="F33" i="23" s="1"/>
  <c r="G33" i="23" s="1"/>
  <c r="D32" i="23"/>
  <c r="F32" i="23" s="1"/>
  <c r="G32" i="23" s="1"/>
  <c r="D31" i="23"/>
  <c r="F31" i="23" s="1"/>
  <c r="G31" i="23" s="1"/>
  <c r="D30" i="23"/>
  <c r="F30" i="23" s="1"/>
  <c r="G30" i="23" s="1"/>
  <c r="D28" i="23"/>
  <c r="F28" i="23" s="1"/>
  <c r="G28" i="23" s="1"/>
  <c r="D27" i="23"/>
  <c r="F27" i="23" s="1"/>
  <c r="G27" i="23" s="1"/>
  <c r="D26" i="23"/>
  <c r="F26" i="23" s="1"/>
  <c r="G26" i="23" s="1"/>
  <c r="D25" i="23"/>
  <c r="F25" i="23" s="1"/>
  <c r="G25" i="23" s="1"/>
  <c r="D24" i="23"/>
  <c r="F24" i="23" s="1"/>
  <c r="G24" i="23" s="1"/>
  <c r="D22" i="23"/>
  <c r="F22" i="23" s="1"/>
  <c r="G22" i="23" s="1"/>
  <c r="D21" i="23"/>
  <c r="F21" i="23" s="1"/>
  <c r="G21" i="23" s="1"/>
  <c r="D20" i="23"/>
  <c r="F20" i="23" s="1"/>
  <c r="G20" i="23" s="1"/>
  <c r="D19" i="23"/>
  <c r="F19" i="23" s="1"/>
  <c r="G19" i="23" s="1"/>
  <c r="D18" i="23"/>
  <c r="F18" i="23" s="1"/>
  <c r="G18" i="23" s="1"/>
  <c r="F15" i="23"/>
  <c r="G15" i="23" s="1"/>
  <c r="D14" i="23"/>
  <c r="F14" i="23" s="1"/>
  <c r="G14" i="23" s="1"/>
  <c r="F13" i="23"/>
  <c r="G13" i="23" s="1"/>
  <c r="F12" i="23"/>
  <c r="G12" i="23" s="1"/>
  <c r="F11" i="23"/>
  <c r="G11" i="23" s="1"/>
  <c r="F10" i="23"/>
  <c r="G10" i="23" s="1"/>
  <c r="F9" i="23"/>
  <c r="G9" i="23" s="1"/>
  <c r="F8" i="23"/>
  <c r="G8" i="23" s="1"/>
  <c r="A8" i="23"/>
  <c r="A9" i="23" s="1"/>
  <c r="A10" i="23" s="1"/>
  <c r="A11" i="23" s="1"/>
  <c r="A12" i="23" s="1"/>
  <c r="A13" i="23" s="1"/>
  <c r="A14" i="23" s="1"/>
  <c r="A15" i="23" s="1"/>
  <c r="A18" i="23" s="1"/>
  <c r="A19" i="23" s="1"/>
  <c r="A20" i="23" s="1"/>
  <c r="A21" i="23" s="1"/>
  <c r="A22" i="23" s="1"/>
  <c r="A24" i="23" s="1"/>
  <c r="A25" i="23" s="1"/>
  <c r="A26" i="23" s="1"/>
  <c r="A27" i="23" s="1"/>
  <c r="A28" i="23" s="1"/>
  <c r="A30" i="23" s="1"/>
  <c r="A31" i="23" s="1"/>
  <c r="A32" i="23" s="1"/>
  <c r="A33" i="23" s="1"/>
  <c r="A34" i="23" s="1"/>
  <c r="A35" i="23" s="1"/>
  <c r="A36" i="23" s="1"/>
  <c r="A37" i="23" s="1"/>
  <c r="A38" i="23" s="1"/>
  <c r="A40" i="23" s="1"/>
  <c r="A41" i="23" s="1"/>
  <c r="A42" i="23" s="1"/>
  <c r="A43" i="23" s="1"/>
  <c r="A44" i="23" s="1"/>
  <c r="A45" i="23" s="1"/>
  <c r="A46" i="23" s="1"/>
  <c r="A47" i="23" s="1"/>
  <c r="A48" i="23" s="1"/>
  <c r="A50" i="23" s="1"/>
  <c r="A51" i="23" s="1"/>
  <c r="A52" i="23" s="1"/>
  <c r="A53" i="23" s="1"/>
  <c r="A54" i="23" s="1"/>
  <c r="A55" i="23" s="1"/>
  <c r="A56" i="23" s="1"/>
  <c r="A57" i="23" s="1"/>
  <c r="A58" i="23" s="1"/>
  <c r="A60" i="23" s="1"/>
  <c r="A61" i="23" s="1"/>
  <c r="A62" i="23" s="1"/>
  <c r="A63" i="23" s="1"/>
  <c r="A64" i="23" s="1"/>
  <c r="A65" i="23" s="1"/>
  <c r="A66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4" i="23" s="1"/>
  <c r="A85" i="23" s="1"/>
  <c r="A86" i="23" s="1"/>
  <c r="F7" i="23"/>
  <c r="G99" i="22"/>
  <c r="F97" i="22"/>
  <c r="G97" i="22" s="1"/>
  <c r="F95" i="22"/>
  <c r="G95" i="22" s="1"/>
  <c r="F94" i="22"/>
  <c r="G94" i="22" s="1"/>
  <c r="F93" i="22"/>
  <c r="G93" i="22" s="1"/>
  <c r="F90" i="22"/>
  <c r="G90" i="22" s="1"/>
  <c r="F89" i="22"/>
  <c r="G89" i="22" s="1"/>
  <c r="F88" i="22"/>
  <c r="G88" i="22" s="1"/>
  <c r="F86" i="22"/>
  <c r="G86" i="22" s="1"/>
  <c r="F85" i="22"/>
  <c r="G85" i="22" s="1"/>
  <c r="F84" i="22"/>
  <c r="G84" i="22" s="1"/>
  <c r="F83" i="22"/>
  <c r="G83" i="22" s="1"/>
  <c r="F81" i="22"/>
  <c r="G81" i="22" s="1"/>
  <c r="F80" i="22"/>
  <c r="G80" i="22" s="1"/>
  <c r="F79" i="22"/>
  <c r="G79" i="22" s="1"/>
  <c r="F78" i="22"/>
  <c r="G78" i="22" s="1"/>
  <c r="F77" i="22"/>
  <c r="G77" i="22" s="1"/>
  <c r="F76" i="22"/>
  <c r="G76" i="22" s="1"/>
  <c r="D73" i="22"/>
  <c r="F73" i="22" s="1"/>
  <c r="G73" i="22" s="1"/>
  <c r="D72" i="22"/>
  <c r="F72" i="22" s="1"/>
  <c r="G72" i="22" s="1"/>
  <c r="F71" i="22"/>
  <c r="G71" i="22" s="1"/>
  <c r="F69" i="22"/>
  <c r="G69" i="22" s="1"/>
  <c r="F66" i="22"/>
  <c r="G66" i="22" s="1"/>
  <c r="F64" i="22"/>
  <c r="G64" i="22" s="1"/>
  <c r="F63" i="22"/>
  <c r="G63" i="22" s="1"/>
  <c r="F62" i="22"/>
  <c r="G62" i="22" s="1"/>
  <c r="F61" i="22"/>
  <c r="G61" i="22" s="1"/>
  <c r="F60" i="22"/>
  <c r="G60" i="22" s="1"/>
  <c r="F59" i="22"/>
  <c r="G59" i="22" s="1"/>
  <c r="F57" i="22"/>
  <c r="G57" i="22" s="1"/>
  <c r="D54" i="22"/>
  <c r="F54" i="22" s="1"/>
  <c r="G54" i="22" s="1"/>
  <c r="D53" i="22"/>
  <c r="F52" i="22"/>
  <c r="G52" i="22" s="1"/>
  <c r="F51" i="22"/>
  <c r="G51" i="22" s="1"/>
  <c r="F50" i="22"/>
  <c r="G50" i="22" s="1"/>
  <c r="F49" i="22"/>
  <c r="G49" i="22" s="1"/>
  <c r="F48" i="22"/>
  <c r="G48" i="22" s="1"/>
  <c r="F47" i="22"/>
  <c r="G47" i="22" s="1"/>
  <c r="F46" i="22"/>
  <c r="G46" i="22" s="1"/>
  <c r="F44" i="22"/>
  <c r="G44" i="22" s="1"/>
  <c r="F42" i="22"/>
  <c r="G42" i="22" s="1"/>
  <c r="F41" i="22"/>
  <c r="G41" i="22" s="1"/>
  <c r="F40" i="22"/>
  <c r="G40" i="22" s="1"/>
  <c r="F39" i="22"/>
  <c r="G39" i="22" s="1"/>
  <c r="F38" i="22"/>
  <c r="G38" i="22" s="1"/>
  <c r="F37" i="22"/>
  <c r="G37" i="22" s="1"/>
  <c r="F32" i="22"/>
  <c r="G32" i="22" s="1"/>
  <c r="F31" i="22"/>
  <c r="G31" i="22" s="1"/>
  <c r="F30" i="22"/>
  <c r="G30" i="22" s="1"/>
  <c r="F29" i="22"/>
  <c r="G29" i="22" s="1"/>
  <c r="F28" i="22"/>
  <c r="G28" i="22" s="1"/>
  <c r="F27" i="22"/>
  <c r="G27" i="22" s="1"/>
  <c r="F26" i="22"/>
  <c r="G26" i="22" s="1"/>
  <c r="F25" i="22"/>
  <c r="G25" i="22" s="1"/>
  <c r="F24" i="22"/>
  <c r="G24" i="22" s="1"/>
  <c r="F23" i="22"/>
  <c r="G23" i="22" s="1"/>
  <c r="F21" i="22"/>
  <c r="G21" i="22" s="1"/>
  <c r="F20" i="22"/>
  <c r="G20" i="22" s="1"/>
  <c r="F19" i="22"/>
  <c r="G19" i="22" s="1"/>
  <c r="F18" i="22"/>
  <c r="G18" i="22" s="1"/>
  <c r="F17" i="22"/>
  <c r="G17" i="22" s="1"/>
  <c r="F15" i="22"/>
  <c r="G15" i="22" s="1"/>
  <c r="F14" i="22"/>
  <c r="G14" i="22" s="1"/>
  <c r="F13" i="22"/>
  <c r="G13" i="22" s="1"/>
  <c r="F12" i="22"/>
  <c r="G12" i="22" s="1"/>
  <c r="F11" i="22"/>
  <c r="G11" i="22" s="1"/>
  <c r="A11" i="22"/>
  <c r="A12" i="22" s="1"/>
  <c r="A13" i="22" s="1"/>
  <c r="A14" i="22" s="1"/>
  <c r="A15" i="22" s="1"/>
  <c r="A17" i="22" s="1"/>
  <c r="A18" i="22" s="1"/>
  <c r="A19" i="22" s="1"/>
  <c r="A20" i="22" s="1"/>
  <c r="A21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5" i="22" s="1"/>
  <c r="F10" i="22"/>
  <c r="G10" i="22" s="1"/>
  <c r="F8" i="22"/>
  <c r="H55" i="22" l="1"/>
  <c r="F53" i="22"/>
  <c r="A37" i="22"/>
  <c r="A38" i="22" s="1"/>
  <c r="A39" i="22" s="1"/>
  <c r="A40" i="22" s="1"/>
  <c r="A41" i="22" s="1"/>
  <c r="A42" i="22" s="1"/>
  <c r="A44" i="22" s="1"/>
  <c r="A46" i="22" s="1"/>
  <c r="A47" i="22" s="1"/>
  <c r="A48" i="22" s="1"/>
  <c r="A49" i="22" s="1"/>
  <c r="A50" i="22" s="1"/>
  <c r="A51" i="22" s="1"/>
  <c r="A52" i="22" s="1"/>
  <c r="A53" i="22" s="1"/>
  <c r="A54" i="22" s="1"/>
  <c r="A57" i="22" s="1"/>
  <c r="A59" i="22" s="1"/>
  <c r="A60" i="22" s="1"/>
  <c r="A61" i="22" s="1"/>
  <c r="A62" i="22" s="1"/>
  <c r="A63" i="22" s="1"/>
  <c r="A64" i="22" s="1"/>
  <c r="A66" i="22" s="1"/>
  <c r="A69" i="22" s="1"/>
  <c r="A71" i="22" s="1"/>
  <c r="A72" i="22" s="1"/>
  <c r="A73" i="22" s="1"/>
  <c r="A76" i="22" s="1"/>
  <c r="A77" i="22" s="1"/>
  <c r="A78" i="22" s="1"/>
  <c r="A79" i="22" s="1"/>
  <c r="A80" i="22" s="1"/>
  <c r="A81" i="22" s="1"/>
  <c r="A83" i="22" s="1"/>
  <c r="A84" i="22" s="1"/>
  <c r="A85" i="22" s="1"/>
  <c r="A86" i="22" s="1"/>
  <c r="A88" i="22" s="1"/>
  <c r="A89" i="22" s="1"/>
  <c r="A90" i="22" s="1"/>
  <c r="A93" i="22" s="1"/>
  <c r="A94" i="22" s="1"/>
  <c r="A95" i="22" s="1"/>
  <c r="A97" i="22" s="1"/>
  <c r="A99" i="22" s="1"/>
  <c r="A36" i="22"/>
  <c r="G8" i="22"/>
  <c r="F87" i="23"/>
  <c r="D10" i="13" s="1"/>
  <c r="G7" i="23"/>
  <c r="G87" i="23" s="1"/>
  <c r="G10" i="13" s="1"/>
  <c r="G53" i="22" l="1"/>
  <c r="G100" i="22" s="1"/>
  <c r="F100" i="22"/>
  <c r="C10" i="13" s="1"/>
  <c r="E10" i="13" s="1"/>
  <c r="F10" i="13" l="1"/>
  <c r="H10" i="13" s="1"/>
  <c r="B10" i="27"/>
  <c r="D10" i="27" s="1"/>
  <c r="H5" i="22"/>
  <c r="F92" i="21"/>
  <c r="G92" i="21" s="1"/>
  <c r="F91" i="21"/>
  <c r="G91" i="21" s="1"/>
  <c r="F90" i="21"/>
  <c r="G90" i="21" s="1"/>
  <c r="F89" i="21"/>
  <c r="G89" i="21" s="1"/>
  <c r="F88" i="21"/>
  <c r="G88" i="21" s="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F80" i="21"/>
  <c r="G80" i="21" s="1"/>
  <c r="F79" i="21"/>
  <c r="G79" i="21" s="1"/>
  <c r="F78" i="21"/>
  <c r="G78" i="21" s="1"/>
  <c r="F77" i="21"/>
  <c r="G77" i="21" s="1"/>
  <c r="D75" i="21"/>
  <c r="F75" i="21" s="1"/>
  <c r="G75" i="21" s="1"/>
  <c r="F74" i="21"/>
  <c r="G74" i="21" s="1"/>
  <c r="F73" i="21"/>
  <c r="G73" i="21" s="1"/>
  <c r="F72" i="21"/>
  <c r="G72" i="21" s="1"/>
  <c r="F71" i="21"/>
  <c r="G71" i="21" s="1"/>
  <c r="F70" i="21"/>
  <c r="G70" i="21" s="1"/>
  <c r="F69" i="21"/>
  <c r="G69" i="21" s="1"/>
  <c r="D67" i="21"/>
  <c r="F67" i="21" s="1"/>
  <c r="G67" i="21" s="1"/>
  <c r="F66" i="21"/>
  <c r="G66" i="21" s="1"/>
  <c r="F65" i="21"/>
  <c r="G65" i="21" s="1"/>
  <c r="F64" i="21"/>
  <c r="G64" i="21" s="1"/>
  <c r="F63" i="21"/>
  <c r="G63" i="21" s="1"/>
  <c r="F62" i="21"/>
  <c r="G62" i="21" s="1"/>
  <c r="F61" i="21"/>
  <c r="G61" i="21" s="1"/>
  <c r="D59" i="21"/>
  <c r="F59" i="21" s="1"/>
  <c r="G59" i="21" s="1"/>
  <c r="F58" i="21"/>
  <c r="G58" i="21" s="1"/>
  <c r="F57" i="21"/>
  <c r="G57" i="21" s="1"/>
  <c r="F56" i="21"/>
  <c r="G56" i="21" s="1"/>
  <c r="F55" i="21"/>
  <c r="G55" i="21" s="1"/>
  <c r="F54" i="21"/>
  <c r="G54" i="21" s="1"/>
  <c r="F53" i="21"/>
  <c r="G53" i="21" s="1"/>
  <c r="D51" i="21"/>
  <c r="F51" i="21" s="1"/>
  <c r="G51" i="21" s="1"/>
  <c r="F50" i="21"/>
  <c r="G50" i="21" s="1"/>
  <c r="F49" i="21"/>
  <c r="G49" i="21" s="1"/>
  <c r="F48" i="21"/>
  <c r="G48" i="21" s="1"/>
  <c r="F47" i="21"/>
  <c r="G47" i="21" s="1"/>
  <c r="F46" i="21"/>
  <c r="G46" i="21" s="1"/>
  <c r="F45" i="21"/>
  <c r="G45" i="21" s="1"/>
  <c r="D43" i="21"/>
  <c r="F43" i="21" s="1"/>
  <c r="G43" i="21" s="1"/>
  <c r="F42" i="21"/>
  <c r="G42" i="21" s="1"/>
  <c r="F41" i="21"/>
  <c r="G41" i="21" s="1"/>
  <c r="F40" i="21"/>
  <c r="G40" i="21" s="1"/>
  <c r="F39" i="21"/>
  <c r="G39" i="21" s="1"/>
  <c r="F38" i="21"/>
  <c r="G38" i="21" s="1"/>
  <c r="F37" i="21"/>
  <c r="G37" i="21" s="1"/>
  <c r="D35" i="21"/>
  <c r="F35" i="21" s="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3" i="21"/>
  <c r="G23" i="21" s="1"/>
  <c r="D20" i="21"/>
  <c r="F20" i="21" s="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8" i="21"/>
  <c r="G8" i="21" s="1"/>
  <c r="A8" i="21"/>
  <c r="A11" i="21" s="1"/>
  <c r="A12" i="21" s="1"/>
  <c r="A13" i="21" s="1"/>
  <c r="A14" i="21" s="1"/>
  <c r="A15" i="21" s="1"/>
  <c r="A16" i="21" s="1"/>
  <c r="A17" i="21" s="1"/>
  <c r="F102" i="20"/>
  <c r="G102" i="20" s="1"/>
  <c r="F101" i="20"/>
  <c r="G101" i="20" s="1"/>
  <c r="F100" i="20"/>
  <c r="G100" i="20" s="1"/>
  <c r="F99" i="20"/>
  <c r="G99" i="20" s="1"/>
  <c r="F98" i="20"/>
  <c r="G98" i="20" s="1"/>
  <c r="F97" i="20"/>
  <c r="G97" i="20" s="1"/>
  <c r="F96" i="20"/>
  <c r="G96" i="20" s="1"/>
  <c r="F95" i="20"/>
  <c r="G95" i="20" s="1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6" i="20"/>
  <c r="G86" i="20" s="1"/>
  <c r="F85" i="20"/>
  <c r="G85" i="20" s="1"/>
  <c r="F84" i="20"/>
  <c r="G84" i="20" s="1"/>
  <c r="F83" i="20"/>
  <c r="G83" i="20" s="1"/>
  <c r="F82" i="20"/>
  <c r="G82" i="20" s="1"/>
  <c r="F80" i="20"/>
  <c r="G80" i="20" s="1"/>
  <c r="F79" i="20"/>
  <c r="G79" i="20" s="1"/>
  <c r="F78" i="20"/>
  <c r="G78" i="20" s="1"/>
  <c r="F77" i="20"/>
  <c r="G77" i="20" s="1"/>
  <c r="F76" i="20"/>
  <c r="G76" i="20" s="1"/>
  <c r="F74" i="20"/>
  <c r="G74" i="20" s="1"/>
  <c r="F73" i="20"/>
  <c r="G73" i="20" s="1"/>
  <c r="F72" i="20"/>
  <c r="G72" i="20" s="1"/>
  <c r="F71" i="20"/>
  <c r="G71" i="20" s="1"/>
  <c r="F70" i="20"/>
  <c r="G70" i="20" s="1"/>
  <c r="F68" i="20"/>
  <c r="G68" i="20" s="1"/>
  <c r="F67" i="20"/>
  <c r="G67" i="20" s="1"/>
  <c r="F66" i="20"/>
  <c r="G66" i="20" s="1"/>
  <c r="F65" i="20"/>
  <c r="G65" i="20" s="1"/>
  <c r="F64" i="20"/>
  <c r="G64" i="20" s="1"/>
  <c r="F62" i="20"/>
  <c r="G62" i="20" s="1"/>
  <c r="F61" i="20"/>
  <c r="G61" i="20" s="1"/>
  <c r="F60" i="20"/>
  <c r="G60" i="20" s="1"/>
  <c r="F59" i="20"/>
  <c r="G59" i="20" s="1"/>
  <c r="F58" i="20"/>
  <c r="G58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7" i="20"/>
  <c r="G37" i="20" s="1"/>
  <c r="F35" i="20"/>
  <c r="G35" i="20" s="1"/>
  <c r="F34" i="20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G28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6" i="20"/>
  <c r="G16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A8" i="20"/>
  <c r="A9" i="20" s="1"/>
  <c r="A10" i="20" s="1"/>
  <c r="A11" i="20" s="1"/>
  <c r="A12" i="20" s="1"/>
  <c r="A13" i="20" s="1"/>
  <c r="A14" i="20" s="1"/>
  <c r="A16" i="20" s="1"/>
  <c r="A18" i="20" s="1"/>
  <c r="A19" i="20" s="1"/>
  <c r="A20" i="20" s="1"/>
  <c r="A21" i="20" s="1"/>
  <c r="A22" i="20" s="1"/>
  <c r="A23" i="20" s="1"/>
  <c r="A24" i="20" s="1"/>
  <c r="A25" i="20" s="1"/>
  <c r="A26" i="20" s="1"/>
  <c r="A28" i="20" s="1"/>
  <c r="A29" i="20" s="1"/>
  <c r="F7" i="20"/>
  <c r="A30" i="20" l="1"/>
  <c r="A31" i="20"/>
  <c r="A32" i="20" s="1"/>
  <c r="A33" i="20" s="1"/>
  <c r="A34" i="20" s="1"/>
  <c r="A35" i="20" s="1"/>
  <c r="A37" i="20" s="1"/>
  <c r="A39" i="20" s="1"/>
  <c r="A40" i="20" s="1"/>
  <c r="A41" i="20" s="1"/>
  <c r="A42" i="20" s="1"/>
  <c r="A43" i="20" s="1"/>
  <c r="A44" i="20" s="1"/>
  <c r="A45" i="20" s="1"/>
  <c r="A46" i="20" s="1"/>
  <c r="A47" i="20" s="1"/>
  <c r="A49" i="20" s="1"/>
  <c r="A50" i="20" s="1"/>
  <c r="A18" i="21"/>
  <c r="A19" i="21"/>
  <c r="A20" i="21" s="1"/>
  <c r="A23" i="21" s="1"/>
  <c r="A26" i="21" s="1"/>
  <c r="A27" i="21" s="1"/>
  <c r="A28" i="21" s="1"/>
  <c r="A29" i="21" s="1"/>
  <c r="A30" i="21" s="1"/>
  <c r="A31" i="21" s="1"/>
  <c r="A32" i="21" s="1"/>
  <c r="D11" i="13"/>
  <c r="G11" i="13"/>
  <c r="G93" i="21"/>
  <c r="G12" i="13" s="1"/>
  <c r="G7" i="20"/>
  <c r="G103" i="20" s="1"/>
  <c r="B12" i="27" s="1"/>
  <c r="D12" i="27" s="1"/>
  <c r="F103" i="20"/>
  <c r="F93" i="21"/>
  <c r="D12" i="13" s="1"/>
  <c r="A51" i="20" l="1"/>
  <c r="A52" i="20"/>
  <c r="A53" i="20" s="1"/>
  <c r="A54" i="20" s="1"/>
  <c r="A55" i="20" s="1"/>
  <c r="A56" i="20" s="1"/>
  <c r="A58" i="20" s="1"/>
  <c r="A59" i="20" s="1"/>
  <c r="A60" i="20" s="1"/>
  <c r="A61" i="20" s="1"/>
  <c r="A62" i="20" s="1"/>
  <c r="A64" i="20" s="1"/>
  <c r="A65" i="20" s="1"/>
  <c r="A66" i="20" s="1"/>
  <c r="A67" i="20" s="1"/>
  <c r="A68" i="20" s="1"/>
  <c r="A70" i="20" s="1"/>
  <c r="A71" i="20" s="1"/>
  <c r="A72" i="20" s="1"/>
  <c r="A73" i="20" s="1"/>
  <c r="A74" i="20" s="1"/>
  <c r="A76" i="20" s="1"/>
  <c r="A77" i="20" s="1"/>
  <c r="A78" i="20" s="1"/>
  <c r="A79" i="20" s="1"/>
  <c r="A80" i="20" s="1"/>
  <c r="A82" i="20" s="1"/>
  <c r="A83" i="20" s="1"/>
  <c r="A84" i="20" s="1"/>
  <c r="A85" i="20" s="1"/>
  <c r="A86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34" i="21"/>
  <c r="A35" i="21" s="1"/>
  <c r="A37" i="21" s="1"/>
  <c r="A38" i="21" s="1"/>
  <c r="A39" i="21" s="1"/>
  <c r="A40" i="21" s="1"/>
  <c r="A41" i="21" s="1"/>
  <c r="A42" i="21" s="1"/>
  <c r="A43" i="21" s="1"/>
  <c r="A45" i="21" s="1"/>
  <c r="A46" i="21" s="1"/>
  <c r="A47" i="21" s="1"/>
  <c r="A48" i="21" s="1"/>
  <c r="A49" i="21" s="1"/>
  <c r="A50" i="21" s="1"/>
  <c r="A51" i="21" s="1"/>
  <c r="A53" i="21" s="1"/>
  <c r="A54" i="21" s="1"/>
  <c r="A55" i="21" s="1"/>
  <c r="A56" i="21" s="1"/>
  <c r="A57" i="21" s="1"/>
  <c r="A58" i="21" s="1"/>
  <c r="A59" i="21" s="1"/>
  <c r="A61" i="21" s="1"/>
  <c r="A62" i="21" s="1"/>
  <c r="A63" i="21" s="1"/>
  <c r="A64" i="21" s="1"/>
  <c r="A65" i="21" s="1"/>
  <c r="A66" i="21" s="1"/>
  <c r="A67" i="21" s="1"/>
  <c r="A69" i="21" s="1"/>
  <c r="A70" i="21" s="1"/>
  <c r="A71" i="21" s="1"/>
  <c r="A72" i="21" s="1"/>
  <c r="A73" i="21" s="1"/>
  <c r="A74" i="21" s="1"/>
  <c r="A75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33" i="21"/>
  <c r="F12" i="13"/>
  <c r="H12" i="13" s="1"/>
  <c r="C11" i="13"/>
  <c r="E11" i="13" s="1"/>
  <c r="C12" i="13"/>
  <c r="E12" i="13" s="1"/>
  <c r="F11" i="13"/>
  <c r="H11" i="13" s="1"/>
  <c r="F12" i="8" l="1"/>
  <c r="G12" i="8" s="1"/>
  <c r="F24" i="8"/>
  <c r="G24" i="8" s="1"/>
  <c r="F14" i="3"/>
  <c r="G14" i="3" s="1"/>
  <c r="F23" i="8"/>
  <c r="G23" i="8" s="1"/>
  <c r="F25" i="3"/>
  <c r="G25" i="3" s="1"/>
  <c r="D13" i="3"/>
  <c r="F13" i="3" s="1"/>
  <c r="G13" i="3" s="1"/>
  <c r="F22" i="8"/>
  <c r="G22" i="8" s="1"/>
  <c r="F14" i="8"/>
  <c r="G14" i="8" s="1"/>
  <c r="D25" i="8"/>
  <c r="D15" i="3"/>
  <c r="D10" i="3"/>
  <c r="D20" i="8"/>
  <c r="F20" i="8" s="1"/>
  <c r="G20" i="8" s="1"/>
  <c r="D12" i="3"/>
  <c r="G9" i="13" l="1"/>
  <c r="D9" i="13"/>
  <c r="C9" i="13" l="1"/>
  <c r="E9" i="13" s="1"/>
  <c r="F9" i="13"/>
  <c r="H9" i="13" s="1"/>
  <c r="E235" i="11" l="1"/>
  <c r="E232" i="11"/>
  <c r="E229" i="11" l="1"/>
  <c r="E231" i="11"/>
  <c r="E227" i="11"/>
  <c r="E226" i="11"/>
  <c r="E222" i="11"/>
  <c r="E220" i="11"/>
  <c r="E205" i="11" l="1"/>
  <c r="E203" i="11"/>
  <c r="E197" i="11"/>
  <c r="E196" i="11"/>
  <c r="F185" i="11"/>
  <c r="E182" i="11"/>
  <c r="E180" i="11"/>
  <c r="E176" i="11"/>
  <c r="F285" i="12" l="1"/>
  <c r="G285" i="12" s="1"/>
  <c r="F284" i="12"/>
  <c r="G284" i="12" s="1"/>
  <c r="F283" i="12"/>
  <c r="G283" i="12" s="1"/>
  <c r="F278" i="7" l="1"/>
  <c r="G278" i="7" s="1"/>
  <c r="F19" i="3"/>
  <c r="G19" i="3" s="1"/>
  <c r="F18" i="3"/>
  <c r="G18" i="3" s="1"/>
  <c r="F269" i="7"/>
  <c r="G269" i="7" s="1"/>
  <c r="F262" i="7"/>
  <c r="G262" i="7" s="1"/>
  <c r="F255" i="7"/>
  <c r="G255" i="7" s="1"/>
  <c r="F277" i="7"/>
  <c r="G277" i="7" s="1"/>
  <c r="F276" i="7"/>
  <c r="G276" i="7" s="1"/>
  <c r="F271" i="7"/>
  <c r="G271" i="7" s="1"/>
  <c r="F275" i="7"/>
  <c r="G275" i="7" s="1"/>
  <c r="F274" i="7"/>
  <c r="G274" i="7" s="1"/>
  <c r="F379" i="12"/>
  <c r="G379" i="12" s="1"/>
  <c r="F376" i="12"/>
  <c r="G376" i="12" s="1"/>
  <c r="F378" i="12"/>
  <c r="G378" i="12" s="1"/>
  <c r="F377" i="12"/>
  <c r="G377" i="12" s="1"/>
  <c r="F374" i="12"/>
  <c r="G374" i="12" s="1"/>
  <c r="F372" i="12"/>
  <c r="G372" i="12" s="1"/>
  <c r="D385" i="12"/>
  <c r="F385" i="12" s="1"/>
  <c r="G385" i="12" s="1"/>
  <c r="D384" i="12"/>
  <c r="F384" i="12" s="1"/>
  <c r="G384" i="12" s="1"/>
  <c r="F383" i="12"/>
  <c r="G383" i="12" s="1"/>
  <c r="F254" i="7"/>
  <c r="G254" i="7" s="1"/>
  <c r="F253" i="7"/>
  <c r="G253" i="7" s="1"/>
  <c r="F261" i="7"/>
  <c r="G261" i="7" s="1"/>
  <c r="F260" i="7"/>
  <c r="G260" i="7" s="1"/>
  <c r="F268" i="7"/>
  <c r="G268" i="7" s="1"/>
  <c r="F267" i="7"/>
  <c r="G267" i="7" s="1"/>
  <c r="F266" i="7"/>
  <c r="G266" i="7" s="1"/>
  <c r="F265" i="7"/>
  <c r="G265" i="7" s="1"/>
  <c r="F264" i="7"/>
  <c r="G264" i="7" s="1"/>
  <c r="F362" i="12"/>
  <c r="G362" i="12" s="1"/>
  <c r="F361" i="12"/>
  <c r="G361" i="12" s="1"/>
  <c r="D368" i="12"/>
  <c r="F368" i="12" s="1"/>
  <c r="G368" i="12" s="1"/>
  <c r="D367" i="12"/>
  <c r="F367" i="12" s="1"/>
  <c r="G367" i="12" s="1"/>
  <c r="F366" i="12"/>
  <c r="G366" i="12" s="1"/>
  <c r="F365" i="12"/>
  <c r="G365" i="12" s="1"/>
  <c r="F364" i="12"/>
  <c r="G364" i="12" s="1"/>
  <c r="F360" i="12"/>
  <c r="G360" i="12" s="1"/>
  <c r="F359" i="12"/>
  <c r="G359" i="12" s="1"/>
  <c r="F358" i="12"/>
  <c r="G358" i="12" s="1"/>
  <c r="F350" i="12"/>
  <c r="G350" i="12" s="1"/>
  <c r="F337" i="12"/>
  <c r="G337" i="12" s="1"/>
  <c r="F336" i="12"/>
  <c r="G336" i="12" s="1"/>
  <c r="F354" i="12"/>
  <c r="G354" i="12" s="1"/>
  <c r="F341" i="12"/>
  <c r="G341" i="12" s="1"/>
  <c r="F349" i="12"/>
  <c r="G349" i="12" s="1"/>
  <c r="D356" i="12"/>
  <c r="F356" i="12" s="1"/>
  <c r="G356" i="12" s="1"/>
  <c r="D355" i="12"/>
  <c r="F355" i="12" s="1"/>
  <c r="G355" i="12" s="1"/>
  <c r="D343" i="12"/>
  <c r="F343" i="12" s="1"/>
  <c r="G343" i="12" s="1"/>
  <c r="D342" i="12"/>
  <c r="F342" i="12" s="1"/>
  <c r="G342" i="12" s="1"/>
  <c r="F247" i="7"/>
  <c r="G247" i="7" s="1"/>
  <c r="F329" i="12"/>
  <c r="G329" i="12" s="1"/>
  <c r="D326" i="12"/>
  <c r="K326" i="12" s="1"/>
  <c r="F241" i="7"/>
  <c r="G241" i="7" s="1"/>
  <c r="F240" i="7"/>
  <c r="G240" i="7" s="1"/>
  <c r="F239" i="7"/>
  <c r="G239" i="7" s="1"/>
  <c r="F237" i="7"/>
  <c r="G237" i="7" s="1"/>
  <c r="F236" i="7"/>
  <c r="G236" i="7" s="1"/>
  <c r="F235" i="7"/>
  <c r="G235" i="7" s="1"/>
  <c r="F234" i="7"/>
  <c r="G234" i="7" s="1"/>
  <c r="F233" i="7"/>
  <c r="G233" i="7" s="1"/>
  <c r="F231" i="7"/>
  <c r="G231" i="7" s="1"/>
  <c r="F229" i="7"/>
  <c r="G229" i="7" s="1"/>
  <c r="F218" i="7"/>
  <c r="G218" i="7" s="1"/>
  <c r="D224" i="7"/>
  <c r="D222" i="7"/>
  <c r="F221" i="7"/>
  <c r="G221" i="7" s="1"/>
  <c r="F220" i="7"/>
  <c r="G220" i="7" s="1"/>
  <c r="F323" i="12"/>
  <c r="G323" i="12" s="1"/>
  <c r="F321" i="12"/>
  <c r="G321" i="12" s="1"/>
  <c r="F320" i="12"/>
  <c r="G320" i="12" s="1"/>
  <c r="F319" i="12"/>
  <c r="G319" i="12" s="1"/>
  <c r="F318" i="12"/>
  <c r="G318" i="12" s="1"/>
  <c r="F316" i="12"/>
  <c r="G316" i="12" s="1"/>
  <c r="F314" i="12"/>
  <c r="G314" i="12" s="1"/>
  <c r="F313" i="12"/>
  <c r="G313" i="12" s="1"/>
  <c r="F312" i="12"/>
  <c r="G312" i="12" s="1"/>
  <c r="F311" i="12"/>
  <c r="G311" i="12" s="1"/>
  <c r="F310" i="12"/>
  <c r="G310" i="12" s="1"/>
  <c r="F308" i="12"/>
  <c r="G308" i="12" s="1"/>
  <c r="F307" i="12"/>
  <c r="G307" i="12" s="1"/>
  <c r="F306" i="12"/>
  <c r="G306" i="12" s="1"/>
  <c r="F305" i="12"/>
  <c r="G305" i="12" s="1"/>
  <c r="F304" i="12"/>
  <c r="G304" i="12" s="1"/>
  <c r="F303" i="12"/>
  <c r="G303" i="12" s="1"/>
  <c r="F301" i="12"/>
  <c r="G301" i="12" s="1"/>
  <c r="F300" i="12"/>
  <c r="G300" i="12" s="1"/>
  <c r="F298" i="12"/>
  <c r="G298" i="12" s="1"/>
  <c r="F297" i="12"/>
  <c r="G297" i="12" s="1"/>
  <c r="F296" i="12"/>
  <c r="G296" i="12" s="1"/>
  <c r="D295" i="12"/>
  <c r="F295" i="12" s="1"/>
  <c r="G295" i="12" s="1"/>
  <c r="D294" i="12"/>
  <c r="F294" i="12" s="1"/>
  <c r="G294" i="12" s="1"/>
  <c r="F293" i="12"/>
  <c r="G293" i="12" s="1"/>
  <c r="F215" i="7"/>
  <c r="G215" i="7" s="1"/>
  <c r="F214" i="7"/>
  <c r="G214" i="7" s="1"/>
  <c r="F213" i="7"/>
  <c r="G213" i="7" s="1"/>
  <c r="F212" i="7"/>
  <c r="G212" i="7" s="1"/>
  <c r="D199" i="7"/>
  <c r="F211" i="7"/>
  <c r="G211" i="7" s="1"/>
  <c r="D89" i="7"/>
  <c r="F89" i="7" s="1"/>
  <c r="G89" i="7" s="1"/>
  <c r="D90" i="7"/>
  <c r="F90" i="7" s="1"/>
  <c r="G90" i="7" s="1"/>
  <c r="D88" i="7"/>
  <c r="F88" i="7" s="1"/>
  <c r="G88" i="7" s="1"/>
  <c r="D87" i="7"/>
  <c r="F87" i="7" s="1"/>
  <c r="G87" i="7" s="1"/>
  <c r="F91" i="7"/>
  <c r="G91" i="7" s="1"/>
  <c r="F86" i="7"/>
  <c r="G86" i="7" s="1"/>
  <c r="F85" i="7"/>
  <c r="G85" i="7" s="1"/>
  <c r="F84" i="7"/>
  <c r="G84" i="7" s="1"/>
  <c r="F83" i="7"/>
  <c r="G83" i="7" s="1"/>
  <c r="F82" i="7"/>
  <c r="G82" i="7" s="1"/>
  <c r="F81" i="7"/>
  <c r="G81" i="7" s="1"/>
  <c r="F80" i="7"/>
  <c r="G80" i="7" s="1"/>
  <c r="F79" i="7"/>
  <c r="G79" i="7" s="1"/>
  <c r="F61" i="7"/>
  <c r="G61" i="7" s="1"/>
  <c r="F60" i="7"/>
  <c r="G60" i="7" s="1"/>
  <c r="F78" i="7"/>
  <c r="G78" i="7" s="1"/>
  <c r="F77" i="7"/>
  <c r="G77" i="7" s="1"/>
  <c r="F76" i="7"/>
  <c r="G76" i="7" s="1"/>
  <c r="F75" i="7"/>
  <c r="G75" i="7" s="1"/>
  <c r="F73" i="7"/>
  <c r="G73" i="7" s="1"/>
  <c r="F74" i="7"/>
  <c r="G74" i="7" s="1"/>
  <c r="D72" i="7"/>
  <c r="F72" i="7" s="1"/>
  <c r="G72" i="7" s="1"/>
  <c r="D71" i="7"/>
  <c r="F71" i="7" s="1"/>
  <c r="G71" i="7" s="1"/>
  <c r="D70" i="7"/>
  <c r="F70" i="7" s="1"/>
  <c r="G70" i="7" s="1"/>
  <c r="F69" i="7"/>
  <c r="G69" i="7" s="1"/>
  <c r="F68" i="7"/>
  <c r="G68" i="7" s="1"/>
  <c r="F67" i="7"/>
  <c r="G67" i="7" s="1"/>
  <c r="F66" i="7"/>
  <c r="G66" i="7" s="1"/>
  <c r="F65" i="7"/>
  <c r="G65" i="7" s="1"/>
  <c r="F64" i="7"/>
  <c r="G64" i="7" s="1"/>
  <c r="F63" i="7"/>
  <c r="G63" i="7" s="1"/>
  <c r="F62" i="7"/>
  <c r="G62" i="7" s="1"/>
  <c r="F59" i="7"/>
  <c r="G59" i="7" s="1"/>
  <c r="F58" i="7"/>
  <c r="G58" i="7" s="1"/>
  <c r="F57" i="7"/>
  <c r="G57" i="7" s="1"/>
  <c r="F56" i="7"/>
  <c r="G56" i="7" s="1"/>
  <c r="F53" i="7"/>
  <c r="G53" i="7" s="1"/>
  <c r="F45" i="7"/>
  <c r="G45" i="7" s="1"/>
  <c r="F52" i="7"/>
  <c r="G52" i="7" s="1"/>
  <c r="F51" i="7"/>
  <c r="G51" i="7" s="1"/>
  <c r="D50" i="7"/>
  <c r="F50" i="7" s="1"/>
  <c r="G50" i="7" s="1"/>
  <c r="D49" i="7"/>
  <c r="F49" i="7" s="1"/>
  <c r="G49" i="7" s="1"/>
  <c r="D48" i="7"/>
  <c r="F48" i="7" s="1"/>
  <c r="G48" i="7" s="1"/>
  <c r="F47" i="7"/>
  <c r="G47" i="7" s="1"/>
  <c r="F46" i="7"/>
  <c r="G46" i="7" s="1"/>
  <c r="F44" i="7"/>
  <c r="G44" i="7" s="1"/>
  <c r="F43" i="7"/>
  <c r="G43" i="7" s="1"/>
  <c r="F55" i="7"/>
  <c r="G55" i="7" s="1"/>
  <c r="F42" i="7"/>
  <c r="G42" i="7" s="1"/>
  <c r="F111" i="12"/>
  <c r="G111" i="12" s="1"/>
  <c r="D110" i="12"/>
  <c r="F110" i="12" s="1"/>
  <c r="G110" i="12" s="1"/>
  <c r="F108" i="12"/>
  <c r="G108" i="12" s="1"/>
  <c r="F107" i="12"/>
  <c r="G107" i="12" s="1"/>
  <c r="F106" i="12"/>
  <c r="G106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99" i="12"/>
  <c r="G99" i="12" s="1"/>
  <c r="F98" i="12"/>
  <c r="G98" i="12" s="1"/>
  <c r="F97" i="12"/>
  <c r="G97" i="12" s="1"/>
  <c r="F96" i="12"/>
  <c r="G96" i="12" s="1"/>
  <c r="F72" i="12"/>
  <c r="G72" i="12" s="1"/>
  <c r="F95" i="12"/>
  <c r="G95" i="12" s="1"/>
  <c r="F93" i="12"/>
  <c r="G93" i="12" s="1"/>
  <c r="F94" i="12"/>
  <c r="G94" i="12" s="1"/>
  <c r="F92" i="12"/>
  <c r="G92" i="12" s="1"/>
  <c r="F91" i="12"/>
  <c r="G91" i="12" s="1"/>
  <c r="F90" i="12"/>
  <c r="G90" i="12" s="1"/>
  <c r="F88" i="12"/>
  <c r="G88" i="12" s="1"/>
  <c r="F87" i="12"/>
  <c r="G87" i="12" s="1"/>
  <c r="F86" i="12"/>
  <c r="G86" i="12" s="1"/>
  <c r="F85" i="12"/>
  <c r="G85" i="12" s="1"/>
  <c r="F84" i="12"/>
  <c r="G84" i="12" s="1"/>
  <c r="F83" i="12"/>
  <c r="G83" i="12" s="1"/>
  <c r="F82" i="12"/>
  <c r="G82" i="12" s="1"/>
  <c r="F81" i="12"/>
  <c r="G81" i="12" s="1"/>
  <c r="F80" i="12"/>
  <c r="G80" i="12" s="1"/>
  <c r="F79" i="12"/>
  <c r="G79" i="12" s="1"/>
  <c r="F76" i="12"/>
  <c r="G76" i="12" s="1"/>
  <c r="F75" i="12"/>
  <c r="G75" i="12" s="1"/>
  <c r="F74" i="12"/>
  <c r="G74" i="12" s="1"/>
  <c r="F73" i="12"/>
  <c r="G73" i="12" s="1"/>
  <c r="F71" i="12"/>
  <c r="G71" i="12" s="1"/>
  <c r="F70" i="12"/>
  <c r="G70" i="12" s="1"/>
  <c r="F68" i="12"/>
  <c r="G68" i="12" s="1"/>
  <c r="F67" i="12"/>
  <c r="G67" i="12" s="1"/>
  <c r="F66" i="12"/>
  <c r="G66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59" i="12"/>
  <c r="G59" i="12" s="1"/>
  <c r="F29" i="7"/>
  <c r="G29" i="7" s="1"/>
  <c r="F40" i="7"/>
  <c r="G40" i="7" s="1"/>
  <c r="F32" i="7"/>
  <c r="G32" i="7" s="1"/>
  <c r="F39" i="7"/>
  <c r="G39" i="7" s="1"/>
  <c r="F38" i="7"/>
  <c r="G38" i="7" s="1"/>
  <c r="D37" i="7"/>
  <c r="F37" i="7" s="1"/>
  <c r="G37" i="7" s="1"/>
  <c r="D36" i="7"/>
  <c r="F36" i="7" s="1"/>
  <c r="G36" i="7" s="1"/>
  <c r="D35" i="7"/>
  <c r="F35" i="7" s="1"/>
  <c r="G35" i="7" s="1"/>
  <c r="F34" i="7"/>
  <c r="G34" i="7" s="1"/>
  <c r="F33" i="7"/>
  <c r="G33" i="7" s="1"/>
  <c r="F31" i="7"/>
  <c r="G31" i="7" s="1"/>
  <c r="F30" i="7"/>
  <c r="G30" i="7" s="1"/>
  <c r="F222" i="7" l="1"/>
  <c r="G222" i="7" s="1"/>
  <c r="F56" i="12"/>
  <c r="G56" i="12" s="1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9" i="12"/>
  <c r="G49" i="12" s="1"/>
  <c r="F47" i="12"/>
  <c r="G47" i="12" s="1"/>
  <c r="F45" i="12"/>
  <c r="G45" i="12" s="1"/>
  <c r="F46" i="12"/>
  <c r="G46" i="12" s="1"/>
  <c r="F44" i="12"/>
  <c r="G44" i="12" s="1"/>
  <c r="F43" i="12"/>
  <c r="G43" i="12" s="1"/>
  <c r="F42" i="12"/>
  <c r="G42" i="12" s="1"/>
  <c r="F41" i="12"/>
  <c r="G41" i="12" s="1"/>
  <c r="F40" i="12"/>
  <c r="G40" i="12" s="1"/>
  <c r="F39" i="12"/>
  <c r="G39" i="12" s="1"/>
  <c r="F38" i="12"/>
  <c r="G38" i="12" s="1"/>
  <c r="F109" i="7"/>
  <c r="G109" i="7" s="1"/>
  <c r="F117" i="7"/>
  <c r="G117" i="7" s="1"/>
  <c r="F153" i="12"/>
  <c r="G153" i="12" s="1"/>
  <c r="F96" i="7"/>
  <c r="G96" i="7" s="1"/>
  <c r="F104" i="7"/>
  <c r="G104" i="7" s="1"/>
  <c r="F132" i="12"/>
  <c r="G132" i="12" s="1"/>
  <c r="F129" i="7"/>
  <c r="G129" i="7" s="1"/>
  <c r="F128" i="7"/>
  <c r="G128" i="7" s="1"/>
  <c r="F127" i="7"/>
  <c r="G127" i="7" s="1"/>
  <c r="F126" i="7"/>
  <c r="G126" i="7" s="1"/>
  <c r="F125" i="7"/>
  <c r="G125" i="7" s="1"/>
  <c r="D122" i="7" l="1"/>
  <c r="D133" i="7"/>
  <c r="F133" i="7" s="1"/>
  <c r="G133" i="7" s="1"/>
  <c r="F132" i="7"/>
  <c r="G132" i="7" s="1"/>
  <c r="F131" i="7"/>
  <c r="G131" i="7" s="1"/>
  <c r="F130" i="7"/>
  <c r="G130" i="7" s="1"/>
  <c r="D191" i="7"/>
  <c r="F191" i="7" s="1"/>
  <c r="G191" i="7" s="1"/>
  <c r="F192" i="7"/>
  <c r="G192" i="7" s="1"/>
  <c r="F190" i="7"/>
  <c r="G190" i="7" s="1"/>
  <c r="F189" i="7"/>
  <c r="G189" i="7" s="1"/>
  <c r="F188" i="7"/>
  <c r="G188" i="7" s="1"/>
  <c r="F187" i="7"/>
  <c r="G187" i="7" s="1"/>
  <c r="F186" i="7"/>
  <c r="G186" i="7" s="1"/>
  <c r="D183" i="7"/>
  <c r="F183" i="7" s="1"/>
  <c r="G183" i="7" s="1"/>
  <c r="F184" i="7"/>
  <c r="G184" i="7" s="1"/>
  <c r="F182" i="7"/>
  <c r="G182" i="7" s="1"/>
  <c r="F181" i="7"/>
  <c r="G181" i="7" s="1"/>
  <c r="F180" i="7"/>
  <c r="G180" i="7" s="1"/>
  <c r="F179" i="7"/>
  <c r="G179" i="7" s="1"/>
  <c r="F178" i="7"/>
  <c r="G178" i="7" s="1"/>
  <c r="F177" i="7"/>
  <c r="G177" i="7" s="1"/>
  <c r="F176" i="7"/>
  <c r="G176" i="7" s="1"/>
  <c r="F175" i="7"/>
  <c r="G175" i="7" s="1"/>
  <c r="F174" i="7"/>
  <c r="G174" i="7" s="1"/>
  <c r="F173" i="7"/>
  <c r="G173" i="7" s="1"/>
  <c r="D170" i="7"/>
  <c r="F170" i="7" s="1"/>
  <c r="G170" i="7" s="1"/>
  <c r="F171" i="7"/>
  <c r="G171" i="7" s="1"/>
  <c r="F169" i="7"/>
  <c r="G169" i="7" s="1"/>
  <c r="F168" i="7"/>
  <c r="G168" i="7" s="1"/>
  <c r="F167" i="7"/>
  <c r="G167" i="7" s="1"/>
  <c r="F166" i="7"/>
  <c r="G166" i="7" s="1"/>
  <c r="D163" i="7"/>
  <c r="F163" i="7" s="1"/>
  <c r="G163" i="7" s="1"/>
  <c r="F164" i="7"/>
  <c r="G164" i="7" s="1"/>
  <c r="F162" i="7"/>
  <c r="G162" i="7" s="1"/>
  <c r="F161" i="7"/>
  <c r="G161" i="7" s="1"/>
  <c r="F160" i="7"/>
  <c r="G160" i="7" s="1"/>
  <c r="F159" i="7"/>
  <c r="G159" i="7" s="1"/>
  <c r="F158" i="7"/>
  <c r="G158" i="7" s="1"/>
  <c r="F154" i="7"/>
  <c r="G154" i="7" s="1"/>
  <c r="F153" i="7"/>
  <c r="G153" i="7" s="1"/>
  <c r="F152" i="7"/>
  <c r="G152" i="7" s="1"/>
  <c r="F151" i="7"/>
  <c r="G151" i="7" s="1"/>
  <c r="F157" i="7"/>
  <c r="G157" i="7" s="1"/>
  <c r="F156" i="7"/>
  <c r="G156" i="7" s="1"/>
  <c r="F155" i="7"/>
  <c r="G155" i="7" s="1"/>
  <c r="F150" i="7"/>
  <c r="G150" i="7" s="1"/>
  <c r="F149" i="7"/>
  <c r="G149" i="7" s="1"/>
  <c r="F148" i="7"/>
  <c r="G148" i="7" s="1"/>
  <c r="F147" i="7"/>
  <c r="G147" i="7" s="1"/>
  <c r="D144" i="7"/>
  <c r="F144" i="7" s="1"/>
  <c r="G144" i="7" s="1"/>
  <c r="F145" i="7"/>
  <c r="G145" i="7" s="1"/>
  <c r="F143" i="7"/>
  <c r="G143" i="7" s="1"/>
  <c r="F142" i="7"/>
  <c r="G142" i="7" s="1"/>
  <c r="F141" i="7"/>
  <c r="G141" i="7" s="1"/>
  <c r="F138" i="7"/>
  <c r="G138" i="7" s="1"/>
  <c r="F137" i="7"/>
  <c r="G137" i="7" s="1"/>
  <c r="F136" i="7"/>
  <c r="G136" i="7" s="1"/>
  <c r="F135" i="7"/>
  <c r="G135" i="7" s="1"/>
  <c r="F140" i="7"/>
  <c r="G140" i="7" s="1"/>
  <c r="F139" i="7"/>
  <c r="G139" i="7" s="1"/>
  <c r="F121" i="7"/>
  <c r="G121" i="7" s="1"/>
  <c r="F120" i="7"/>
  <c r="G120" i="7" s="1"/>
  <c r="D119" i="7"/>
  <c r="F123" i="7"/>
  <c r="G123" i="7" s="1"/>
  <c r="F124" i="7"/>
  <c r="G124" i="7" s="1"/>
  <c r="F259" i="12"/>
  <c r="G259" i="12" s="1"/>
  <c r="D258" i="12"/>
  <c r="F258" i="12" s="1"/>
  <c r="G258" i="12" s="1"/>
  <c r="F256" i="12"/>
  <c r="G256" i="12" s="1"/>
  <c r="F254" i="12"/>
  <c r="G254" i="12" s="1"/>
  <c r="F253" i="12"/>
  <c r="G253" i="12" s="1"/>
  <c r="F252" i="12"/>
  <c r="G252" i="12" s="1"/>
  <c r="F251" i="12"/>
  <c r="G251" i="12" s="1"/>
  <c r="F250" i="12"/>
  <c r="G250" i="12" s="1"/>
  <c r="F249" i="12"/>
  <c r="G249" i="12" s="1"/>
  <c r="F248" i="12"/>
  <c r="G248" i="12" s="1"/>
  <c r="F247" i="12"/>
  <c r="G247" i="12" s="1"/>
  <c r="F246" i="12"/>
  <c r="G246" i="12" s="1"/>
  <c r="F245" i="12"/>
  <c r="G245" i="12" s="1"/>
  <c r="F244" i="12"/>
  <c r="G244" i="12" s="1"/>
  <c r="F241" i="12"/>
  <c r="G241" i="12" s="1"/>
  <c r="F240" i="12"/>
  <c r="G240" i="12" s="1"/>
  <c r="F239" i="12"/>
  <c r="G239" i="12" s="1"/>
  <c r="F238" i="12"/>
  <c r="G238" i="12" s="1"/>
  <c r="D235" i="12"/>
  <c r="F236" i="12"/>
  <c r="G236" i="12" s="1"/>
  <c r="F233" i="12"/>
  <c r="G233" i="12" s="1"/>
  <c r="F226" i="12"/>
  <c r="G226" i="12" s="1"/>
  <c r="F231" i="12"/>
  <c r="G231" i="12" s="1"/>
  <c r="F230" i="12"/>
  <c r="G230" i="12" s="1"/>
  <c r="F229" i="12"/>
  <c r="G229" i="12" s="1"/>
  <c r="F228" i="12"/>
  <c r="G228" i="12" s="1"/>
  <c r="F227" i="12"/>
  <c r="G227" i="12" s="1"/>
  <c r="F225" i="12"/>
  <c r="G225" i="12" s="1"/>
  <c r="F224" i="12"/>
  <c r="G224" i="12" s="1"/>
  <c r="F223" i="12"/>
  <c r="G223" i="12" s="1"/>
  <c r="F222" i="12"/>
  <c r="G222" i="12" s="1"/>
  <c r="F221" i="12"/>
  <c r="G221" i="12" s="1"/>
  <c r="F220" i="12"/>
  <c r="G220" i="12" s="1"/>
  <c r="F219" i="12"/>
  <c r="G219" i="12" s="1"/>
  <c r="F218" i="12"/>
  <c r="G218" i="12" s="1"/>
  <c r="F217" i="12"/>
  <c r="G217" i="12" s="1"/>
  <c r="F214" i="12"/>
  <c r="G214" i="12" s="1"/>
  <c r="D213" i="12"/>
  <c r="F213" i="12" s="1"/>
  <c r="G213" i="12" s="1"/>
  <c r="F211" i="12"/>
  <c r="G211" i="12" s="1"/>
  <c r="F209" i="12"/>
  <c r="G209" i="12" s="1"/>
  <c r="F208" i="12"/>
  <c r="G208" i="12" s="1"/>
  <c r="F207" i="12"/>
  <c r="G207" i="12" s="1"/>
  <c r="F206" i="12"/>
  <c r="G206" i="12" s="1"/>
  <c r="F205" i="12"/>
  <c r="G205" i="12" s="1"/>
  <c r="F204" i="12"/>
  <c r="G204" i="12" s="1"/>
  <c r="F203" i="12"/>
  <c r="G203" i="12" s="1"/>
  <c r="F202" i="12"/>
  <c r="G202" i="12" s="1"/>
  <c r="F201" i="12"/>
  <c r="G201" i="12" s="1"/>
  <c r="F200" i="12"/>
  <c r="G200" i="12" s="1"/>
  <c r="F197" i="12"/>
  <c r="G197" i="12" s="1"/>
  <c r="F196" i="12"/>
  <c r="G196" i="12" s="1"/>
  <c r="D195" i="12"/>
  <c r="F195" i="12" s="1"/>
  <c r="G195" i="12" s="1"/>
  <c r="D194" i="12"/>
  <c r="F193" i="12"/>
  <c r="G193" i="12" s="1"/>
  <c r="D168" i="12"/>
  <c r="F168" i="12" s="1"/>
  <c r="G168" i="12" s="1"/>
  <c r="D167" i="12"/>
  <c r="D190" i="12"/>
  <c r="F190" i="12" s="1"/>
  <c r="G190" i="12" s="1"/>
  <c r="F191" i="12"/>
  <c r="G191" i="12" s="1"/>
  <c r="F188" i="12"/>
  <c r="G188" i="12" s="1"/>
  <c r="F180" i="12"/>
  <c r="G180" i="12" s="1"/>
  <c r="F182" i="12"/>
  <c r="G182" i="12" s="1"/>
  <c r="F181" i="12"/>
  <c r="G181" i="12" s="1"/>
  <c r="F179" i="12"/>
  <c r="G179" i="12" s="1"/>
  <c r="F178" i="12"/>
  <c r="G178" i="12" s="1"/>
  <c r="F176" i="12"/>
  <c r="G176" i="12" s="1"/>
  <c r="F175" i="12"/>
  <c r="G175" i="12" s="1"/>
  <c r="F174" i="12"/>
  <c r="G174" i="12" s="1"/>
  <c r="F173" i="12"/>
  <c r="G173" i="12" s="1"/>
  <c r="F186" i="12"/>
  <c r="G186" i="12" s="1"/>
  <c r="F185" i="12"/>
  <c r="G185" i="12" s="1"/>
  <c r="F184" i="12"/>
  <c r="G184" i="12" s="1"/>
  <c r="F183" i="12"/>
  <c r="G183" i="12" s="1"/>
  <c r="F177" i="12"/>
  <c r="G177" i="12" s="1"/>
  <c r="F172" i="12"/>
  <c r="G172" i="12" s="1"/>
  <c r="F166" i="12"/>
  <c r="G166" i="12" s="1"/>
  <c r="F165" i="12"/>
  <c r="G165" i="12" s="1"/>
  <c r="D164" i="12"/>
  <c r="F164" i="12" s="1"/>
  <c r="G164" i="12" s="1"/>
  <c r="F235" i="12" l="1"/>
  <c r="G235" i="12" s="1"/>
  <c r="J235" i="12"/>
  <c r="K235" i="12" s="1"/>
  <c r="K386" i="12" s="1"/>
  <c r="E8" i="27" s="1"/>
  <c r="F119" i="7"/>
  <c r="G119" i="7" s="1"/>
  <c r="F122" i="7"/>
  <c r="G122" i="7" s="1"/>
  <c r="F194" i="12"/>
  <c r="G194" i="12" s="1"/>
  <c r="F167" i="12"/>
  <c r="G167" i="12" s="1"/>
  <c r="F162" i="12"/>
  <c r="G162" i="12" s="1"/>
  <c r="F161" i="12"/>
  <c r="G161" i="12" s="1"/>
  <c r="F160" i="12"/>
  <c r="G160" i="12" s="1"/>
  <c r="F159" i="12"/>
  <c r="G159" i="12" s="1"/>
  <c r="F158" i="12"/>
  <c r="G158" i="12" s="1"/>
  <c r="F157" i="12"/>
  <c r="G157" i="12" s="1"/>
  <c r="G8" i="27" l="1"/>
  <c r="E13" i="27"/>
  <c r="G13" i="27" s="1"/>
  <c r="F27" i="7"/>
  <c r="G27" i="7" s="1"/>
  <c r="F35" i="12"/>
  <c r="G35" i="12" s="1"/>
  <c r="F300" i="6"/>
  <c r="G300" i="6" s="1"/>
  <c r="D210" i="11" l="1"/>
  <c r="F210" i="11" s="1"/>
  <c r="G210" i="11" s="1"/>
  <c r="F266" i="6" l="1"/>
  <c r="G266" i="6" s="1"/>
  <c r="D220" i="6"/>
  <c r="D265" i="6"/>
  <c r="F265" i="6" s="1"/>
  <c r="G265" i="6" s="1"/>
  <c r="D264" i="6"/>
  <c r="F264" i="6" s="1"/>
  <c r="G264" i="6" s="1"/>
  <c r="F223" i="6"/>
  <c r="D248" i="6"/>
  <c r="D219" i="6"/>
  <c r="F207" i="6"/>
  <c r="G207" i="6" s="1"/>
  <c r="F206" i="6"/>
  <c r="G206" i="6" s="1"/>
  <c r="F205" i="6"/>
  <c r="G205" i="6" s="1"/>
  <c r="F222" i="6"/>
  <c r="G222" i="6" s="1"/>
  <c r="F221" i="6"/>
  <c r="G221" i="6" s="1"/>
  <c r="F218" i="6"/>
  <c r="G218" i="6" s="1"/>
  <c r="F220" i="6"/>
  <c r="G220" i="6" s="1"/>
  <c r="F219" i="6"/>
  <c r="G219" i="6" s="1"/>
  <c r="F217" i="6"/>
  <c r="G217" i="6" s="1"/>
  <c r="F216" i="6"/>
  <c r="G216" i="6" s="1"/>
  <c r="G223" i="6" l="1"/>
  <c r="F204" i="6"/>
  <c r="G204" i="6" s="1"/>
  <c r="D202" i="6"/>
  <c r="F202" i="6" s="1"/>
  <c r="G202" i="6" s="1"/>
  <c r="F203" i="6"/>
  <c r="G203" i="6" s="1"/>
  <c r="D199" i="6"/>
  <c r="F199" i="6" s="1"/>
  <c r="G199" i="6" s="1"/>
  <c r="F201" i="6"/>
  <c r="G201" i="6" s="1"/>
  <c r="F200" i="6"/>
  <c r="G200" i="6" s="1"/>
  <c r="F198" i="6"/>
  <c r="G198" i="6" s="1"/>
  <c r="F169" i="11"/>
  <c r="G169" i="11" s="1"/>
  <c r="D195" i="6"/>
  <c r="F195" i="6" s="1"/>
  <c r="G195" i="6" s="1"/>
  <c r="F196" i="6"/>
  <c r="G196" i="6" s="1"/>
  <c r="F194" i="6"/>
  <c r="G194" i="6" s="1"/>
  <c r="F193" i="6"/>
  <c r="G193" i="6" s="1"/>
  <c r="D190" i="6"/>
  <c r="F190" i="6" s="1"/>
  <c r="G190" i="6" s="1"/>
  <c r="F191" i="6"/>
  <c r="G191" i="6" s="1"/>
  <c r="F189" i="6"/>
  <c r="G189" i="6" s="1"/>
  <c r="F188" i="6"/>
  <c r="G188" i="6" s="1"/>
  <c r="F187" i="6"/>
  <c r="G187" i="6" s="1"/>
  <c r="F299" i="6"/>
  <c r="G299" i="6" s="1"/>
  <c r="F298" i="6"/>
  <c r="G298" i="6" s="1"/>
  <c r="F297" i="6"/>
  <c r="G297" i="6" s="1"/>
  <c r="F296" i="6"/>
  <c r="G296" i="6" s="1"/>
  <c r="F295" i="6"/>
  <c r="G295" i="6" s="1"/>
  <c r="F294" i="6"/>
  <c r="G294" i="6" s="1"/>
  <c r="F291" i="6"/>
  <c r="G291" i="6" s="1"/>
  <c r="F290" i="6"/>
  <c r="G290" i="6" s="1"/>
  <c r="F289" i="6"/>
  <c r="G289" i="6" s="1"/>
  <c r="F287" i="6"/>
  <c r="G287" i="6" s="1"/>
  <c r="D288" i="6"/>
  <c r="F288" i="6" s="1"/>
  <c r="G288" i="6" s="1"/>
  <c r="D286" i="6"/>
  <c r="F286" i="6" s="1"/>
  <c r="G286" i="6" s="1"/>
  <c r="F284" i="6"/>
  <c r="G284" i="6" s="1"/>
  <c r="F282" i="6"/>
  <c r="G282" i="6" s="1"/>
  <c r="D285" i="6"/>
  <c r="D283" i="6"/>
  <c r="F283" i="6" s="1"/>
  <c r="G283" i="6" s="1"/>
  <c r="F279" i="6"/>
  <c r="G279" i="6" s="1"/>
  <c r="F278" i="6"/>
  <c r="G278" i="6" s="1"/>
  <c r="F281" i="6"/>
  <c r="G281" i="6" s="1"/>
  <c r="F280" i="6"/>
  <c r="G280" i="6" s="1"/>
  <c r="F277" i="6"/>
  <c r="G277" i="6" s="1"/>
  <c r="F293" i="6"/>
  <c r="G293" i="6" s="1"/>
  <c r="F292" i="6"/>
  <c r="G292" i="6" s="1"/>
  <c r="F285" i="6"/>
  <c r="G285" i="6" s="1"/>
  <c r="D275" i="6"/>
  <c r="F275" i="6" s="1"/>
  <c r="G275" i="6" s="1"/>
  <c r="D274" i="6"/>
  <c r="F274" i="6" s="1"/>
  <c r="G274" i="6" s="1"/>
  <c r="D273" i="6"/>
  <c r="F273" i="6" s="1"/>
  <c r="G273" i="6" s="1"/>
  <c r="D272" i="6"/>
  <c r="F272" i="6" s="1"/>
  <c r="G272" i="6" s="1"/>
  <c r="D268" i="6"/>
  <c r="F268" i="6" s="1"/>
  <c r="G268" i="6" s="1"/>
  <c r="D271" i="6"/>
  <c r="F271" i="6" s="1"/>
  <c r="G271" i="6" s="1"/>
  <c r="D270" i="6"/>
  <c r="F270" i="6" s="1"/>
  <c r="G270" i="6" s="1"/>
  <c r="D269" i="6"/>
  <c r="F269" i="6" s="1"/>
  <c r="G269" i="6" s="1"/>
  <c r="F223" i="11"/>
  <c r="G223" i="11" s="1"/>
  <c r="F263" i="6"/>
  <c r="G263" i="6" s="1"/>
  <c r="F262" i="6"/>
  <c r="G262" i="6" s="1"/>
  <c r="F260" i="6"/>
  <c r="G260" i="6" s="1"/>
  <c r="F259" i="6"/>
  <c r="G259" i="6" s="1"/>
  <c r="F258" i="6"/>
  <c r="G258" i="6" s="1"/>
  <c r="F257" i="6"/>
  <c r="G257" i="6" s="1"/>
  <c r="F256" i="6"/>
  <c r="G256" i="6" s="1"/>
  <c r="F255" i="6"/>
  <c r="G255" i="6" s="1"/>
  <c r="F261" i="6"/>
  <c r="G261" i="6" s="1"/>
  <c r="F254" i="6"/>
  <c r="G254" i="6" s="1"/>
  <c r="F253" i="6"/>
  <c r="G253" i="6" s="1"/>
  <c r="F252" i="6"/>
  <c r="G252" i="6" s="1"/>
  <c r="F251" i="6"/>
  <c r="G251" i="6" s="1"/>
  <c r="F250" i="6"/>
  <c r="G250" i="6" s="1"/>
  <c r="F247" i="6"/>
  <c r="G247" i="6" s="1"/>
  <c r="F246" i="6"/>
  <c r="G246" i="6" s="1"/>
  <c r="F248" i="6"/>
  <c r="G248" i="6" s="1"/>
  <c r="F214" i="6"/>
  <c r="G214" i="6" s="1"/>
  <c r="F213" i="6"/>
  <c r="G213" i="6" s="1"/>
  <c r="F212" i="6"/>
  <c r="G212" i="6" s="1"/>
  <c r="F211" i="6"/>
  <c r="G211" i="6" s="1"/>
  <c r="F210" i="6"/>
  <c r="G210" i="6" s="1"/>
  <c r="F209" i="6" l="1"/>
  <c r="G209" i="6" s="1"/>
  <c r="F241" i="6"/>
  <c r="G241" i="6" s="1"/>
  <c r="D238" i="6"/>
  <c r="F238" i="6" s="1"/>
  <c r="G238" i="6" s="1"/>
  <c r="D237" i="6"/>
  <c r="F237" i="6" s="1"/>
  <c r="G237" i="6" s="1"/>
  <c r="D236" i="6"/>
  <c r="F236" i="6" s="1"/>
  <c r="G236" i="6" s="1"/>
  <c r="D235" i="6"/>
  <c r="F235" i="6" s="1"/>
  <c r="G235" i="6" s="1"/>
  <c r="D234" i="6"/>
  <c r="F234" i="6" s="1"/>
  <c r="G234" i="6" s="1"/>
  <c r="D233" i="6"/>
  <c r="F233" i="6" s="1"/>
  <c r="G233" i="6" s="1"/>
  <c r="D232" i="6"/>
  <c r="F232" i="6" s="1"/>
  <c r="G232" i="6" s="1"/>
  <c r="D231" i="6"/>
  <c r="F231" i="6" s="1"/>
  <c r="G231" i="6" s="1"/>
  <c r="D230" i="6"/>
  <c r="F230" i="6" s="1"/>
  <c r="G230" i="6" s="1"/>
  <c r="D229" i="6"/>
  <c r="F229" i="6" s="1"/>
  <c r="G229" i="6" s="1"/>
  <c r="D228" i="6"/>
  <c r="F228" i="6" s="1"/>
  <c r="G228" i="6" s="1"/>
  <c r="F226" i="6"/>
  <c r="G226" i="6" s="1"/>
  <c r="F225" i="6"/>
  <c r="G225" i="6" s="1"/>
  <c r="D244" i="6"/>
  <c r="F244" i="6" s="1"/>
  <c r="G244" i="6" s="1"/>
  <c r="D243" i="6"/>
  <c r="F243" i="6" s="1"/>
  <c r="G243" i="6" s="1"/>
  <c r="D240" i="6"/>
  <c r="F240" i="6" s="1"/>
  <c r="G240" i="6" s="1"/>
  <c r="D239" i="6"/>
  <c r="F239" i="6" s="1"/>
  <c r="G239" i="6" s="1"/>
  <c r="D227" i="6"/>
  <c r="F227" i="6" s="1"/>
  <c r="G227" i="6" s="1"/>
  <c r="F235" i="11"/>
  <c r="G235" i="11" s="1"/>
  <c r="F232" i="11"/>
  <c r="G232" i="11" s="1"/>
  <c r="F231" i="11"/>
  <c r="G231" i="11" s="1"/>
  <c r="F230" i="11"/>
  <c r="G230" i="11" s="1"/>
  <c r="F229" i="11"/>
  <c r="G229" i="11" s="1"/>
  <c r="F228" i="11"/>
  <c r="G228" i="11" s="1"/>
  <c r="F227" i="11"/>
  <c r="G227" i="11" s="1"/>
  <c r="F226" i="11"/>
  <c r="G226" i="11" s="1"/>
  <c r="F234" i="11"/>
  <c r="G234" i="11" s="1"/>
  <c r="F233" i="11"/>
  <c r="G233" i="11" s="1"/>
  <c r="F225" i="11"/>
  <c r="G225" i="11" s="1"/>
  <c r="D224" i="11"/>
  <c r="F224" i="11" s="1"/>
  <c r="G224" i="11" s="1"/>
  <c r="F222" i="11"/>
  <c r="G222" i="11" s="1"/>
  <c r="F221" i="11"/>
  <c r="G221" i="11" s="1"/>
  <c r="F220" i="11"/>
  <c r="G220" i="11" s="1"/>
  <c r="F219" i="11"/>
  <c r="G219" i="11" s="1"/>
  <c r="F218" i="11"/>
  <c r="G218" i="11" s="1"/>
  <c r="F217" i="11"/>
  <c r="G217" i="11" s="1"/>
  <c r="F216" i="11"/>
  <c r="G216" i="11" s="1"/>
  <c r="F215" i="11"/>
  <c r="G215" i="11" s="1"/>
  <c r="F214" i="11"/>
  <c r="G214" i="11" s="1"/>
  <c r="F213" i="11"/>
  <c r="G213" i="11" s="1"/>
  <c r="F212" i="11"/>
  <c r="G212" i="11" s="1"/>
  <c r="F211" i="11"/>
  <c r="G211" i="11" s="1"/>
  <c r="F205" i="11" l="1"/>
  <c r="G205" i="11" s="1"/>
  <c r="F204" i="11"/>
  <c r="G204" i="11" s="1"/>
  <c r="F203" i="11"/>
  <c r="G203" i="11" s="1"/>
  <c r="F202" i="11"/>
  <c r="G202" i="11" s="1"/>
  <c r="F201" i="11"/>
  <c r="G201" i="11" s="1"/>
  <c r="F200" i="11"/>
  <c r="G200" i="11" s="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F192" i="11"/>
  <c r="G192" i="11" s="1"/>
  <c r="F191" i="11"/>
  <c r="G191" i="11" s="1"/>
  <c r="F190" i="11"/>
  <c r="F189" i="11"/>
  <c r="G189" i="11" s="1"/>
  <c r="F188" i="11"/>
  <c r="G188" i="11" s="1"/>
  <c r="F187" i="11"/>
  <c r="G187" i="11" s="1"/>
  <c r="F186" i="11"/>
  <c r="G186" i="11" s="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F176" i="11"/>
  <c r="G176" i="11" s="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7" i="11"/>
  <c r="G167" i="11" s="1"/>
  <c r="F168" i="11"/>
  <c r="G168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D159" i="11"/>
  <c r="D158" i="11"/>
  <c r="D157" i="11"/>
  <c r="D156" i="11"/>
  <c r="D155" i="11"/>
  <c r="D154" i="11"/>
  <c r="D153" i="11"/>
  <c r="F142" i="11"/>
  <c r="G142" i="11" s="1"/>
  <c r="G190" i="11" l="1"/>
  <c r="F153" i="6"/>
  <c r="G153" i="6" s="1"/>
  <c r="F152" i="6"/>
  <c r="G152" i="6" s="1"/>
  <c r="F102" i="11"/>
  <c r="G102" i="11" s="1"/>
  <c r="F101" i="11"/>
  <c r="G101" i="11" s="1"/>
  <c r="F250" i="14" l="1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9" i="3"/>
  <c r="G29" i="3" s="1"/>
  <c r="F28" i="3"/>
  <c r="G28" i="3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4" i="13"/>
  <c r="A6" i="13" s="1"/>
  <c r="A7" i="13" s="1"/>
  <c r="A11" i="13" s="1"/>
  <c r="A12" i="13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F209" i="11"/>
  <c r="G209" i="11" s="1"/>
  <c r="F208" i="11"/>
  <c r="G208" i="11" s="1"/>
  <c r="F207" i="11"/>
  <c r="G207" i="11" s="1"/>
  <c r="F161" i="11"/>
  <c r="G161" i="11" s="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1" i="11"/>
  <c r="G151" i="11" s="1"/>
  <c r="F150" i="11"/>
  <c r="G150" i="11" s="1"/>
  <c r="F149" i="11"/>
  <c r="G149" i="11" s="1"/>
  <c r="F148" i="11"/>
  <c r="G148" i="11" s="1"/>
  <c r="F147" i="11"/>
  <c r="G147" i="11" s="1"/>
  <c r="F145" i="11"/>
  <c r="G145" i="11" s="1"/>
  <c r="F144" i="11"/>
  <c r="G144" i="11" s="1"/>
  <c r="F143" i="11"/>
  <c r="G143" i="11" s="1"/>
  <c r="F140" i="11"/>
  <c r="G140" i="11" s="1"/>
  <c r="F136" i="11"/>
  <c r="G136" i="11" s="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F128" i="11"/>
  <c r="G128" i="11" s="1"/>
  <c r="F126" i="11"/>
  <c r="G126" i="11" s="1"/>
  <c r="F125" i="11"/>
  <c r="G125" i="11" s="1"/>
  <c r="F124" i="11"/>
  <c r="G124" i="11" s="1"/>
  <c r="F122" i="11"/>
  <c r="G122" i="11" s="1"/>
  <c r="F120" i="11"/>
  <c r="G120" i="11" s="1"/>
  <c r="F119" i="11"/>
  <c r="G119" i="11" s="1"/>
  <c r="F118" i="11"/>
  <c r="G118" i="11" s="1"/>
  <c r="F116" i="11"/>
  <c r="G116" i="11" s="1"/>
  <c r="F115" i="11"/>
  <c r="G115" i="11" s="1"/>
  <c r="F114" i="11"/>
  <c r="G114" i="11" s="1"/>
  <c r="F113" i="11"/>
  <c r="G113" i="11" s="1"/>
  <c r="F112" i="11"/>
  <c r="G112" i="11" s="1"/>
  <c r="F111" i="11"/>
  <c r="G111" i="11" s="1"/>
  <c r="F106" i="11"/>
  <c r="G106" i="11" s="1"/>
  <c r="F105" i="11"/>
  <c r="G105" i="11" s="1"/>
  <c r="F104" i="11"/>
  <c r="G104" i="11" s="1"/>
  <c r="F99" i="11"/>
  <c r="G99" i="11" s="1"/>
  <c r="F98" i="11"/>
  <c r="G98" i="11" s="1"/>
  <c r="F97" i="11"/>
  <c r="G97" i="11" s="1"/>
  <c r="F96" i="11"/>
  <c r="G96" i="11" s="1"/>
  <c r="F95" i="11"/>
  <c r="G95" i="11" s="1"/>
  <c r="F94" i="11"/>
  <c r="G94" i="11" s="1"/>
  <c r="F93" i="11"/>
  <c r="G93" i="11" s="1"/>
  <c r="F92" i="11"/>
  <c r="G92" i="11" s="1"/>
  <c r="F90" i="11"/>
  <c r="G90" i="11" s="1"/>
  <c r="F89" i="11"/>
  <c r="G89" i="11" s="1"/>
  <c r="F88" i="11"/>
  <c r="G88" i="11" s="1"/>
  <c r="F87" i="11"/>
  <c r="G87" i="11" s="1"/>
  <c r="F86" i="11"/>
  <c r="G86" i="11" s="1"/>
  <c r="F85" i="11"/>
  <c r="G85" i="11" s="1"/>
  <c r="F82" i="11"/>
  <c r="G82" i="11" s="1"/>
  <c r="F81" i="11"/>
  <c r="G81" i="11" s="1"/>
  <c r="F80" i="11"/>
  <c r="G80" i="11" s="1"/>
  <c r="F79" i="11"/>
  <c r="G79" i="11" s="1"/>
  <c r="F78" i="11"/>
  <c r="G78" i="11" s="1"/>
  <c r="F77" i="11"/>
  <c r="G77" i="11" s="1"/>
  <c r="F76" i="11"/>
  <c r="G76" i="11" s="1"/>
  <c r="F75" i="11"/>
  <c r="G75" i="11" s="1"/>
  <c r="F73" i="11"/>
  <c r="G73" i="11" s="1"/>
  <c r="F72" i="11"/>
  <c r="G72" i="11" s="1"/>
  <c r="F71" i="11"/>
  <c r="G71" i="11" s="1"/>
  <c r="F70" i="11"/>
  <c r="G70" i="11" s="1"/>
  <c r="F69" i="11"/>
  <c r="G69" i="11" s="1"/>
  <c r="F68" i="11"/>
  <c r="G68" i="11" s="1"/>
  <c r="F66" i="11"/>
  <c r="G66" i="11" s="1"/>
  <c r="F65" i="11"/>
  <c r="G65" i="11" s="1"/>
  <c r="F64" i="11"/>
  <c r="G64" i="11" s="1"/>
  <c r="F61" i="11"/>
  <c r="G61" i="11" s="1"/>
  <c r="F60" i="11"/>
  <c r="G60" i="11" s="1"/>
  <c r="F59" i="11"/>
  <c r="G59" i="11" s="1"/>
  <c r="F58" i="11"/>
  <c r="G58" i="11" s="1"/>
  <c r="F57" i="11"/>
  <c r="G57" i="11" s="1"/>
  <c r="F56" i="11"/>
  <c r="G56" i="11" s="1"/>
  <c r="F55" i="11"/>
  <c r="G55" i="11" s="1"/>
  <c r="F53" i="11"/>
  <c r="G53" i="11" s="1"/>
  <c r="F52" i="11"/>
  <c r="G52" i="11" s="1"/>
  <c r="F51" i="11"/>
  <c r="G51" i="11" s="1"/>
  <c r="F48" i="11"/>
  <c r="G48" i="11" s="1"/>
  <c r="F47" i="11"/>
  <c r="G47" i="11" s="1"/>
  <c r="F46" i="11"/>
  <c r="G46" i="11" s="1"/>
  <c r="F44" i="11"/>
  <c r="G44" i="11" s="1"/>
  <c r="F43" i="11"/>
  <c r="G43" i="11" s="1"/>
  <c r="F42" i="11"/>
  <c r="G42" i="11" s="1"/>
  <c r="F41" i="11"/>
  <c r="G41" i="11" s="1"/>
  <c r="F40" i="11"/>
  <c r="G40" i="11" s="1"/>
  <c r="F37" i="11"/>
  <c r="G37" i="11" s="1"/>
  <c r="F36" i="11"/>
  <c r="G36" i="11" s="1"/>
  <c r="F35" i="11"/>
  <c r="G35" i="11" s="1"/>
  <c r="F34" i="11"/>
  <c r="G34" i="11" s="1"/>
  <c r="F33" i="11"/>
  <c r="G33" i="11" s="1"/>
  <c r="F31" i="11"/>
  <c r="G31" i="11" s="1"/>
  <c r="F30" i="11"/>
  <c r="G30" i="11" s="1"/>
  <c r="F29" i="11"/>
  <c r="G29" i="11" s="1"/>
  <c r="F28" i="11"/>
  <c r="G28" i="11" s="1"/>
  <c r="F25" i="11"/>
  <c r="G25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F7" i="11"/>
  <c r="F186" i="6"/>
  <c r="G186" i="6" s="1"/>
  <c r="F185" i="6"/>
  <c r="G185" i="6" s="1"/>
  <c r="F182" i="6"/>
  <c r="G182" i="6" s="1"/>
  <c r="F181" i="6"/>
  <c r="G181" i="6" s="1"/>
  <c r="F180" i="6"/>
  <c r="G180" i="6" s="1"/>
  <c r="F179" i="6"/>
  <c r="G179" i="6" s="1"/>
  <c r="F178" i="6"/>
  <c r="G178" i="6" s="1"/>
  <c r="F177" i="6"/>
  <c r="G177" i="6" s="1"/>
  <c r="F176" i="6"/>
  <c r="G176" i="6" s="1"/>
  <c r="F175" i="6"/>
  <c r="G175" i="6" s="1"/>
  <c r="F171" i="6"/>
  <c r="G171" i="6" s="1"/>
  <c r="F170" i="6"/>
  <c r="G170" i="6" s="1"/>
  <c r="F169" i="6"/>
  <c r="G169" i="6" s="1"/>
  <c r="F168" i="6"/>
  <c r="G168" i="6" s="1"/>
  <c r="F167" i="6"/>
  <c r="G167" i="6" s="1"/>
  <c r="F166" i="6"/>
  <c r="G166" i="6" s="1"/>
  <c r="F165" i="6"/>
  <c r="G165" i="6" s="1"/>
  <c r="F164" i="6"/>
  <c r="G164" i="6" s="1"/>
  <c r="F163" i="6"/>
  <c r="G163" i="6" s="1"/>
  <c r="F162" i="6"/>
  <c r="G162" i="6" s="1"/>
  <c r="F160" i="6"/>
  <c r="G160" i="6" s="1"/>
  <c r="F158" i="6"/>
  <c r="G158" i="6" s="1"/>
  <c r="F157" i="6"/>
  <c r="G157" i="6" s="1"/>
  <c r="F156" i="6"/>
  <c r="G156" i="6" s="1"/>
  <c r="F155" i="6"/>
  <c r="G155" i="6" s="1"/>
  <c r="F150" i="6"/>
  <c r="G150" i="6" s="1"/>
  <c r="F149" i="6"/>
  <c r="G149" i="6" s="1"/>
  <c r="F148" i="6"/>
  <c r="G148" i="6" s="1"/>
  <c r="F147" i="6"/>
  <c r="G147" i="6" s="1"/>
  <c r="F146" i="6"/>
  <c r="G146" i="6" s="1"/>
  <c r="F143" i="6"/>
  <c r="G143" i="6" s="1"/>
  <c r="F142" i="6"/>
  <c r="G142" i="6" s="1"/>
  <c r="F141" i="6"/>
  <c r="G141" i="6" s="1"/>
  <c r="F126" i="6"/>
  <c r="G126" i="6" s="1"/>
  <c r="F125" i="6"/>
  <c r="G125" i="6" s="1"/>
  <c r="F122" i="6"/>
  <c r="G122" i="6" s="1"/>
  <c r="F121" i="6"/>
  <c r="G121" i="6" s="1"/>
  <c r="F119" i="6"/>
  <c r="G119" i="6" s="1"/>
  <c r="F118" i="6"/>
  <c r="G118" i="6" s="1"/>
  <c r="F117" i="6"/>
  <c r="G117" i="6" s="1"/>
  <c r="F114" i="6"/>
  <c r="G114" i="6" s="1"/>
  <c r="F113" i="6"/>
  <c r="G113" i="6" s="1"/>
  <c r="F112" i="6"/>
  <c r="G112" i="6" s="1"/>
  <c r="F109" i="6"/>
  <c r="G109" i="6" s="1"/>
  <c r="F107" i="6"/>
  <c r="G107" i="6" s="1"/>
  <c r="F106" i="6"/>
  <c r="G106" i="6" s="1"/>
  <c r="F105" i="6"/>
  <c r="G105" i="6" s="1"/>
  <c r="F104" i="6"/>
  <c r="G104" i="6" s="1"/>
  <c r="F103" i="6"/>
  <c r="G103" i="6" s="1"/>
  <c r="F102" i="6"/>
  <c r="G102" i="6" s="1"/>
  <c r="F101" i="6"/>
  <c r="G101" i="6" s="1"/>
  <c r="F100" i="6"/>
  <c r="G100" i="6" s="1"/>
  <c r="F99" i="6"/>
  <c r="G99" i="6" s="1"/>
  <c r="F98" i="6"/>
  <c r="G98" i="6" s="1"/>
  <c r="F97" i="6"/>
  <c r="G97" i="6" s="1"/>
  <c r="F96" i="6"/>
  <c r="G96" i="6" s="1"/>
  <c r="F95" i="6"/>
  <c r="G95" i="6" s="1"/>
  <c r="F93" i="6"/>
  <c r="G93" i="6" s="1"/>
  <c r="F90" i="6"/>
  <c r="G90" i="6" s="1"/>
  <c r="F84" i="6"/>
  <c r="G84" i="6" s="1"/>
  <c r="F61" i="6"/>
  <c r="G61" i="6" s="1"/>
  <c r="F60" i="6"/>
  <c r="G60" i="6" s="1"/>
  <c r="F59" i="6"/>
  <c r="G59" i="6" s="1"/>
  <c r="F58" i="6"/>
  <c r="G58" i="6" s="1"/>
  <c r="F41" i="6"/>
  <c r="G41" i="6" s="1"/>
  <c r="F40" i="6"/>
  <c r="G40" i="6" s="1"/>
  <c r="F33" i="6"/>
  <c r="G33" i="6" s="1"/>
  <c r="F32" i="6"/>
  <c r="G3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F8" i="6"/>
  <c r="G8" i="6" s="1"/>
  <c r="F7" i="6"/>
  <c r="G7" i="11" l="1"/>
  <c r="A131" i="14"/>
  <c r="A132" i="14" s="1"/>
  <c r="A134" i="14" s="1"/>
  <c r="A135" i="14" s="1"/>
  <c r="A136" i="14" s="1"/>
  <c r="A137" i="14" s="1"/>
  <c r="A138" i="14" s="1"/>
  <c r="A139" i="14" s="1"/>
  <c r="G8" i="11"/>
  <c r="G7" i="6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F382" i="12"/>
  <c r="G382" i="12" s="1"/>
  <c r="F381" i="12"/>
  <c r="F375" i="12"/>
  <c r="G375" i="12" s="1"/>
  <c r="F373" i="12"/>
  <c r="G373" i="12" s="1"/>
  <c r="F371" i="12"/>
  <c r="G371" i="12" s="1"/>
  <c r="F370" i="12"/>
  <c r="G370" i="12" s="1"/>
  <c r="F353" i="12"/>
  <c r="G353" i="12" s="1"/>
  <c r="F352" i="12"/>
  <c r="G352" i="12" s="1"/>
  <c r="F348" i="12"/>
  <c r="G348" i="12" s="1"/>
  <c r="F347" i="12"/>
  <c r="G347" i="12" s="1"/>
  <c r="F346" i="12"/>
  <c r="G346" i="12" s="1"/>
  <c r="F345" i="12"/>
  <c r="G345" i="12" s="1"/>
  <c r="F340" i="12"/>
  <c r="G340" i="12" s="1"/>
  <c r="F339" i="12"/>
  <c r="G339" i="12" s="1"/>
  <c r="F335" i="12"/>
  <c r="G335" i="12" s="1"/>
  <c r="F334" i="12"/>
  <c r="G334" i="12" s="1"/>
  <c r="F333" i="12"/>
  <c r="G333" i="12" s="1"/>
  <c r="F332" i="12"/>
  <c r="G332" i="12" s="1"/>
  <c r="F328" i="12"/>
  <c r="G328" i="12" s="1"/>
  <c r="F327" i="12"/>
  <c r="G327" i="12" s="1"/>
  <c r="F326" i="12"/>
  <c r="G326" i="12" s="1"/>
  <c r="F292" i="12"/>
  <c r="G292" i="12" s="1"/>
  <c r="F289" i="12"/>
  <c r="G289" i="12" s="1"/>
  <c r="F288" i="12"/>
  <c r="G288" i="12" s="1"/>
  <c r="F287" i="12"/>
  <c r="G287" i="12" s="1"/>
  <c r="F282" i="12"/>
  <c r="G282" i="12" s="1"/>
  <c r="F281" i="12"/>
  <c r="G281" i="12" s="1"/>
  <c r="F280" i="12"/>
  <c r="G280" i="12" s="1"/>
  <c r="F279" i="12"/>
  <c r="G279" i="12" s="1"/>
  <c r="F278" i="12"/>
  <c r="G278" i="12" s="1"/>
  <c r="F277" i="12"/>
  <c r="G277" i="12" s="1"/>
  <c r="F276" i="12"/>
  <c r="G276" i="12" s="1"/>
  <c r="F275" i="12"/>
  <c r="G275" i="12" s="1"/>
  <c r="F274" i="12"/>
  <c r="G274" i="12" s="1"/>
  <c r="F273" i="12"/>
  <c r="G273" i="12" s="1"/>
  <c r="F271" i="12"/>
  <c r="G271" i="12" s="1"/>
  <c r="F270" i="12"/>
  <c r="G270" i="12" s="1"/>
  <c r="F269" i="12"/>
  <c r="G269" i="12" s="1"/>
  <c r="F268" i="12"/>
  <c r="G268" i="12" s="1"/>
  <c r="F267" i="12"/>
  <c r="G267" i="12" s="1"/>
  <c r="F266" i="12"/>
  <c r="G266" i="12" s="1"/>
  <c r="F265" i="12"/>
  <c r="G265" i="12" s="1"/>
  <c r="F264" i="12"/>
  <c r="G264" i="12" s="1"/>
  <c r="F263" i="12"/>
  <c r="G263" i="12" s="1"/>
  <c r="F262" i="12"/>
  <c r="G262" i="12" s="1"/>
  <c r="F152" i="12"/>
  <c r="G152" i="12" s="1"/>
  <c r="F151" i="12"/>
  <c r="G151" i="12" s="1"/>
  <c r="F150" i="12"/>
  <c r="G150" i="12" s="1"/>
  <c r="F149" i="12"/>
  <c r="G149" i="12" s="1"/>
  <c r="F148" i="12"/>
  <c r="G148" i="12" s="1"/>
  <c r="F147" i="12"/>
  <c r="G147" i="12" s="1"/>
  <c r="F146" i="12"/>
  <c r="G146" i="12" s="1"/>
  <c r="F144" i="12"/>
  <c r="G144" i="12" s="1"/>
  <c r="F143" i="12"/>
  <c r="G143" i="12" s="1"/>
  <c r="F142" i="12"/>
  <c r="G142" i="12" s="1"/>
  <c r="F141" i="12"/>
  <c r="G141" i="12" s="1"/>
  <c r="F140" i="12"/>
  <c r="G140" i="12" s="1"/>
  <c r="F139" i="12"/>
  <c r="G139" i="12" s="1"/>
  <c r="F138" i="12"/>
  <c r="G138" i="12" s="1"/>
  <c r="F137" i="12"/>
  <c r="G137" i="12" s="1"/>
  <c r="F136" i="12"/>
  <c r="G136" i="12" s="1"/>
  <c r="F135" i="12"/>
  <c r="G135" i="12" s="1"/>
  <c r="F131" i="12"/>
  <c r="G131" i="12" s="1"/>
  <c r="F130" i="12"/>
  <c r="G130" i="12" s="1"/>
  <c r="F129" i="12"/>
  <c r="G129" i="12" s="1"/>
  <c r="F128" i="12"/>
  <c r="G128" i="12" s="1"/>
  <c r="F127" i="12"/>
  <c r="G127" i="12" s="1"/>
  <c r="F126" i="12"/>
  <c r="G126" i="12" s="1"/>
  <c r="F125" i="12"/>
  <c r="G125" i="12" s="1"/>
  <c r="F123" i="12"/>
  <c r="G123" i="12" s="1"/>
  <c r="F122" i="12"/>
  <c r="G122" i="12" s="1"/>
  <c r="F121" i="12"/>
  <c r="G121" i="12" s="1"/>
  <c r="F120" i="12"/>
  <c r="G120" i="12" s="1"/>
  <c r="F119" i="12"/>
  <c r="G119" i="12" s="1"/>
  <c r="F118" i="12"/>
  <c r="G118" i="12" s="1"/>
  <c r="F117" i="12"/>
  <c r="G117" i="12" s="1"/>
  <c r="F116" i="12"/>
  <c r="G116" i="12" s="1"/>
  <c r="F115" i="12"/>
  <c r="G115" i="12" s="1"/>
  <c r="F114" i="12"/>
  <c r="G114" i="12" s="1"/>
  <c r="F34" i="12"/>
  <c r="G34" i="12" s="1"/>
  <c r="F33" i="12"/>
  <c r="G33" i="12" s="1"/>
  <c r="F32" i="12"/>
  <c r="G32" i="12" s="1"/>
  <c r="F31" i="12"/>
  <c r="G31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G381" i="12" l="1"/>
  <c r="F386" i="12"/>
  <c r="C5" i="13" s="1"/>
  <c r="A160" i="14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279" i="7"/>
  <c r="G279" i="7" s="1"/>
  <c r="F273" i="7"/>
  <c r="G273" i="7" s="1"/>
  <c r="F272" i="7"/>
  <c r="G272" i="7" s="1"/>
  <c r="F259" i="7"/>
  <c r="G259" i="7" s="1"/>
  <c r="F258" i="7"/>
  <c r="G258" i="7" s="1"/>
  <c r="F257" i="7"/>
  <c r="G257" i="7" s="1"/>
  <c r="F252" i="7"/>
  <c r="G252" i="7" s="1"/>
  <c r="F251" i="7"/>
  <c r="G251" i="7" s="1"/>
  <c r="F250" i="7"/>
  <c r="G250" i="7" s="1"/>
  <c r="F246" i="7"/>
  <c r="F245" i="7"/>
  <c r="G245" i="7" s="1"/>
  <c r="F228" i="7"/>
  <c r="G228" i="7" s="1"/>
  <c r="F227" i="7"/>
  <c r="G227" i="7" s="1"/>
  <c r="F226" i="7"/>
  <c r="G226" i="7" s="1"/>
  <c r="F225" i="7"/>
  <c r="G225" i="7" s="1"/>
  <c r="F224" i="7"/>
  <c r="G224" i="7" s="1"/>
  <c r="F210" i="7"/>
  <c r="G210" i="7" s="1"/>
  <c r="F209" i="7"/>
  <c r="G209" i="7" s="1"/>
  <c r="F208" i="7"/>
  <c r="G208" i="7" s="1"/>
  <c r="F206" i="7"/>
  <c r="G206" i="7" s="1"/>
  <c r="F205" i="7"/>
  <c r="G205" i="7" s="1"/>
  <c r="F204" i="7"/>
  <c r="G204" i="7" s="1"/>
  <c r="F203" i="7"/>
  <c r="G203" i="7" s="1"/>
  <c r="F202" i="7"/>
  <c r="G202" i="7" s="1"/>
  <c r="F201" i="7"/>
  <c r="G201" i="7" s="1"/>
  <c r="F200" i="7"/>
  <c r="G200" i="7" s="1"/>
  <c r="F199" i="7"/>
  <c r="G199" i="7" s="1"/>
  <c r="F198" i="7"/>
  <c r="G198" i="7" s="1"/>
  <c r="F197" i="7"/>
  <c r="F196" i="7"/>
  <c r="G196" i="7" s="1"/>
  <c r="F195" i="7"/>
  <c r="G195" i="7" s="1"/>
  <c r="F116" i="7"/>
  <c r="G116" i="7" s="1"/>
  <c r="F115" i="7"/>
  <c r="G115" i="7" s="1"/>
  <c r="F111" i="7"/>
  <c r="G111" i="7" s="1"/>
  <c r="F110" i="7"/>
  <c r="G110" i="7" s="1"/>
  <c r="F108" i="7"/>
  <c r="G108" i="7" s="1"/>
  <c r="F107" i="7"/>
  <c r="G107" i="7" s="1"/>
  <c r="F103" i="7"/>
  <c r="G103" i="7" s="1"/>
  <c r="F102" i="7"/>
  <c r="G102" i="7" s="1"/>
  <c r="F98" i="7"/>
  <c r="G98" i="7" s="1"/>
  <c r="F97" i="7"/>
  <c r="G97" i="7" s="1"/>
  <c r="F95" i="7"/>
  <c r="G95" i="7" s="1"/>
  <c r="F94" i="7"/>
  <c r="G94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G386" i="12" l="1"/>
  <c r="G197" i="7"/>
  <c r="G246" i="7"/>
  <c r="F56" i="10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F12" i="5"/>
  <c r="G12" i="5" s="1"/>
  <c r="E9" i="5"/>
  <c r="F9" i="5" s="1"/>
  <c r="G9" i="5" s="1"/>
  <c r="F8" i="5"/>
  <c r="G8" i="5" s="1"/>
  <c r="F7" i="5"/>
  <c r="G7" i="5" s="1"/>
  <c r="F6" i="5"/>
  <c r="G6" i="5" s="1"/>
  <c r="F5" i="13" l="1"/>
  <c r="B8" i="27"/>
  <c r="D8" i="27" s="1"/>
  <c r="F41" i="5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F14" i="9" s="1"/>
  <c r="G14" i="9" s="1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F5" i="8"/>
  <c r="G5" i="8" s="1"/>
  <c r="F17" i="8"/>
  <c r="G17" i="8" s="1"/>
  <c r="F16" i="8"/>
  <c r="G16" i="8" s="1"/>
  <c r="F27" i="8"/>
  <c r="G27" i="8" s="1"/>
  <c r="F8" i="8"/>
  <c r="G8" i="8" s="1"/>
  <c r="F7" i="8"/>
  <c r="G7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6" i="8"/>
  <c r="G26" i="8" s="1"/>
  <c r="F25" i="8"/>
  <c r="G25" i="8" s="1"/>
  <c r="F21" i="8"/>
  <c r="G21" i="8" s="1"/>
  <c r="F19" i="8"/>
  <c r="G19" i="8" s="1"/>
  <c r="F18" i="8"/>
  <c r="G18" i="8" s="1"/>
  <c r="F13" i="8"/>
  <c r="G13" i="8" s="1"/>
  <c r="F11" i="8"/>
  <c r="G11" i="8" s="1"/>
  <c r="F10" i="8"/>
  <c r="G10" i="8" s="1"/>
  <c r="F6" i="8"/>
  <c r="G6" i="8" s="1"/>
  <c r="A6" i="8"/>
  <c r="A7" i="8" s="1"/>
  <c r="A8" i="8" s="1"/>
  <c r="A10" i="8" s="1"/>
  <c r="A11" i="8" s="1"/>
  <c r="A12" i="8" s="1"/>
  <c r="A13" i="8" s="1"/>
  <c r="A5" i="3"/>
  <c r="A6" i="3" s="1"/>
  <c r="A7" i="3" s="1"/>
  <c r="A8" i="3" s="1"/>
  <c r="A9" i="3" s="1"/>
  <c r="A10" i="3" s="1"/>
  <c r="A11" i="3" s="1"/>
  <c r="A12" i="3" s="1"/>
  <c r="F20" i="3"/>
  <c r="G20" i="3" s="1"/>
  <c r="F24" i="3"/>
  <c r="G24" i="3" s="1"/>
  <c r="F27" i="3"/>
  <c r="G27" i="3" s="1"/>
  <c r="F26" i="3"/>
  <c r="G26" i="3" s="1"/>
  <c r="F23" i="3"/>
  <c r="G23" i="3" s="1"/>
  <c r="F21" i="3"/>
  <c r="G21" i="3" s="1"/>
  <c r="F22" i="3"/>
  <c r="G22" i="3" s="1"/>
  <c r="F16" i="3"/>
  <c r="G16" i="3" s="1"/>
  <c r="F15" i="3"/>
  <c r="G15" i="3" s="1"/>
  <c r="F11" i="3"/>
  <c r="G11" i="3" s="1"/>
  <c r="F10" i="3"/>
  <c r="G10" i="3" s="1"/>
  <c r="F17" i="3"/>
  <c r="G17" i="3" s="1"/>
  <c r="F12" i="3"/>
  <c r="G12" i="3" s="1"/>
  <c r="F9" i="3"/>
  <c r="G9" i="3" s="1"/>
  <c r="F8" i="3"/>
  <c r="G8" i="3" s="1"/>
  <c r="F6" i="3"/>
  <c r="G6" i="3" s="1"/>
  <c r="F4" i="3"/>
  <c r="G4" i="3" s="1"/>
  <c r="A15" i="3" l="1"/>
  <c r="A16" i="3" s="1"/>
  <c r="A17" i="3" s="1"/>
  <c r="A18" i="3" s="1"/>
  <c r="A19" i="3" s="1"/>
  <c r="A20" i="3" s="1"/>
  <c r="A21" i="3" s="1"/>
  <c r="A22" i="3" s="1"/>
  <c r="A23" i="3" s="1"/>
  <c r="A24" i="3" s="1"/>
  <c r="A13" i="3"/>
  <c r="A14" i="3" s="1"/>
  <c r="A14" i="8"/>
  <c r="A16" i="8" s="1"/>
  <c r="A17" i="8" s="1"/>
  <c r="A18" i="8" s="1"/>
  <c r="A19" i="8" s="1"/>
  <c r="A20" i="8" s="1"/>
  <c r="A21" i="8" s="1"/>
  <c r="F7" i="3"/>
  <c r="G7" i="3" s="1"/>
  <c r="G35" i="8"/>
  <c r="F35" i="8"/>
  <c r="C3" i="13" s="1"/>
  <c r="F3" i="13" l="1"/>
  <c r="B7" i="27"/>
  <c r="A25" i="3"/>
  <c r="A26" i="3" s="1"/>
  <c r="A27" i="3" s="1"/>
  <c r="A28" i="3" s="1"/>
  <c r="A29" i="3" s="1"/>
  <c r="A25" i="8"/>
  <c r="A26" i="8" s="1"/>
  <c r="A27" i="8" s="1"/>
  <c r="A28" i="8" s="1"/>
  <c r="A29" i="8" s="1"/>
  <c r="A30" i="8" s="1"/>
  <c r="A31" i="8" s="1"/>
  <c r="A32" i="8" s="1"/>
  <c r="A33" i="8" s="1"/>
  <c r="A34" i="8" s="1"/>
  <c r="A22" i="8"/>
  <c r="A23" i="8" s="1"/>
  <c r="A24" i="8" s="1"/>
  <c r="F5" i="3"/>
  <c r="F30" i="3" s="1"/>
  <c r="D3" i="13" s="1"/>
  <c r="B13" i="27" l="1"/>
  <c r="E3" i="13"/>
  <c r="G5" i="3"/>
  <c r="G30" i="3" s="1"/>
  <c r="G3" i="13" l="1"/>
  <c r="C7" i="27"/>
  <c r="H3" i="13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D244" i="7"/>
  <c r="D207" i="7"/>
  <c r="F207" i="7" s="1"/>
  <c r="G207" i="7" s="1"/>
  <c r="D194" i="7"/>
  <c r="F194" i="7" s="1"/>
  <c r="G194" i="7" s="1"/>
  <c r="D114" i="7"/>
  <c r="D113" i="7"/>
  <c r="F113" i="7" s="1"/>
  <c r="G113" i="7" s="1"/>
  <c r="D112" i="7"/>
  <c r="F112" i="7" s="1"/>
  <c r="G112" i="7" s="1"/>
  <c r="D106" i="7"/>
  <c r="F106" i="7" s="1"/>
  <c r="G106" i="7" s="1"/>
  <c r="D101" i="7"/>
  <c r="F101" i="7" s="1"/>
  <c r="G101" i="7" s="1"/>
  <c r="D100" i="7"/>
  <c r="F100" i="7" s="1"/>
  <c r="G100" i="7" s="1"/>
  <c r="D99" i="7"/>
  <c r="F99" i="7" s="1"/>
  <c r="G99" i="7" s="1"/>
  <c r="D93" i="7"/>
  <c r="F93" i="7" s="1"/>
  <c r="G93" i="7" s="1"/>
  <c r="D19" i="7"/>
  <c r="F19" i="7" s="1"/>
  <c r="G19" i="7" s="1"/>
  <c r="D18" i="7"/>
  <c r="F18" i="7" s="1"/>
  <c r="G18" i="7" s="1"/>
  <c r="D17" i="7"/>
  <c r="F17" i="7" s="1"/>
  <c r="G17" i="7" s="1"/>
  <c r="D16" i="7"/>
  <c r="F16" i="7" s="1"/>
  <c r="G16" i="7" s="1"/>
  <c r="D15" i="7"/>
  <c r="F15" i="7" s="1"/>
  <c r="G15" i="7" s="1"/>
  <c r="D14" i="7"/>
  <c r="F14" i="7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F5" i="7"/>
  <c r="F244" i="7" l="1"/>
  <c r="G244" i="7" s="1"/>
  <c r="F114" i="7"/>
  <c r="G114" i="7" s="1"/>
  <c r="C13" i="27"/>
  <c r="D13" i="27" s="1"/>
  <c r="D7" i="27"/>
  <c r="F280" i="7"/>
  <c r="D5" i="13" s="1"/>
  <c r="G14" i="7"/>
  <c r="A27" i="7"/>
  <c r="A29" i="7" s="1"/>
  <c r="A30" i="7" s="1"/>
  <c r="A31" i="7" s="1"/>
  <c r="A35" i="12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9" i="12" s="1"/>
  <c r="A50" i="12" s="1"/>
  <c r="A51" i="12" s="1"/>
  <c r="A52" i="12" s="1"/>
  <c r="A53" i="12" s="1"/>
  <c r="A54" i="12" s="1"/>
  <c r="A55" i="12" s="1"/>
  <c r="A56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70" i="12" s="1"/>
  <c r="A71" i="12" s="1"/>
  <c r="A72" i="12" s="1"/>
  <c r="A73" i="12" s="1"/>
  <c r="G5" i="7"/>
  <c r="F153" i="11"/>
  <c r="G153" i="11" s="1"/>
  <c r="F141" i="11"/>
  <c r="G141" i="11" s="1"/>
  <c r="D110" i="11"/>
  <c r="F110" i="11" s="1"/>
  <c r="A8" i="11"/>
  <c r="A9" i="11" s="1"/>
  <c r="A10" i="11" s="1"/>
  <c r="A11" i="11" s="1"/>
  <c r="A12" i="11" s="1"/>
  <c r="A13" i="11" s="1"/>
  <c r="A14" i="11" s="1"/>
  <c r="A15" i="11" s="1"/>
  <c r="A17" i="11" s="1"/>
  <c r="A18" i="11" s="1"/>
  <c r="A19" i="11" s="1"/>
  <c r="A20" i="11" s="1"/>
  <c r="A21" i="11" s="1"/>
  <c r="A22" i="11" s="1"/>
  <c r="A23" i="11" s="1"/>
  <c r="A25" i="11" s="1"/>
  <c r="A28" i="11" s="1"/>
  <c r="A29" i="11" s="1"/>
  <c r="A30" i="11" s="1"/>
  <c r="A31" i="11" s="1"/>
  <c r="A33" i="11" s="1"/>
  <c r="A34" i="11" s="1"/>
  <c r="A35" i="11" s="1"/>
  <c r="A36" i="11" s="1"/>
  <c r="A37" i="11" s="1"/>
  <c r="A40" i="11" s="1"/>
  <c r="A41" i="11" s="1"/>
  <c r="A42" i="11" s="1"/>
  <c r="A43" i="11" s="1"/>
  <c r="A44" i="11" s="1"/>
  <c r="A46" i="11" s="1"/>
  <c r="A47" i="11" s="1"/>
  <c r="A48" i="11" s="1"/>
  <c r="A51" i="11" s="1"/>
  <c r="A52" i="11" s="1"/>
  <c r="A53" i="11" s="1"/>
  <c r="A55" i="11" s="1"/>
  <c r="A56" i="11" s="1"/>
  <c r="A57" i="11" s="1"/>
  <c r="A58" i="11" s="1"/>
  <c r="A59" i="11" s="1"/>
  <c r="A60" i="11" s="1"/>
  <c r="A61" i="11" s="1"/>
  <c r="A64" i="11" s="1"/>
  <c r="A65" i="11" s="1"/>
  <c r="A66" i="11" s="1"/>
  <c r="A68" i="11" s="1"/>
  <c r="A69" i="11" s="1"/>
  <c r="A70" i="11" s="1"/>
  <c r="A71" i="11" s="1"/>
  <c r="A72" i="11" s="1"/>
  <c r="A73" i="11" s="1"/>
  <c r="A75" i="11" s="1"/>
  <c r="A76" i="11" s="1"/>
  <c r="A77" i="11" s="1"/>
  <c r="A78" i="11" s="1"/>
  <c r="A79" i="11" s="1"/>
  <c r="A80" i="11" s="1"/>
  <c r="A81" i="11" s="1"/>
  <c r="A82" i="11" s="1"/>
  <c r="A85" i="11" s="1"/>
  <c r="A86" i="11" s="1"/>
  <c r="A87" i="11" s="1"/>
  <c r="A88" i="11" s="1"/>
  <c r="A89" i="11" s="1"/>
  <c r="A90" i="11" s="1"/>
  <c r="A92" i="11" s="1"/>
  <c r="A93" i="11" s="1"/>
  <c r="A94" i="11" s="1"/>
  <c r="A95" i="11" s="1"/>
  <c r="A96" i="11" s="1"/>
  <c r="A97" i="11" s="1"/>
  <c r="A98" i="11" s="1"/>
  <c r="A99" i="11" s="1"/>
  <c r="E5" i="13" l="1"/>
  <c r="G280" i="7"/>
  <c r="G5" i="13" s="1"/>
  <c r="A74" i="12"/>
  <c r="A75" i="12" s="1"/>
  <c r="A76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10" i="12" s="1"/>
  <c r="A111" i="12" s="1"/>
  <c r="A114" i="12"/>
  <c r="A115" i="12" s="1"/>
  <c r="A116" i="12" s="1"/>
  <c r="A117" i="12" s="1"/>
  <c r="A118" i="12" s="1"/>
  <c r="A119" i="12" s="1"/>
  <c r="A120" i="12" s="1"/>
  <c r="A121" i="12" s="1"/>
  <c r="A122" i="12" s="1"/>
  <c r="A123" i="12" s="1"/>
  <c r="A125" i="12" s="1"/>
  <c r="A126" i="12" s="1"/>
  <c r="A127" i="12" s="1"/>
  <c r="A128" i="12" s="1"/>
  <c r="A129" i="12" s="1"/>
  <c r="A130" i="12" s="1"/>
  <c r="A131" i="12" s="1"/>
  <c r="A132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6" i="12" s="1"/>
  <c r="A147" i="12" s="1"/>
  <c r="A148" i="12" s="1"/>
  <c r="A149" i="12" s="1"/>
  <c r="A150" i="12" s="1"/>
  <c r="A151" i="12" s="1"/>
  <c r="A152" i="12" s="1"/>
  <c r="A93" i="7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6" i="7" s="1"/>
  <c r="A107" i="7" s="1"/>
  <c r="A108" i="7" s="1"/>
  <c r="A101" i="11"/>
  <c r="A102" i="11" s="1"/>
  <c r="A104" i="11" s="1"/>
  <c r="A105" i="11" s="1"/>
  <c r="A106" i="11" s="1"/>
  <c r="A110" i="11" s="1"/>
  <c r="A111" i="11" s="1"/>
  <c r="A112" i="11" s="1"/>
  <c r="A113" i="11" s="1"/>
  <c r="A114" i="11" s="1"/>
  <c r="A115" i="11" s="1"/>
  <c r="A116" i="11" s="1"/>
  <c r="A118" i="11" s="1"/>
  <c r="A119" i="11" s="1"/>
  <c r="A120" i="11" s="1"/>
  <c r="A122" i="11" s="1"/>
  <c r="A124" i="11" s="1"/>
  <c r="A125" i="11" s="1"/>
  <c r="A126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G110" i="11"/>
  <c r="H5" i="13" l="1"/>
  <c r="A140" i="11"/>
  <c r="A141" i="11" s="1"/>
  <c r="A142" i="11" s="1"/>
  <c r="A143" i="11" s="1"/>
  <c r="A144" i="11" s="1"/>
  <c r="A32" i="7"/>
  <c r="A33" i="7" s="1"/>
  <c r="A34" i="7" s="1"/>
  <c r="A35" i="7" s="1"/>
  <c r="A36" i="7" s="1"/>
  <c r="A37" i="7" s="1"/>
  <c r="A38" i="7" s="1"/>
  <c r="A39" i="7" s="1"/>
  <c r="A40" i="7" s="1"/>
  <c r="A42" i="7" s="1"/>
  <c r="A43" i="7" s="1"/>
  <c r="A44" i="7" s="1"/>
  <c r="A110" i="7"/>
  <c r="A111" i="7" s="1"/>
  <c r="A112" i="7" s="1"/>
  <c r="A113" i="7" s="1"/>
  <c r="A114" i="7" s="1"/>
  <c r="A115" i="7" s="1"/>
  <c r="A116" i="7" s="1"/>
  <c r="A117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09" i="7"/>
  <c r="A153" i="12"/>
  <c r="A157" i="12" s="1"/>
  <c r="A158" i="12" s="1"/>
  <c r="A159" i="12" s="1"/>
  <c r="A160" i="12" s="1"/>
  <c r="A161" i="12" s="1"/>
  <c r="A162" i="12" s="1"/>
  <c r="A164" i="12" s="1"/>
  <c r="A165" i="12" s="1"/>
  <c r="A166" i="12" s="1"/>
  <c r="A167" i="12" s="1"/>
  <c r="A168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8" i="12" s="1"/>
  <c r="A190" i="12" s="1"/>
  <c r="A191" i="12" s="1"/>
  <c r="A193" i="12" s="1"/>
  <c r="A194" i="12" s="1"/>
  <c r="A195" i="12" s="1"/>
  <c r="A196" i="12" s="1"/>
  <c r="A197" i="12" s="1"/>
  <c r="D48" i="10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A145" i="11"/>
  <c r="A147" i="11"/>
  <c r="A148" i="11" s="1"/>
  <c r="A149" i="11" s="1"/>
  <c r="A150" i="11" s="1"/>
  <c r="A151" i="11" s="1"/>
  <c r="A153" i="11" s="1"/>
  <c r="A154" i="11" s="1"/>
  <c r="A155" i="11" s="1"/>
  <c r="A156" i="11" s="1"/>
  <c r="A157" i="11" s="1"/>
  <c r="A158" i="11" s="1"/>
  <c r="A159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5" i="11" s="1"/>
  <c r="A186" i="11" s="1"/>
  <c r="A187" i="11" s="1"/>
  <c r="A188" i="11" s="1"/>
  <c r="A189" i="11" s="1"/>
  <c r="A45" i="7"/>
  <c r="A46" i="7" s="1"/>
  <c r="A47" i="7" s="1"/>
  <c r="A48" i="7" s="1"/>
  <c r="A49" i="7" s="1"/>
  <c r="A50" i="7" s="1"/>
  <c r="A51" i="7" s="1"/>
  <c r="A52" i="7" s="1"/>
  <c r="A53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130" i="7"/>
  <c r="A131" i="7" s="1"/>
  <c r="A132" i="7" s="1"/>
  <c r="A133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6" i="7" s="1"/>
  <c r="A167" i="7" s="1"/>
  <c r="A168" i="7" s="1"/>
  <c r="A169" i="7" s="1"/>
  <c r="A170" i="7" s="1"/>
  <c r="A171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6" i="7" s="1"/>
  <c r="A187" i="7" s="1"/>
  <c r="A188" i="7" s="1"/>
  <c r="A189" i="7" s="1"/>
  <c r="A190" i="7" s="1"/>
  <c r="A191" i="7" s="1"/>
  <c r="A192" i="7" s="1"/>
  <c r="A213" i="12"/>
  <c r="A214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G57" i="10"/>
  <c r="G58" i="10" s="1"/>
  <c r="G59" i="10" s="1"/>
  <c r="F58" i="10" l="1"/>
  <c r="F59" i="10" s="1"/>
  <c r="A194" i="7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27" i="12"/>
  <c r="A226" i="12"/>
  <c r="A228" i="12" s="1"/>
  <c r="A190" i="11"/>
  <c r="A191" i="11" s="1"/>
  <c r="A192" i="11" s="1"/>
  <c r="A193" i="11" s="1"/>
  <c r="A194" i="11" s="1"/>
  <c r="A195" i="11" s="1"/>
  <c r="D174" i="6"/>
  <c r="F174" i="6" s="1"/>
  <c r="G174" i="6" s="1"/>
  <c r="D173" i="6"/>
  <c r="F173" i="6" s="1"/>
  <c r="G173" i="6" s="1"/>
  <c r="D172" i="6"/>
  <c r="F172" i="6" s="1"/>
  <c r="G172" i="6" s="1"/>
  <c r="D161" i="6"/>
  <c r="F161" i="6" s="1"/>
  <c r="G161" i="6" s="1"/>
  <c r="D140" i="6"/>
  <c r="F140" i="6" s="1"/>
  <c r="G140" i="6" s="1"/>
  <c r="D139" i="6"/>
  <c r="F139" i="6" s="1"/>
  <c r="G139" i="6" s="1"/>
  <c r="D138" i="6"/>
  <c r="F138" i="6" s="1"/>
  <c r="G138" i="6" s="1"/>
  <c r="D137" i="6"/>
  <c r="F137" i="6" s="1"/>
  <c r="G137" i="6" s="1"/>
  <c r="D136" i="6"/>
  <c r="F136" i="6" s="1"/>
  <c r="G136" i="6" s="1"/>
  <c r="D135" i="6"/>
  <c r="F135" i="6" s="1"/>
  <c r="G135" i="6" s="1"/>
  <c r="D134" i="6"/>
  <c r="F134" i="6" s="1"/>
  <c r="G134" i="6" s="1"/>
  <c r="D133" i="6"/>
  <c r="F133" i="6" s="1"/>
  <c r="G133" i="6" s="1"/>
  <c r="D132" i="6"/>
  <c r="F132" i="6" s="1"/>
  <c r="G132" i="6" s="1"/>
  <c r="D131" i="6"/>
  <c r="F131" i="6" s="1"/>
  <c r="G131" i="6" s="1"/>
  <c r="D130" i="6"/>
  <c r="F130" i="6" s="1"/>
  <c r="G130" i="6" s="1"/>
  <c r="D129" i="6"/>
  <c r="F129" i="6" s="1"/>
  <c r="G129" i="6" s="1"/>
  <c r="D128" i="6"/>
  <c r="F128" i="6" s="1"/>
  <c r="G128" i="6" s="1"/>
  <c r="D124" i="6"/>
  <c r="F124" i="6" s="1"/>
  <c r="G124" i="6" s="1"/>
  <c r="D123" i="6"/>
  <c r="F123" i="6" s="1"/>
  <c r="G123" i="6" s="1"/>
  <c r="D120" i="6"/>
  <c r="F120" i="6" s="1"/>
  <c r="G120" i="6" s="1"/>
  <c r="D111" i="6"/>
  <c r="F111" i="6" s="1"/>
  <c r="G111" i="6" s="1"/>
  <c r="D110" i="6"/>
  <c r="F110" i="6" s="1"/>
  <c r="G110" i="6" s="1"/>
  <c r="D108" i="6"/>
  <c r="F108" i="6" s="1"/>
  <c r="G108" i="6" s="1"/>
  <c r="D92" i="6"/>
  <c r="F92" i="6" s="1"/>
  <c r="G92" i="6" s="1"/>
  <c r="D91" i="6"/>
  <c r="F91" i="6" s="1"/>
  <c r="G91" i="6" s="1"/>
  <c r="D89" i="6"/>
  <c r="F89" i="6" s="1"/>
  <c r="G89" i="6" s="1"/>
  <c r="D88" i="6"/>
  <c r="F88" i="6" s="1"/>
  <c r="G88" i="6" s="1"/>
  <c r="D87" i="6"/>
  <c r="F87" i="6" s="1"/>
  <c r="G87" i="6" s="1"/>
  <c r="D83" i="6"/>
  <c r="F83" i="6" s="1"/>
  <c r="G83" i="6" s="1"/>
  <c r="D82" i="6"/>
  <c r="F82" i="6" s="1"/>
  <c r="G82" i="6" s="1"/>
  <c r="D81" i="6"/>
  <c r="F81" i="6" s="1"/>
  <c r="G81" i="6" s="1"/>
  <c r="D80" i="6"/>
  <c r="F80" i="6" s="1"/>
  <c r="G80" i="6" s="1"/>
  <c r="D79" i="6"/>
  <c r="F79" i="6" s="1"/>
  <c r="G79" i="6" s="1"/>
  <c r="D78" i="6"/>
  <c r="F78" i="6" s="1"/>
  <c r="G78" i="6" s="1"/>
  <c r="D77" i="6"/>
  <c r="F77" i="6" s="1"/>
  <c r="G77" i="6" s="1"/>
  <c r="D76" i="6"/>
  <c r="F76" i="6" s="1"/>
  <c r="G76" i="6" s="1"/>
  <c r="D75" i="6"/>
  <c r="F75" i="6" s="1"/>
  <c r="G75" i="6" s="1"/>
  <c r="D74" i="6"/>
  <c r="F74" i="6" s="1"/>
  <c r="G74" i="6" s="1"/>
  <c r="D73" i="6"/>
  <c r="F73" i="6" s="1"/>
  <c r="G73" i="6" s="1"/>
  <c r="D71" i="6"/>
  <c r="F71" i="6" s="1"/>
  <c r="G71" i="6" s="1"/>
  <c r="D70" i="6"/>
  <c r="F70" i="6" s="1"/>
  <c r="G70" i="6" s="1"/>
  <c r="D69" i="6"/>
  <c r="F69" i="6" s="1"/>
  <c r="G69" i="6" s="1"/>
  <c r="D68" i="6"/>
  <c r="F68" i="6" s="1"/>
  <c r="G68" i="6" s="1"/>
  <c r="D67" i="6"/>
  <c r="F67" i="6" s="1"/>
  <c r="G67" i="6" s="1"/>
  <c r="D66" i="6"/>
  <c r="F66" i="6" s="1"/>
  <c r="G66" i="6" s="1"/>
  <c r="D65" i="6"/>
  <c r="F65" i="6" s="1"/>
  <c r="G65" i="6" s="1"/>
  <c r="D64" i="6"/>
  <c r="F64" i="6" s="1"/>
  <c r="G64" i="6" s="1"/>
  <c r="D63" i="6"/>
  <c r="F63" i="6" s="1"/>
  <c r="G63" i="6" s="1"/>
  <c r="D57" i="6"/>
  <c r="F57" i="6" s="1"/>
  <c r="G57" i="6" s="1"/>
  <c r="D56" i="6"/>
  <c r="F56" i="6" s="1"/>
  <c r="G56" i="6" s="1"/>
  <c r="D55" i="6"/>
  <c r="F55" i="6" s="1"/>
  <c r="G55" i="6" s="1"/>
  <c r="D54" i="6"/>
  <c r="F54" i="6" s="1"/>
  <c r="G54" i="6" s="1"/>
  <c r="D53" i="6"/>
  <c r="F53" i="6" s="1"/>
  <c r="G53" i="6" s="1"/>
  <c r="D52" i="6"/>
  <c r="F52" i="6" s="1"/>
  <c r="G52" i="6" s="1"/>
  <c r="D49" i="6"/>
  <c r="F49" i="6" s="1"/>
  <c r="G49" i="6" s="1"/>
  <c r="D48" i="6"/>
  <c r="F48" i="6" s="1"/>
  <c r="G48" i="6" s="1"/>
  <c r="D47" i="6"/>
  <c r="F47" i="6" s="1"/>
  <c r="G47" i="6" s="1"/>
  <c r="D46" i="6"/>
  <c r="F46" i="6" s="1"/>
  <c r="G46" i="6" s="1"/>
  <c r="D45" i="6"/>
  <c r="F45" i="6" s="1"/>
  <c r="G45" i="6" s="1"/>
  <c r="D44" i="6"/>
  <c r="F44" i="6" s="1"/>
  <c r="G44" i="6" s="1"/>
  <c r="D43" i="6"/>
  <c r="F43" i="6" s="1"/>
  <c r="G43" i="6" s="1"/>
  <c r="D39" i="6"/>
  <c r="F39" i="6" s="1"/>
  <c r="G39" i="6" s="1"/>
  <c r="D38" i="6"/>
  <c r="F38" i="6" s="1"/>
  <c r="G38" i="6" s="1"/>
  <c r="D37" i="6"/>
  <c r="F37" i="6" s="1"/>
  <c r="G37" i="6" s="1"/>
  <c r="D36" i="6"/>
  <c r="F36" i="6" s="1"/>
  <c r="G36" i="6" s="1"/>
  <c r="D35" i="6"/>
  <c r="F35" i="6" s="1"/>
  <c r="G35" i="6" s="1"/>
  <c r="D31" i="6"/>
  <c r="F31" i="6" s="1"/>
  <c r="G31" i="6" s="1"/>
  <c r="D30" i="6"/>
  <c r="F30" i="6" s="1"/>
  <c r="G30" i="6" s="1"/>
  <c r="D29" i="6"/>
  <c r="F29" i="6" s="1"/>
  <c r="G29" i="6" s="1"/>
  <c r="D28" i="6"/>
  <c r="F28" i="6" s="1"/>
  <c r="G28" i="6" s="1"/>
  <c r="D27" i="6"/>
  <c r="F27" i="6" s="1"/>
  <c r="G27" i="6" s="1"/>
  <c r="D26" i="6"/>
  <c r="F26" i="6" s="1"/>
  <c r="G26" i="6" s="1"/>
  <c r="D25" i="6"/>
  <c r="F25" i="6" s="1"/>
  <c r="G25" i="6" s="1"/>
  <c r="D24" i="6"/>
  <c r="F24" i="6" s="1"/>
  <c r="A8" i="6"/>
  <c r="A9" i="6" s="1"/>
  <c r="A10" i="6" s="1"/>
  <c r="A11" i="6" s="1"/>
  <c r="A12" i="6" s="1"/>
  <c r="A13" i="6" s="1"/>
  <c r="A14" i="6" s="1"/>
  <c r="A16" i="6" s="1"/>
  <c r="A17" i="6" s="1"/>
  <c r="A18" i="6" s="1"/>
  <c r="A19" i="6" s="1"/>
  <c r="A20" i="6" s="1"/>
  <c r="A21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5" i="6" s="1"/>
  <c r="A36" i="6" s="1"/>
  <c r="A37" i="6" s="1"/>
  <c r="A38" i="6" s="1"/>
  <c r="A39" i="6" s="1"/>
  <c r="A40" i="6" s="1"/>
  <c r="A41" i="6" s="1"/>
  <c r="A42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3" i="6" s="1"/>
  <c r="A64" i="6" s="1"/>
  <c r="A65" i="6" s="1"/>
  <c r="A66" i="6" s="1"/>
  <c r="A67" i="6" s="1"/>
  <c r="A68" i="6" s="1"/>
  <c r="A69" i="6" s="1"/>
  <c r="A70" i="6" s="1"/>
  <c r="A71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7" i="6" s="1"/>
  <c r="A88" i="6" s="1"/>
  <c r="A89" i="6" s="1"/>
  <c r="A90" i="6" s="1"/>
  <c r="A91" i="6" s="1"/>
  <c r="A92" i="6" s="1"/>
  <c r="A93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6" i="6" s="1"/>
  <c r="A147" i="6" s="1"/>
  <c r="A148" i="6" s="1"/>
  <c r="A149" i="6" s="1"/>
  <c r="A150" i="6" s="1"/>
  <c r="F301" i="6" l="1"/>
  <c r="D14" i="13" s="1"/>
  <c r="A196" i="11"/>
  <c r="A197" i="11" s="1"/>
  <c r="A198" i="11" s="1"/>
  <c r="A199" i="11" s="1"/>
  <c r="A200" i="11" s="1"/>
  <c r="A201" i="11" s="1"/>
  <c r="A202" i="11" s="1"/>
  <c r="A203" i="11" s="1"/>
  <c r="A204" i="11" s="1"/>
  <c r="A205" i="11" s="1"/>
  <c r="A207" i="11" s="1"/>
  <c r="A208" i="11" s="1"/>
  <c r="A209" i="11" s="1"/>
  <c r="A210" i="11" s="1"/>
  <c r="A211" i="11" s="1"/>
  <c r="A212" i="11" s="1"/>
  <c r="A211" i="7"/>
  <c r="A212" i="7" s="1"/>
  <c r="A213" i="7" s="1"/>
  <c r="A214" i="7" s="1"/>
  <c r="A215" i="7" s="1"/>
  <c r="A218" i="7" s="1"/>
  <c r="A220" i="7" s="1"/>
  <c r="A229" i="12"/>
  <c r="A230" i="12" s="1"/>
  <c r="A231" i="12" s="1"/>
  <c r="A233" i="12" s="1"/>
  <c r="A235" i="12" s="1"/>
  <c r="A236" i="12" s="1"/>
  <c r="A238" i="12" s="1"/>
  <c r="A239" i="12" s="1"/>
  <c r="A240" i="12" s="1"/>
  <c r="A241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6" i="12" s="1"/>
  <c r="A258" i="12" s="1"/>
  <c r="A259" i="12" s="1"/>
  <c r="G24" i="6"/>
  <c r="A152" i="6"/>
  <c r="A153" i="6" s="1"/>
  <c r="A155" i="6" s="1"/>
  <c r="A156" i="6" s="1"/>
  <c r="A157" i="6" s="1"/>
  <c r="A158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5" i="6" s="1"/>
  <c r="A186" i="6" s="1"/>
  <c r="G301" i="6" l="1"/>
  <c r="G14" i="13" s="1"/>
  <c r="A221" i="7"/>
  <c r="A222" i="7" s="1"/>
  <c r="A224" i="7" s="1"/>
  <c r="A225" i="7" s="1"/>
  <c r="A226" i="7" s="1"/>
  <c r="A227" i="7" s="1"/>
  <c r="A228" i="7" s="1"/>
  <c r="A262" i="12"/>
  <c r="A263" i="12" s="1"/>
  <c r="A264" i="12" s="1"/>
  <c r="A265" i="12" s="1"/>
  <c r="A266" i="12" s="1"/>
  <c r="A267" i="12" s="1"/>
  <c r="A268" i="12" s="1"/>
  <c r="A269" i="12" s="1"/>
  <c r="A270" i="12" s="1"/>
  <c r="A271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187" i="6"/>
  <c r="A188" i="6" s="1"/>
  <c r="A189" i="6" s="1"/>
  <c r="A190" i="6" s="1"/>
  <c r="A191" i="6" s="1"/>
  <c r="A283" i="12" l="1"/>
  <c r="A284" i="12" s="1"/>
  <c r="A285" i="12" s="1"/>
  <c r="A287" i="12" s="1"/>
  <c r="A288" i="12" s="1"/>
  <c r="A289" i="12" s="1"/>
  <c r="A229" i="7"/>
  <c r="A231" i="7" s="1"/>
  <c r="A233" i="7" s="1"/>
  <c r="A234" i="7" s="1"/>
  <c r="A235" i="7" s="1"/>
  <c r="A236" i="7" s="1"/>
  <c r="A237" i="7" s="1"/>
  <c r="A239" i="7" s="1"/>
  <c r="A240" i="7" s="1"/>
  <c r="A241" i="7" s="1"/>
  <c r="A244" i="7" s="1"/>
  <c r="A245" i="7" s="1"/>
  <c r="A246" i="7" s="1"/>
  <c r="A209" i="6"/>
  <c r="A210" i="6" s="1"/>
  <c r="A211" i="6" s="1"/>
  <c r="A212" i="6" s="1"/>
  <c r="A213" i="6" s="1"/>
  <c r="A214" i="6" s="1"/>
  <c r="A216" i="6" s="1"/>
  <c r="A225" i="6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3" i="6" s="1"/>
  <c r="A244" i="6" s="1"/>
  <c r="A193" i="6"/>
  <c r="A194" i="6" s="1"/>
  <c r="A195" i="6" s="1"/>
  <c r="A196" i="6" s="1"/>
  <c r="A213" i="11"/>
  <c r="A214" i="11" s="1"/>
  <c r="A215" i="11" s="1"/>
  <c r="A216" i="11" s="1"/>
  <c r="A217" i="11" s="1"/>
  <c r="A218" i="11" s="1"/>
  <c r="G62" i="2"/>
  <c r="G61" i="2"/>
  <c r="D61" i="2"/>
  <c r="A292" i="12" l="1"/>
  <c r="A293" i="12" s="1"/>
  <c r="A294" i="12" s="1"/>
  <c r="A295" i="12" s="1"/>
  <c r="A296" i="12" s="1"/>
  <c r="A297" i="12" s="1"/>
  <c r="A298" i="12" s="1"/>
  <c r="A300" i="12" s="1"/>
  <c r="A301" i="12" s="1"/>
  <c r="A303" i="12" s="1"/>
  <c r="A304" i="12" s="1"/>
  <c r="A305" i="12" s="1"/>
  <c r="A306" i="12" s="1"/>
  <c r="A307" i="12" s="1"/>
  <c r="A308" i="12" s="1"/>
  <c r="A310" i="12" s="1"/>
  <c r="A311" i="12" s="1"/>
  <c r="A312" i="12" s="1"/>
  <c r="A313" i="12" s="1"/>
  <c r="A314" i="12" s="1"/>
  <c r="A316" i="12" s="1"/>
  <c r="A318" i="12" s="1"/>
  <c r="A319" i="12" s="1"/>
  <c r="A320" i="12" s="1"/>
  <c r="A321" i="12" s="1"/>
  <c r="A323" i="12" s="1"/>
  <c r="A326" i="12" s="1"/>
  <c r="A327" i="12" s="1"/>
  <c r="A328" i="12" s="1"/>
  <c r="A219" i="11"/>
  <c r="A220" i="11" s="1"/>
  <c r="A221" i="11" s="1"/>
  <c r="A222" i="11" s="1"/>
  <c r="A223" i="11" s="1"/>
  <c r="A224" i="11" s="1"/>
  <c r="A247" i="7"/>
  <c r="A250" i="7" s="1"/>
  <c r="A251" i="7" s="1"/>
  <c r="A246" i="6"/>
  <c r="A247" i="6" s="1"/>
  <c r="A248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17" i="6"/>
  <c r="G82" i="2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H33" i="1"/>
  <c r="G33" i="1" s="1"/>
  <c r="H17" i="1"/>
  <c r="G17" i="1" s="1"/>
  <c r="A225" i="11" l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52" i="7"/>
  <c r="A257" i="7" s="1"/>
  <c r="A258" i="7" s="1"/>
  <c r="A259" i="7" s="1"/>
  <c r="A253" i="7"/>
  <c r="A254" i="7" s="1"/>
  <c r="A255" i="7" s="1"/>
  <c r="A329" i="12"/>
  <c r="A268" i="6"/>
  <c r="A269" i="6" s="1"/>
  <c r="A270" i="6" s="1"/>
  <c r="A271" i="6" s="1"/>
  <c r="A272" i="6" s="1"/>
  <c r="A273" i="6" s="1"/>
  <c r="A274" i="6" s="1"/>
  <c r="A275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64" i="6"/>
  <c r="A265" i="6" s="1"/>
  <c r="A266" i="6" s="1"/>
  <c r="A219" i="6"/>
  <c r="A220" i="6" s="1"/>
  <c r="A221" i="6" s="1"/>
  <c r="A222" i="6" s="1"/>
  <c r="A223" i="6" s="1"/>
  <c r="A218" i="6"/>
  <c r="G86" i="2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A332" i="12" l="1"/>
  <c r="A333" i="12" s="1"/>
  <c r="A334" i="12" s="1"/>
  <c r="A335" i="12" s="1"/>
  <c r="H78" i="1"/>
  <c r="G78" i="1"/>
  <c r="H79" i="1" s="1"/>
  <c r="A264" i="7"/>
  <c r="A265" i="7" s="1"/>
  <c r="A267" i="7" s="1"/>
  <c r="A268" i="7" s="1"/>
  <c r="A272" i="7"/>
  <c r="A273" i="7" s="1"/>
  <c r="A260" i="7"/>
  <c r="A261" i="7" s="1"/>
  <c r="A262" i="7" s="1"/>
  <c r="A336" i="12"/>
  <c r="A337" i="12" s="1"/>
  <c r="A339" i="12" s="1"/>
  <c r="A340" i="12" s="1"/>
  <c r="A290" i="6"/>
  <c r="A291" i="6" s="1"/>
  <c r="A292" i="6" s="1"/>
  <c r="A293" i="6" s="1"/>
  <c r="A294" i="6" s="1"/>
  <c r="A295" i="6" s="1"/>
  <c r="H87" i="2"/>
  <c r="A266" i="7" l="1"/>
  <c r="A271" i="7"/>
  <c r="A269" i="7"/>
  <c r="A274" i="7"/>
  <c r="A275" i="7" s="1"/>
  <c r="A276" i="7" s="1"/>
  <c r="A277" i="7" s="1"/>
  <c r="A278" i="7" s="1"/>
  <c r="A279" i="7" s="1"/>
  <c r="A341" i="12"/>
  <c r="A342" i="12" s="1"/>
  <c r="A343" i="12" s="1"/>
  <c r="A345" i="12"/>
  <c r="A346" i="12" s="1"/>
  <c r="A347" i="12" s="1"/>
  <c r="A348" i="12" s="1"/>
  <c r="A352" i="12" s="1"/>
  <c r="A353" i="12" s="1"/>
  <c r="A296" i="6"/>
  <c r="A297" i="6" s="1"/>
  <c r="A298" i="6" s="1"/>
  <c r="A299" i="6" s="1"/>
  <c r="A300" i="6" s="1"/>
  <c r="A349" i="12" l="1"/>
  <c r="A350" i="12" s="1"/>
  <c r="A354" i="12"/>
  <c r="A355" i="12"/>
  <c r="A356" i="12" s="1"/>
  <c r="A358" i="12" s="1"/>
  <c r="A359" i="12" s="1"/>
  <c r="A360" i="12" s="1"/>
  <c r="A370" i="12"/>
  <c r="A371" i="12" l="1"/>
  <c r="A372" i="12" s="1"/>
  <c r="A373" i="12" s="1"/>
  <c r="A374" i="12" s="1"/>
  <c r="A375" i="12" s="1"/>
  <c r="A376" i="12" s="1"/>
  <c r="A377" i="12" s="1"/>
  <c r="A378" i="12" s="1"/>
  <c r="A379" i="12" s="1"/>
  <c r="A381" i="12" s="1"/>
  <c r="A364" i="12"/>
  <c r="A365" i="12" s="1"/>
  <c r="A366" i="12" s="1"/>
  <c r="A361" i="12"/>
  <c r="A362" i="12" s="1"/>
  <c r="A367" i="12" l="1"/>
  <c r="A368" i="12" s="1"/>
  <c r="A382" i="12"/>
  <c r="A384" i="12" l="1"/>
  <c r="A385" i="12" s="1"/>
  <c r="A383" i="12"/>
  <c r="F236" i="11" l="1"/>
  <c r="F237" i="11" s="1"/>
  <c r="G185" i="11"/>
  <c r="G236" i="11" s="1"/>
  <c r="G237" i="11" l="1"/>
  <c r="G238" i="11" s="1"/>
  <c r="F14" i="13" s="1"/>
  <c r="F238" i="11"/>
  <c r="C14" i="13" s="1"/>
  <c r="H14" i="13" l="1"/>
  <c r="E14" i="13"/>
</calcChain>
</file>

<file path=xl/sharedStrings.xml><?xml version="1.0" encoding="utf-8"?>
<sst xmlns="http://schemas.openxmlformats.org/spreadsheetml/2006/main" count="6204" uniqueCount="1677">
  <si>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</si>
  <si>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</si>
  <si>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</si>
  <si>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</si>
  <si>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</si>
  <si>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</si>
  <si>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</si>
  <si>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</si>
  <si>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</si>
  <si>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</si>
  <si>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</si>
  <si>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</si>
  <si>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</si>
  <si>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</si>
  <si>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</si>
  <si>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</si>
  <si>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</si>
  <si>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</si>
  <si>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</si>
  <si>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</si>
  <si>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</si>
  <si>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</si>
  <si>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</si>
  <si>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</si>
  <si>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</si>
  <si>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</si>
  <si>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</si>
  <si>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</si>
  <si>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</si>
  <si>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</si>
  <si>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</si>
  <si>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</si>
  <si>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</si>
  <si>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</si>
  <si>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</si>
  <si>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</si>
  <si>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</si>
  <si>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</si>
  <si>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</si>
  <si>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</si>
  <si>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</si>
  <si>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</si>
  <si>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</si>
  <si>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</si>
  <si>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</si>
  <si>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</si>
  <si>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</si>
  <si>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</si>
  <si>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</si>
  <si>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</si>
  <si>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</si>
  <si>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</si>
  <si>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</si>
  <si>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</si>
  <si>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</si>
  <si>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</si>
  <si>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</si>
  <si>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</si>
  <si>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</si>
  <si>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</si>
  <si>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</si>
  <si>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</si>
  <si>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</si>
  <si>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</si>
  <si>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</si>
  <si>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</si>
  <si>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</si>
  <si>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</si>
  <si>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</si>
  <si>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</si>
  <si>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</si>
  <si>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</si>
  <si>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</si>
  <si>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</si>
  <si>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</si>
  <si>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</si>
  <si>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</si>
  <si>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</si>
  <si>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</si>
  <si>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</si>
  <si>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</si>
  <si>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</si>
  <si>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</si>
  <si>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</si>
  <si>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</si>
  <si>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</si>
  <si>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</si>
  <si>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</si>
  <si>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</si>
  <si>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</si>
  <si>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</si>
  <si>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</si>
  <si>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</si>
  <si>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</si>
  <si>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</si>
  <si>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</si>
  <si>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</si>
  <si>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</si>
  <si>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</si>
  <si>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</si>
  <si>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</si>
  <si>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</si>
  <si>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</si>
  <si>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</si>
  <si>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</si>
  <si>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</si>
  <si>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</si>
  <si>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</si>
  <si>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</si>
  <si>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</si>
  <si>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</si>
  <si>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</si>
  <si>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</si>
  <si>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</si>
  <si>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</si>
  <si>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</si>
  <si>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</si>
  <si>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</si>
  <si>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</si>
  <si>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</si>
  <si>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</si>
  <si>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</si>
  <si>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</si>
  <si>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</si>
  <si>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</si>
  <si>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</si>
  <si>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</si>
  <si>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</si>
  <si>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</si>
  <si>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</si>
  <si>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</si>
  <si>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</si>
  <si>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</si>
  <si>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</si>
  <si>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</si>
  <si>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</si>
  <si>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</si>
  <si>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</si>
  <si>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</si>
  <si>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</si>
  <si>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</si>
  <si>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</si>
  <si>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</si>
  <si>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</si>
  <si>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</si>
  <si>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</si>
  <si>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</si>
  <si>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</si>
  <si>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</si>
  <si>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</si>
  <si>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</si>
  <si>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</si>
  <si>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</si>
  <si>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</si>
  <si>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</si>
  <si>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</si>
  <si>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</si>
  <si>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</si>
  <si>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</si>
  <si>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</si>
  <si>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</si>
  <si>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</si>
  <si>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</si>
  <si>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</si>
  <si>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</si>
  <si>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</si>
  <si>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</si>
  <si>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</si>
  <si>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</si>
  <si>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</si>
  <si>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</si>
  <si>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</si>
  <si>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</si>
  <si>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</si>
  <si>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</si>
  <si>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</si>
  <si>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</si>
  <si>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</si>
  <si>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</si>
  <si>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</si>
  <si>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</si>
  <si>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</si>
  <si>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</si>
  <si>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</si>
  <si>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Рельсо шпальная решетка Р-50 на деревянной шпале, тип крепления КД-50 в сборе</t>
  </si>
  <si>
    <t>Глухое пересечение угол 45гр типа Р-65 проект 534.06-2007.00.000-01 с комплектом деревянных брусьев и креплений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</si>
  <si>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</si>
  <si>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</si>
  <si>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</si>
  <si>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</si>
  <si>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</si>
  <si>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Тупиковые упоры новые </t>
  </si>
  <si>
    <t>Тупиковые упоры старогодние</t>
  </si>
  <si>
    <t>м3</t>
  </si>
  <si>
    <t>м</t>
  </si>
  <si>
    <t>комплект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</si>
  <si>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</si>
  <si>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</si>
  <si>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</si>
  <si>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</si>
  <si>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</si>
  <si>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</si>
  <si>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</si>
  <si>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</si>
  <si>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</si>
  <si>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</si>
  <si>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</si>
  <si>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</si>
  <si>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</si>
  <si>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</si>
  <si>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</si>
  <si>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</si>
  <si>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</si>
  <si>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</si>
  <si>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</si>
  <si>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</si>
  <si>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</si>
  <si>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</si>
  <si>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</si>
  <si>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</si>
  <si>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</si>
  <si>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</si>
  <si>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</si>
  <si>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</si>
  <si>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</si>
  <si>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</si>
  <si>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</si>
  <si>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</si>
  <si>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</si>
  <si>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</si>
  <si>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</si>
  <si>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Цена за единицу</t>
  </si>
  <si>
    <t>131-23-АС1 (02-01-01) Архитектурно-строительные решения</t>
  </si>
  <si>
    <t>Устройство основания строения пути</t>
  </si>
  <si>
    <t>Песок природный  средний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</si>
  <si>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</si>
  <si>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</si>
  <si>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</si>
  <si>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</si>
  <si>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т</t>
  </si>
  <si>
    <t>Камни бортовые БР 100.30.15</t>
  </si>
  <si>
    <t>Смеси бетонные  В15 (М200)</t>
  </si>
  <si>
    <t>Вспомогательные и расходные материлы (вода, болты, диски алмазные и пр.)</t>
  </si>
  <si>
    <t>к-т</t>
  </si>
  <si>
    <t>Устройство верхнего строения пути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</si>
  <si>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</si>
  <si>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</si>
  <si>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</si>
  <si>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</si>
  <si>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</si>
  <si>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Вспомогательные и расходные материлы (шайбы, болты, накладки и пр.)</t>
  </si>
  <si>
    <t>Устройство фундаментов</t>
  </si>
  <si>
    <t>ФМ1 Фундамент под опору троллей - 4 шт.</t>
  </si>
  <si>
    <t>Арматура d12 А500С ГОСТ 34028-2016 L=1950 (80 шт.)</t>
  </si>
  <si>
    <t>кг</t>
  </si>
  <si>
    <t>Арматура d16 А500С ГОСТ 34028-2016 L=1600 (32 шт.)</t>
  </si>
  <si>
    <t>Арматура d8 А500С ГОСТ 34028-2016 L=3020 (16 шт.)</t>
  </si>
  <si>
    <t>Болт 1.1 М30х1000 ВстЗпс2 (16 шт.)</t>
  </si>
  <si>
    <t>Уголок L50х5 ГОСТ 8509-93 L=400 (16 шт.)</t>
  </si>
  <si>
    <t>Бетон B25, W8, F100</t>
  </si>
  <si>
    <t>Бетон B7,5</t>
  </si>
  <si>
    <t>Праймер битумный производства «Техно-Николь» (20л=16кг)</t>
  </si>
  <si>
    <t>Вспомогательные и расходные материлы (щиты из досок, проволока, пленка и пр.)</t>
  </si>
  <si>
    <t>ФМ2  Фундамент аппарели - 4шт</t>
  </si>
  <si>
    <t>Арматура d12 А500С ГОСТ 34028-2016 L=2950 (48 шт.)</t>
  </si>
  <si>
    <t>Арматура d12 А500С ГОСТ 34028-2016 L=1150 (120 шт.)</t>
  </si>
  <si>
    <t>Арматура d8 А500С ГОСТ 34028-2016 L=940 (184 шт.)</t>
  </si>
  <si>
    <t>Вспомогательные и расходные материлы  (щиты из досок, проволока, пленка и пр.)</t>
  </si>
  <si>
    <t>Опора М1 (8 шт.):</t>
  </si>
  <si>
    <t>32.1</t>
  </si>
  <si>
    <t>Труба электросварная d159х10 ГОСТ 10704-91 L=292 (8 шт.)</t>
  </si>
  <si>
    <t>32.2</t>
  </si>
  <si>
    <t>Лист стальной 300х16 ГОСТ 19903-15 L=300 (8 шт.)</t>
  </si>
  <si>
    <t>32.3</t>
  </si>
  <si>
    <t>Лист стальной 210х16 ГОСТ 19903-15 L=210 (16 шт.)</t>
  </si>
  <si>
    <t>32.4</t>
  </si>
  <si>
    <t>Лист стальной 210х10 ГОСТ 19903-15 L=210 (8 шт.)</t>
  </si>
  <si>
    <t>32.5</t>
  </si>
  <si>
    <t>Лист стальной 50х16 ГОСТ 19903-15 L=50 (72 шт.)</t>
  </si>
  <si>
    <t>32.6</t>
  </si>
  <si>
    <t>Арматура d12 А500С ГОСТ 34028-2016 L=210 (72 шт.)</t>
  </si>
  <si>
    <t>32.7</t>
  </si>
  <si>
    <t>Болт М20х100-8.8 с гайкой и шайбами  16шт.*0,3кг</t>
  </si>
  <si>
    <t>Опоры троллей (ОП1 - 4 шт.)</t>
  </si>
  <si>
    <t>М/конструкции опор</t>
  </si>
  <si>
    <t>Уг. 75х5 (3,6м)</t>
  </si>
  <si>
    <t>Тр. пр. 250х8</t>
  </si>
  <si>
    <t>Лист стальной t=30 мм (1,08м2)</t>
  </si>
  <si>
    <t>Лист стальной t=12 мм (2,12м2)</t>
  </si>
  <si>
    <t>Лист стальной t=4 мм (0,28м2)</t>
  </si>
  <si>
    <t>Бетон B15, W6, F100</t>
  </si>
  <si>
    <t>Подливочный раствор на цементной основе</t>
  </si>
  <si>
    <t>Грунтовка ГФ-021</t>
  </si>
  <si>
    <t>Эмаль ПФ-115, серая</t>
  </si>
  <si>
    <t>Фермы Ф1 -2 шт.</t>
  </si>
  <si>
    <t>Уг. 75х5 (151,2м)</t>
  </si>
  <si>
    <t>Уг. 50х4 (242,4м)</t>
  </si>
  <si>
    <t>Лист стальной t=16 мм (0,3м2)</t>
  </si>
  <si>
    <t>Лист стальной t=10 мм (0,48м2)</t>
  </si>
  <si>
    <t>Лист стальной t=5 мм (3,24м2)</t>
  </si>
  <si>
    <t>Болт М16х65 (16 шт.*0,137кг)</t>
  </si>
  <si>
    <t>Гайка М16 (16шт. * 0,032кг)</t>
  </si>
  <si>
    <t>Шайба М16 (16шт. * 0,013кг)</t>
  </si>
  <si>
    <t>Пружинная шайба М16  (16шт. * 0,006кг)</t>
  </si>
  <si>
    <t>Фермы Ф2 -1 шт.</t>
  </si>
  <si>
    <t>Уг. 75х5 (56,4м)</t>
  </si>
  <si>
    <t>Уг. 50х4 (107,7м)</t>
  </si>
  <si>
    <t>Лист стальной t=16 мм (0,15м2)</t>
  </si>
  <si>
    <t>Лист стальной t=10 мм (0,24м2)</t>
  </si>
  <si>
    <t>Лист стальной t=5 мм (1,26м2)</t>
  </si>
  <si>
    <t>Болт М16х65 (8 шт.*0,137кг)</t>
  </si>
  <si>
    <t>Гайка М16 (8шт. * 0,032кг)</t>
  </si>
  <si>
    <t>Шайба М16 (8шт. * 0,013кг)</t>
  </si>
  <si>
    <t>Пружинная шайба М16  (8шт. * 0,006кг)</t>
  </si>
  <si>
    <t>Устройство водостока</t>
  </si>
  <si>
    <t>Песколовка ПЛ1</t>
  </si>
  <si>
    <t>Арматура d8 А500С ГОСТ 34028-2016 L=150 (10 шт.)</t>
  </si>
  <si>
    <t>Уголок L30х3 ГОСТ 8509-93 L=1000 (2 шт.)</t>
  </si>
  <si>
    <t>Сетка 5Вр500-100х100-3000х2000 (1 шт.)</t>
  </si>
  <si>
    <t>Сальник набивной Ду250 L=150 (1 шт.)</t>
  </si>
  <si>
    <t>Водоотводной лоток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</si>
  <si>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</si>
  <si>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</si>
  <si>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</si>
  <si>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</si>
  <si>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</si>
  <si>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</si>
  <si>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</si>
  <si>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</si>
  <si>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</si>
  <si>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</si>
  <si>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</si>
  <si>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</si>
  <si>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</si>
  <si>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</si>
  <si>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</si>
  <si>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</si>
  <si>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</si>
  <si>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>Уайт-спирит (1л=0,8кг)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</si>
  <si>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</si>
  <si>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</si>
  <si>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131-23-АС2 (02-01-02) Архитектурно-строительные решения</t>
  </si>
  <si>
    <t>Устройство ограждения ОГ-1</t>
  </si>
  <si>
    <t>Щебень М 600</t>
  </si>
  <si>
    <t>Панель ограждения ПО-2</t>
  </si>
  <si>
    <t>Фундамент ограждения ФО-2</t>
  </si>
  <si>
    <t>Бетон B20, W6, F75</t>
  </si>
  <si>
    <t>Кирпич КР-р-по 250×120×88/1,4НФ/150/2,0/50</t>
  </si>
  <si>
    <t>Раствор кладочный, цементно-известковый, М100</t>
  </si>
  <si>
    <t>Праймер битумно-полимерный (1л=0,83кг)</t>
  </si>
  <si>
    <t>Мастика битумная (1л=1,35кг)</t>
  </si>
  <si>
    <t>Стяжка цементная</t>
  </si>
  <si>
    <t>Подпорная стенка ПС-1</t>
  </si>
  <si>
    <t>Арматура d10 А500С ГОСТ 34028-2016 L=2130 (255 шт.)</t>
  </si>
  <si>
    <t>Арматура d10 А500С ГОСТ 34028-2016 L=1730 (255 шт.)</t>
  </si>
  <si>
    <t>Арматура d10 А500С ГОСТ 34028-2016 L=1160 (512 шт.)</t>
  </si>
  <si>
    <t>Арматура d10 А500С ГОСТ 34028-2016 L=7960 (12 шт.)</t>
  </si>
  <si>
    <t>Арматура d10 А500С ГОСТ 34028-2016 L=6960 (14 шт.)</t>
  </si>
  <si>
    <t>Арматура d10 А500С ГОСТ 34028-2016 L=1000 (1200 шт.)</t>
  </si>
  <si>
    <t>Арматура d10 А240 ГОСТ 34028-2016 L=905 (134 шт.)</t>
  </si>
  <si>
    <t>Арматура d10 А240 ГОСТ 34028-2016 L=885 (256 шт.)</t>
  </si>
  <si>
    <t>Арматура d10 А240 ГОСТ 34028-2016 L=895 (510 шт.)</t>
  </si>
  <si>
    <t>Арматура d10 А240 ГОСТ 34028-2016 L=840 (265 шт.)</t>
  </si>
  <si>
    <t>Арматура d8 А240 ГОСТ 34028-2016 L=250 (177 шт.)</t>
  </si>
  <si>
    <t>131-23-ГП1 (02-07-01) Генеральный план</t>
  </si>
  <si>
    <t>Устройство асфальт бетонного покрытия 851,0 м2</t>
  </si>
  <si>
    <t>Песок строительный крупнозернистый для автодорог</t>
  </si>
  <si>
    <t>Щебень гранитный для автодорог 25-70 мм. . 10-20мм</t>
  </si>
  <si>
    <t>Щебень гранитный для автодорог 5-20мм</t>
  </si>
  <si>
    <t>Асфальтобетон дорожный среднезернистый Тип В Марка III</t>
  </si>
  <si>
    <t>Битумы нефтяные</t>
  </si>
  <si>
    <t>Посев многолетних трав</t>
  </si>
  <si>
    <t>Кострец безостный</t>
  </si>
  <si>
    <t>Овсянка луговая</t>
  </si>
  <si>
    <t>Ежа сборная</t>
  </si>
  <si>
    <t>131-23-НВК1 (06-01-01) Наружные сети водопровода и канализации</t>
  </si>
  <si>
    <t>Труба полипропиленовая гофрированная двухслойная DN 280 мм SN16</t>
  </si>
  <si>
    <t>Труба стальная электросварная прямошовная, группы В по ГОСТ 10705-80* сталь 20 ø426х7,0 мм (футляр)</t>
  </si>
  <si>
    <t>Плита днища ПН20</t>
  </si>
  <si>
    <t>Плита перекрытия 2ПП20-2</t>
  </si>
  <si>
    <t>Кольцо стеновое КС20.6</t>
  </si>
  <si>
    <t>Кольцо стеновое КС20.9</t>
  </si>
  <si>
    <t>Кольцо опорное КО.6</t>
  </si>
  <si>
    <t>Люк чугунный тяжёлый Т(С250)-60</t>
  </si>
  <si>
    <t>Муфта защитная полиэтиленовая D=330 мм L=150,0 мм для прохода труб сквозь бетонную стенку колодца (для труб ø280 мм)</t>
  </si>
  <si>
    <t>Лестница-стремянка из угловой оцинкованной стали 50×5 мм (1 шт.)</t>
  </si>
  <si>
    <t>Праймер Технониколь №1  (20л=16кг)</t>
  </si>
  <si>
    <t>л</t>
  </si>
  <si>
    <t>Битумная мастика Технониколь №24</t>
  </si>
  <si>
    <t>Бетон кл. В25, F150, W8</t>
  </si>
  <si>
    <t>Песок строительный</t>
  </si>
  <si>
    <t>Щебень М600 фракции 20-40 мм</t>
  </si>
  <si>
    <t>Сталь арматурная A-III ø10 (28м)</t>
  </si>
  <si>
    <t>Сталь арматурная A-I ø6 (16м)</t>
  </si>
  <si>
    <t>Двутавр 12 L=200 мм (2 шт.)</t>
  </si>
  <si>
    <t>Полоса стальная 5х80 L=300 мм (3 шт.)</t>
  </si>
  <si>
    <t>Смеси бетонные В3,5 (М50)</t>
  </si>
  <si>
    <t>Раствор готовый кладочный, цементный, М50</t>
  </si>
  <si>
    <t>Вспомогательные и расходные материлы (каболка, смеси, опалубка, доски, бруски и пр.)</t>
  </si>
  <si>
    <t>131-23-ТС1 (06-01-02) Теплоснабжение. Переустройство трубопровода</t>
  </si>
  <si>
    <t>Лоток Л11-15/2 (198т, 7,92м3)</t>
  </si>
  <si>
    <t>Опорная подушка ОП-5</t>
  </si>
  <si>
    <t>Грунтовка цинконаполненная</t>
  </si>
  <si>
    <t>Грунт-краска «алпол»</t>
  </si>
  <si>
    <t>Прокладка трубопроводов</t>
  </si>
  <si>
    <t>Гайка М16 (16 шт.)</t>
  </si>
  <si>
    <t>Прокладка из паронита А-150-10 для фланца 150 мм, 1,0 МПа, исп. А</t>
  </si>
  <si>
    <t>Вспомогательные и расходные материлы (доски, бруски, пленка и пр.)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</si>
  <si>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</si>
  <si>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</si>
  <si>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</si>
  <si>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</si>
  <si>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</si>
  <si>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</si>
  <si>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</si>
  <si>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</si>
  <si>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</si>
  <si>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Укладка контррельсовый уголка в комплекте с башмаками и кремплением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</si>
  <si>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</si>
  <si>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</si>
  <si>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</si>
  <si>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</si>
  <si>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</si>
  <si>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</si>
  <si>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</si>
  <si>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</si>
  <si>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</si>
  <si>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</si>
  <si>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</si>
  <si>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</si>
  <si>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</si>
  <si>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</si>
  <si>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</si>
  <si>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</si>
  <si>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</si>
  <si>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</si>
  <si>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</si>
  <si>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</si>
  <si>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</si>
  <si>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</si>
  <si>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</si>
  <si>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</si>
  <si>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Земляное полотно железнодорожного пути</t>
  </si>
  <si>
    <t>Разработка сухого грунта механизированным способом с погрузкой</t>
  </si>
  <si>
    <t>Доработка грунта вручную</t>
  </si>
  <si>
    <t>Перевозка на расстояние до 30 км с утилизацией</t>
  </si>
  <si>
    <t>Работа на отвале</t>
  </si>
  <si>
    <t>Планировка площадей механизированным способом</t>
  </si>
  <si>
    <t>Планировка площадей ручным способом</t>
  </si>
  <si>
    <t>Обратная засыпка местным грунтом механизированным способом</t>
  </si>
  <si>
    <t>Засыпка вручную</t>
  </si>
  <si>
    <t>Уплотнение грунта пневматическими трамбовками</t>
  </si>
  <si>
    <t>Устройство оснований  из песка</t>
  </si>
  <si>
    <t>Устройство подушки из песчано-гравийной смеси (толщина слоя 200мм)</t>
  </si>
  <si>
    <t>Устройство подушки из щебня  (Толщина слоя 200-290мм)</t>
  </si>
  <si>
    <t>Устройство балластной подушки из гранитного щебня</t>
  </si>
  <si>
    <t>Устройство асфальтобетонного покрытия асфальтоукладчиками (Толщина слоя 5см)</t>
  </si>
  <si>
    <t>Устройство асфальтобетонного покрытия вручную</t>
  </si>
  <si>
    <t>Установка бортовых камней</t>
  </si>
  <si>
    <t>Укладка пути отдельными элементами на железобетонных шпалах тип рельсов: Р50</t>
  </si>
  <si>
    <t>Фундамент под опору троллей ФМ1 (4 шт.)</t>
  </si>
  <si>
    <t>Устройство бетонной подготовки</t>
  </si>
  <si>
    <t>Устройство железобетонных фундаментов</t>
  </si>
  <si>
    <t>Установка анкерной группы</t>
  </si>
  <si>
    <t xml:space="preserve">Гидроизоляция  обмазочная битумная в 2 слоя </t>
  </si>
  <si>
    <t>Установка закладных деталей</t>
  </si>
  <si>
    <t>Монтаж опорных стоек (8 шт.)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</si>
  <si>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</si>
  <si>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</si>
  <si>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</si>
  <si>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</si>
  <si>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Устройство поясов в опалубке</t>
  </si>
  <si>
    <t>Фермы Ф1 - 2 шт., Ф2 - 1шт.</t>
  </si>
  <si>
    <t>Монтаж  ферм (3 шт.)</t>
  </si>
  <si>
    <t>Устройство песколовки</t>
  </si>
  <si>
    <t>Установка сальника набивного Ду250 L=150 (1 шт.)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</si>
  <si>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</si>
  <si>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</si>
  <si>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</si>
  <si>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</si>
  <si>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</si>
  <si>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</si>
  <si>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</si>
  <si>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</si>
  <si>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</si>
  <si>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</si>
  <si>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Кирпичный участок</t>
  </si>
  <si>
    <t>Разработка грунта вручную</t>
  </si>
  <si>
    <t>Засыпка грунтом вручную</t>
  </si>
  <si>
    <t>Устройство бетонных фундаментов</t>
  </si>
  <si>
    <t>Кладка стен кирпичных</t>
  </si>
  <si>
    <t>Устройство стяжек цементных</t>
  </si>
  <si>
    <t>Разработка грунта механизированным способом</t>
  </si>
  <si>
    <t>Погрузка и перевозка вытесненного грунта до 30 км с утилизацией</t>
  </si>
  <si>
    <t>Устройство подпорных стен железобетонных</t>
  </si>
  <si>
    <t>Вертикальная планировка</t>
  </si>
  <si>
    <t>Срезка грунта бульдозером</t>
  </si>
  <si>
    <t>Перемещение грунта в отвал бульдозером на расстояние до 50 м</t>
  </si>
  <si>
    <t xml:space="preserve">Погрузка лишнего грунта из отвала в автосамосвалы </t>
  </si>
  <si>
    <t>Транспортировка лишнего грунта на расстояние до 30 км с утилизацией</t>
  </si>
  <si>
    <t>Планировка территории бульдозером</t>
  </si>
  <si>
    <t xml:space="preserve">Устройство дорожного корыта под подъездную дорогу </t>
  </si>
  <si>
    <t>Погрузка лишнего грунта в автосамосвалы экскаватором</t>
  </si>
  <si>
    <t>Отвозка лишнего грунта  на расстояние до 30 км с утилизацией</t>
  </si>
  <si>
    <t>Устройство песчаного основания h=0.30 см</t>
  </si>
  <si>
    <t>Устройство щебеночного основания h=0.15</t>
  </si>
  <si>
    <t>Устройство щебеночного основания из щебня 5-20 мм по способу облегченной пропитки h=0.08</t>
  </si>
  <si>
    <t>Розлив вяжущих материалов</t>
  </si>
  <si>
    <t>Укладка среднезернистого асфальтобетона h=0.05</t>
  </si>
  <si>
    <t>Планировка участка: механизированным способом</t>
  </si>
  <si>
    <t>Подготовка почвы для устройства газона без внесения земли вручную</t>
  </si>
  <si>
    <t>Посев газонов  вручную</t>
  </si>
  <si>
    <t>Трубопровод ливневых сточных вод от трансбордера (К2)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</si>
  <si>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</si>
  <si>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</si>
  <si>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</si>
  <si>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</si>
  <si>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</si>
  <si>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</si>
  <si>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основания</t>
  </si>
  <si>
    <t>Устройство щебеночного основания под колодец h=0,1 м вручную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</si>
  <si>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</si>
  <si>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</si>
  <si>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</si>
  <si>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Прокладка труб полипропиленовых гофрированных двухслойных DN280 мм SN16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</si>
  <si>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</si>
  <si>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</si>
  <si>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лотка, водобойной стенки</t>
  </si>
  <si>
    <t>Установка стальных конструкций, остающихся в теле бетона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</si>
  <si>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</si>
  <si>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</si>
  <si>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</si>
  <si>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</si>
  <si>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Демонтаж монолитного ж/б фундамента</t>
  </si>
  <si>
    <t>Демонтаж металлоконструкций фермы</t>
  </si>
  <si>
    <t>Демонтаж металлической опоры</t>
  </si>
  <si>
    <t>Отвозка</t>
  </si>
  <si>
    <t>Обратная засыпка грунта механизированным способом</t>
  </si>
  <si>
    <t xml:space="preserve">Обратная засыпка грунта вручную </t>
  </si>
  <si>
    <t>Привозка для обратной засыпки</t>
  </si>
  <si>
    <t>Обратная засыпка грунта механизированным способом (95%)</t>
  </si>
  <si>
    <t xml:space="preserve">Отвозка лишнего грунта на расстояние до 1 км </t>
  </si>
  <si>
    <t>Устройство сборных железобетонных лотков Л11-15/2 из бетона кл. В35, W4, F200, массой 1,8 т на цементном растворе М100 (7,92 м3)</t>
  </si>
  <si>
    <t>Устройство сборных железобетонных плит П12-15д из бетона кл. В25, W6, F150, массой 0,44 т на цементном растворе М100 (8,28м3)</t>
  </si>
  <si>
    <t>Устройство сборных железобетонных опорных подушек ОП5 кл. В15, W4, F200, массой 0,13 (0,7м3)
т</t>
  </si>
  <si>
    <t>Устройство заделки отверстий из монолитного бетона В25 W4 F200 отверстия</t>
  </si>
  <si>
    <t>Устройство щебеночной подготовки из щебня М600 фракции 20-40 мм толщ. 100 мм</t>
  </si>
  <si>
    <t>Огрунтовка металлических поверхностей за два раза грунтовкой цинконаполненной</t>
  </si>
  <si>
    <t>Окраска мк покрытием из 2 слоев «алпол»</t>
  </si>
  <si>
    <t>Устройство бетонной отмостки из бетона В10 вокруг горловин тепловых камер</t>
  </si>
  <si>
    <t>131-23-НВК2. Переустройство хозпитьевого водопровода (В1) к цеху 121/18</t>
  </si>
  <si>
    <t>Труба полиэтиленовая напорная ПЭ100  SDR17  ø110х6,6 «питьевая»</t>
  </si>
  <si>
    <t>Труба стальная электросварная прямошовных ø108х4,0  с весьма усиленной г/изол</t>
  </si>
  <si>
    <t>Труба стальная электросварная прямошовная ø325х7,0  (футляр)</t>
  </si>
  <si>
    <t>Задвижка чугунная с обрезиненным клином невыдвижным шпинделем фланцевой МЗВ-100 (DN100) 30ч39р Московский завод «Водоприбор»</t>
  </si>
  <si>
    <t xml:space="preserve">Крестовина чугунная фланцевая КФ 150х100 </t>
  </si>
  <si>
    <t>Фланцы стальные плоские приварные Д=100 мм</t>
  </si>
  <si>
    <t>Фланец свободный металлический Dу 100 мм (для труб ø100 мм)</t>
  </si>
  <si>
    <t>Втулка под фланец d=100 мм SDR 17</t>
  </si>
  <si>
    <t>Болт М16х65 (32 шт.)</t>
  </si>
  <si>
    <t>Болт М20х70 (16 шт.)</t>
  </si>
  <si>
    <t>Гайка М16 (32 шт.)</t>
  </si>
  <si>
    <t>Гайка М20 (16 шт.)</t>
  </si>
  <si>
    <t>Шайба М16 (64 шт.)</t>
  </si>
  <si>
    <t>Шайба М20 (32 шт.)</t>
  </si>
  <si>
    <t>Прокладка из паронита А-100-10 для фланца 100 мм, 1,0 МПа, исп. А</t>
  </si>
  <si>
    <t xml:space="preserve">Прокладка из паронита А-150-10 для фланца 150 мм, 1,0 МПа, исп. А  </t>
  </si>
  <si>
    <t>Муфта защитная полиэтиленовоя L=150,0 мм D=140 мм для прохода труб сквозь бетонную стену колодца (для труб D=110 мм)</t>
  </si>
  <si>
    <t>Отвод стального приварного 90°</t>
  </si>
  <si>
    <t>Неразъемное соединение полиэтилен-сталь НСПС 110/108 мм</t>
  </si>
  <si>
    <t>Сальник набивной Ду100 мм L=500 мм   серия 5.900-2    ТМ 91-02</t>
  </si>
  <si>
    <t>Бетон кл. В20, W6</t>
  </si>
  <si>
    <t>Труба полиэтиленовая напорная ПЭ100  SDR17  ø160х9,5 «питьевая»</t>
  </si>
  <si>
    <t>Труба стальная электросварная  прямошовная ø377х7,0  (футляр)</t>
  </si>
  <si>
    <t>Фланец свободный металлический  Dу 150 мм (для труб ø160 мм)</t>
  </si>
  <si>
    <t>Втулка ПЭ100 SDR 17 под фланец d=160 мм PN10 кгс/см² (для труб ø160 мм)</t>
  </si>
  <si>
    <t>Муфта защитная полиэтиленовая L=150,0 мм D=140 мм  (для труб D=160 мм</t>
  </si>
  <si>
    <t>Болт М16х65 (16 шт.)</t>
  </si>
  <si>
    <t>Шайба М16 (32 шт.)</t>
  </si>
  <si>
    <t>Муфта защитная полиэтиленовоя L=150,0 мм D=140 мм  (для труб D=110 мм)</t>
  </si>
  <si>
    <t>131-23-НВК5 Ливневая канализация</t>
  </si>
  <si>
    <t>Труба стальная электросварная 1420х18мм  (футляр)</t>
  </si>
  <si>
    <t xml:space="preserve">Труба КОРСИС PRO DN/OD 1200 /1000 P SN 16 </t>
  </si>
  <si>
    <t xml:space="preserve">Труба КОРСИС PRODN/OD 630/535P SN 16 </t>
  </si>
  <si>
    <t xml:space="preserve">Труба КОРСИС PRODN/OD 315/271P SN 16 </t>
  </si>
  <si>
    <t xml:space="preserve">Плита днища ПН 20 </t>
  </si>
  <si>
    <t>4</t>
  </si>
  <si>
    <t xml:space="preserve">Плита перекрытия ПП 20-2 </t>
  </si>
  <si>
    <t xml:space="preserve">Кольцо стеновое КС 20.9 </t>
  </si>
  <si>
    <t xml:space="preserve">Кольцо стеновое КС 20.6 </t>
  </si>
  <si>
    <t xml:space="preserve">Кольцо опорное КО6 </t>
  </si>
  <si>
    <t xml:space="preserve">Кольцо стеновое КС7.3 </t>
  </si>
  <si>
    <t>Люк чугунный тяжелый Т(С250</t>
  </si>
  <si>
    <t>Лестница-стремянка из угловой оцинкованной стали 50×5 мм (С1-06)</t>
  </si>
  <si>
    <t>136,5</t>
  </si>
  <si>
    <t>Праймер Технониколь №1</t>
  </si>
  <si>
    <t>Битумная мастикаТехнониколь №24</t>
  </si>
  <si>
    <t>145,7</t>
  </si>
  <si>
    <t>Муфта защитная полиэтиленовая D=365 мм L=150,0 мм  (для труб ø315 мм)</t>
  </si>
  <si>
    <t>Труба стальная электросварная 530х10мм (футляр)</t>
  </si>
  <si>
    <t>10</t>
  </si>
  <si>
    <t>Муфта защитная полиэтиленовая D=194 мм L=150,0 мм   (для труб ø160 мм)</t>
  </si>
  <si>
    <t>Задвижка D 150 мм</t>
  </si>
  <si>
    <t>Задвижка D 300 мм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</si>
  <si>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</si>
  <si>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</si>
  <si>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</si>
  <si>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Труба КОРСИС PRODN/OD 315P SN 16</t>
  </si>
  <si>
    <t xml:space="preserve">Плита днища ПН 10 </t>
  </si>
  <si>
    <t>7</t>
  </si>
  <si>
    <t xml:space="preserve">Плита перекрытия ПП 10-2 </t>
  </si>
  <si>
    <t xml:space="preserve">Кольцо стеновое КС 10.9 </t>
  </si>
  <si>
    <t>14</t>
  </si>
  <si>
    <t>109,9</t>
  </si>
  <si>
    <t>Муфта защитная полиэтиленовая D=194 мм L=150,0 мм (для труб ø160 мм)</t>
  </si>
  <si>
    <t>131-23-ГП Вертикальная планировка, благоустройство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</si>
  <si>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</si>
  <si>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</si>
  <si>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</si>
  <si>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</si>
  <si>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</si>
  <si>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</si>
  <si>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</si>
  <si>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</si>
  <si>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</si>
  <si>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Точки 6-15-16-17</t>
  </si>
  <si>
    <t xml:space="preserve">Кабель АВВГнг-LS-1 сеч. 4х50мм2 </t>
  </si>
  <si>
    <t>Крепление кабеля скобами СМД-П 38-40</t>
  </si>
  <si>
    <t>Точки 28-28А-28Б-28В</t>
  </si>
  <si>
    <t xml:space="preserve">Кабель ААБ-6  сеч. 3х70мм2 </t>
  </si>
  <si>
    <t>Монтаж муфты соединительной 10кВ 3СТп-10-70/120</t>
  </si>
  <si>
    <t>Монтаж трубы ПНД-110 SN12 в траншее на глубине 1 м</t>
  </si>
  <si>
    <t>Точки 1-2</t>
  </si>
  <si>
    <t xml:space="preserve">Кабель АСБ-6 сеч. 3х70мм2 </t>
  </si>
  <si>
    <t>Муфта соединительная  3СТп-10-70/120</t>
  </si>
  <si>
    <t xml:space="preserve">Труба ПНД-110 SN12 </t>
  </si>
  <si>
    <t>Точки 6-7-8</t>
  </si>
  <si>
    <t>Кабель АШБ-6 сеч. 3х95мм2</t>
  </si>
  <si>
    <t>Точки 9-12-10-11</t>
  </si>
  <si>
    <t>Кабель АСБ-6 сеч. 3х50мм2</t>
  </si>
  <si>
    <t>Муфта соединительная  3СТп-10-25/50</t>
  </si>
  <si>
    <t xml:space="preserve">Разработка сухого грунта механизированным способом </t>
  </si>
  <si>
    <t>Разработка грунта вручную в местах пересечений с существующими подземными коммуникациями</t>
  </si>
  <si>
    <t>Обратная засыпка грунта вручную  (5%)</t>
  </si>
  <si>
    <t>Планировка площадей: механизированным способом</t>
  </si>
  <si>
    <t>Прокладка труб полиэтиленовых напорных ПЭ100  SDR17  ø110х6,6 «питьевая»</t>
  </si>
  <si>
    <t>Прокладка труб стальных электросварных  прямошовных ø108х4,0 с весьма усиленной г/изол</t>
  </si>
  <si>
    <t>Прокладка труб стальных электросварных прямошовных ø325х7,0 (футляр)</t>
  </si>
  <si>
    <t xml:space="preserve">Протаскивание в футляр полиэтиленовых труб </t>
  </si>
  <si>
    <t>Заделка  концов футляра</t>
  </si>
  <si>
    <t>футляр</t>
  </si>
  <si>
    <t>Монтаж задвижки чугунной с обрезиненным клином невыдвижным шпинделем фланцевой МЗВ-100 (DN100) 30ч39р Московский завод «Водоприбор</t>
  </si>
  <si>
    <t>Демонтаж в колодце тройника чугунного фланцевого ТФ 150х100</t>
  </si>
  <si>
    <t>Монтаж в колодце крестовины чугунной фланцевой КФ 150х100</t>
  </si>
  <si>
    <t>Монтаж фланцев стальных плоских приварных Д=100 мм на трубе в цехе 121/18</t>
  </si>
  <si>
    <t>Фланец свободный металлический Dу 100 мм (для труб ø100 мм) в колодце</t>
  </si>
  <si>
    <t>Втулка под фланец d=100 мм SDR 17 в колодце</t>
  </si>
  <si>
    <t>Установка муфты защитной полиэтиленовой L=150,0 мм D=140 мм для прохода труб сквозь бетонную стену колодца (для труб D=110 мм)</t>
  </si>
  <si>
    <t>Монтаж отвода стального приварного 90°</t>
  </si>
  <si>
    <t xml:space="preserve">Неразъемное соединение полиэтилен-сталь НСПС 110/108 мм </t>
  </si>
  <si>
    <t>Пробивка отверстия 400х400 х400 мм в существующем фундаменте цеха 121/18</t>
  </si>
  <si>
    <t>Установка сальника набивного Ду100 мм L=500 мм   серия 5.900-2    ТМ 91-02</t>
  </si>
  <si>
    <t>Заделка отверстия в фундаменте бетоном кл. В20, W6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</si>
  <si>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</si>
  <si>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</si>
  <si>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</si>
  <si>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</si>
  <si>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>Монтаж фланца свободного металлического Dу 100 мм (для труб ø110 мм)</t>
  </si>
  <si>
    <t>Монтаж втулки ПЭ100 SDR 17 под фланец d=110 мм PN10 кгс/см² (для труб ø110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</si>
  <si>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</si>
  <si>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</si>
  <si>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</si>
  <si>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</si>
  <si>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</si>
  <si>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</si>
  <si>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 xml:space="preserve">Прокладка труб КОРСИС PRODN/OD 630/535P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</si>
  <si>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</si>
  <si>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</si>
  <si>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</si>
  <si>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</si>
  <si>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</si>
  <si>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</si>
  <si>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</si>
  <si>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</si>
  <si>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</si>
  <si>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</si>
  <si>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</si>
  <si>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</si>
  <si>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</si>
  <si>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</si>
  <si>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</si>
  <si>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</si>
  <si>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</si>
  <si>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Прокладка кабеля АВВГнг-LS-1 сеч. 4х50мм2 по сущ. эсткаде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</si>
  <si>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</si>
  <si>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</si>
  <si>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</si>
  <si>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Прокладка кабеля АСБ-6 сеч. 3х70мм2 в трубе- футляре</t>
  </si>
  <si>
    <t xml:space="preserve">Прокладка кабеля АСБ-6 сеч. 3х70мм2 в траншее </t>
  </si>
  <si>
    <t>Прокладка кабеля АШБ-6  сеч. 3х95мм2 в трубе- футляре</t>
  </si>
  <si>
    <t>Прокладка кабеля АШБ-6  сеч. 3х95мм2 в траншее</t>
  </si>
  <si>
    <t>Прокладка кабеля АСБ-6  сеч. 3х50мм2 в трубе- футляре</t>
  </si>
  <si>
    <t>Монтаж муфты соединительной 10кВ 3СТп-10-25/50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</si>
  <si>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</si>
  <si>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</si>
  <si>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</si>
  <si>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</si>
  <si>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</si>
  <si>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Болт стыковой в сборе Р50</t>
  </si>
  <si>
    <t>Накладка 6-дырная Р50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</si>
  <si>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</si>
  <si>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</si>
  <si>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Планировка откосов выемок и насыпей</t>
  </si>
  <si>
    <t>Демонтажные работы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</si>
  <si>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</si>
  <si>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</si>
  <si>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</si>
  <si>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</si>
  <si>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</si>
  <si>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</si>
  <si>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</si>
  <si>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</si>
  <si>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</si>
  <si>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</si>
  <si>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</si>
  <si>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</si>
  <si>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</si>
  <si>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</si>
  <si>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</si>
  <si>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Цех №8</t>
  </si>
  <si>
    <t>Трансбордер</t>
  </si>
  <si>
    <t>Коммуникации 417 путь</t>
  </si>
  <si>
    <t>Без НДС</t>
  </si>
  <si>
    <t>с НДС</t>
  </si>
  <si>
    <t>Смесь песчано-гравийная</t>
  </si>
  <si>
    <t>комплекс</t>
  </si>
  <si>
    <t>Коммуникации 217 путь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</si>
  <si>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</si>
  <si>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</si>
  <si>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</si>
  <si>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</si>
  <si>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</si>
  <si>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</si>
  <si>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</si>
  <si>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</si>
  <si>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</si>
  <si>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</si>
  <si>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</si>
  <si>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</si>
  <si>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</si>
  <si>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</si>
  <si>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</si>
  <si>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</si>
  <si>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</si>
  <si>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</si>
  <si>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</si>
  <si>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</si>
  <si>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</si>
  <si>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</si>
  <si>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</si>
  <si>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</si>
  <si>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</si>
  <si>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</si>
  <si>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</si>
  <si>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</si>
  <si>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</si>
  <si>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</si>
  <si>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</si>
  <si>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</si>
  <si>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</si>
  <si>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</si>
  <si>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</si>
  <si>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</si>
  <si>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</si>
  <si>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</si>
  <si>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</si>
  <si>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</si>
  <si>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</si>
  <si>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</si>
  <si>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</si>
  <si>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</si>
  <si>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</si>
  <si>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</si>
  <si>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</si>
  <si>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</si>
  <si>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</si>
  <si>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</si>
  <si>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</si>
  <si>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</si>
  <si>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</si>
  <si>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</si>
  <si>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</si>
  <si>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</si>
  <si>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</si>
  <si>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</si>
  <si>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</si>
  <si>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</si>
  <si>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</si>
  <si>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</si>
  <si>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</si>
  <si>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</si>
  <si>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</si>
  <si>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</si>
  <si>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</si>
  <si>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</si>
  <si>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</si>
  <si>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</si>
  <si>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</si>
  <si>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</si>
  <si>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</si>
  <si>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</si>
  <si>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</si>
  <si>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</si>
  <si>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</si>
  <si>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</si>
  <si>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</si>
  <si>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</si>
  <si>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</si>
  <si>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</si>
  <si>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</si>
  <si>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</si>
  <si>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</si>
  <si>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</si>
  <si>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</si>
  <si>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</si>
  <si>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</si>
  <si>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</si>
  <si>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</si>
  <si>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</si>
  <si>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</si>
  <si>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</si>
  <si>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</si>
  <si>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</si>
  <si>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</si>
  <si>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</si>
  <si>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</si>
  <si>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</si>
  <si>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</si>
  <si>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</si>
  <si>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</si>
  <si>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</si>
  <si>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</si>
  <si>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</si>
  <si>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</si>
  <si>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</si>
  <si>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</si>
  <si>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</si>
  <si>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</si>
  <si>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</si>
  <si>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</si>
  <si>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</si>
  <si>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</si>
  <si>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</si>
  <si>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</si>
  <si>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</si>
  <si>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</si>
  <si>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</si>
  <si>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</si>
  <si>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</si>
  <si>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</si>
  <si>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</si>
  <si>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</si>
  <si>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</si>
  <si>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</si>
  <si>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</si>
  <si>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</si>
  <si>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</si>
  <si>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</si>
  <si>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</si>
  <si>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</si>
  <si>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</si>
  <si>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</si>
  <si>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</si>
  <si>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</si>
  <si>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</si>
  <si>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</si>
  <si>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</si>
  <si>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</si>
  <si>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</si>
  <si>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</si>
  <si>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</si>
  <si>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</si>
  <si>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</si>
  <si>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</si>
  <si>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</si>
  <si>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</si>
  <si>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</si>
  <si>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</si>
  <si>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</si>
  <si>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</si>
  <si>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</si>
  <si>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</si>
  <si>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</si>
  <si>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</si>
  <si>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</si>
  <si>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</si>
  <si>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</si>
  <si>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</si>
  <si>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</si>
  <si>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</si>
  <si>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</si>
  <si>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</si>
  <si>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</si>
  <si>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</si>
  <si>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</si>
  <si>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</si>
  <si>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</si>
  <si>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</si>
  <si>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</si>
  <si>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</si>
  <si>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</si>
  <si>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</si>
  <si>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</si>
  <si>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</si>
  <si>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</si>
  <si>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</si>
  <si>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</si>
  <si>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</si>
  <si>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</si>
  <si>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</si>
  <si>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</si>
  <si>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</si>
  <si>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</si>
  <si>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</si>
  <si>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</si>
  <si>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</si>
  <si>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</si>
  <si>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Восстановление существующих колодцев</t>
  </si>
  <si>
    <t>Установка плиты перекрытия с подъемом на проектную отметку ПП-15</t>
  </si>
  <si>
    <t>Установка люков полимерных 1.5т</t>
  </si>
  <si>
    <t>Плита перекрытия ПП-15</t>
  </si>
  <si>
    <t>Люк смотровых колодцев полимерный тип ЛМ</t>
  </si>
  <si>
    <t>Демонтаж труб стальных электросварных ø159х6,0 мм</t>
  </si>
  <si>
    <t>Очистка поверхностей сборных железобетонных лотков и плит от грязи перед обмазкой</t>
  </si>
  <si>
    <t>Огрунтовка поверхностей сборных железобетонных лотков за один раз</t>
  </si>
  <si>
    <t xml:space="preserve">Обмазка поверхностей сборных железобетонных лотков и битумной мастикой за 2 раза </t>
  </si>
  <si>
    <t>Устройство шахты подъема из монолитного бетона класса В25, F200, W6 Арматура ϕ8 А-III</t>
  </si>
  <si>
    <t>Устройство подготовки из щебня под вент. шахту</t>
  </si>
  <si>
    <t>Подготовка из монолитного бетона класса В15 Арматура ϕ22 А-III Арматура ϕ10 А-I</t>
  </si>
  <si>
    <t>Устройство подпятника из монолитного бетона класса В15</t>
  </si>
  <si>
    <t>Устройство ж/б труб Т 40.50-2</t>
  </si>
  <si>
    <t>Отвод 90° 426х9-2,5</t>
  </si>
  <si>
    <t>Труба стальная Дн 426, l=1500</t>
  </si>
  <si>
    <t>Устройство оголовка из листовойстали δ=10</t>
  </si>
  <si>
    <t>Установка отвода 90° 426х9-2,5</t>
  </si>
  <si>
    <t>Сборные железобетонные конструкции под теплотрассу (канал и шахта подъема, вент. шахта)</t>
  </si>
  <si>
    <t>Устройство камеры ТК-1</t>
  </si>
  <si>
    <t xml:space="preserve">Устройство монолитной железобетонной камеры ТК-1 </t>
  </si>
  <si>
    <t>Устройство бетонной подготовки из бетона В10</t>
  </si>
  <si>
    <t>Устройство колец колодезных К-7-9 массой 0,38 т (0,61м3)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</si>
  <si>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</si>
  <si>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</si>
  <si>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</si>
  <si>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</si>
  <si>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</si>
  <si>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Устройство отверстий диам. 430 в ж/б плите перекрытия толщ. 260 мм сверлением</t>
  </si>
  <si>
    <t>Устройство металлического листа толщ. 10 мм на шахтой опуска</t>
  </si>
  <si>
    <t>Заделка пространства прохода труб сквозь стену камеры бетоном В10</t>
  </si>
  <si>
    <t>Заделка прохода труб сквозь стену камеры «Вилатермом» диам. 50 мм</t>
  </si>
  <si>
    <t>Обмазка битумом БН 90/10 за 2 раза</t>
  </si>
  <si>
    <t>п.м.</t>
  </si>
  <si>
    <t>Прокладка труб стальных электросварных прямошовных, группы В по ГОСТ 10705-80* сталь 20 ø159х6,0 мм  в мин. вате толщиной 80 мм в ОЦ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</si>
  <si>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</si>
  <si>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</si>
  <si>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Устройство отвода 90° 89х6</t>
  </si>
  <si>
    <t>Устройство отвода 90° 45х6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</si>
  <si>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</si>
  <si>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</si>
  <si>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</si>
  <si>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Устройство блоков ФБС12.4.3-Т</t>
  </si>
  <si>
    <t>Устройство труб БНТ-150 ГОСТ 31416-2009</t>
  </si>
  <si>
    <t>Установка задвижки чугунной Ду 100</t>
  </si>
  <si>
    <t>Устройство лестниц с площадками для обслуживания арматуры</t>
  </si>
  <si>
    <t>нужны эти виды работ? они были учтены в смете, в ВОР  не было</t>
  </si>
  <si>
    <t>Устройство водоприемного колодца ВК-1</t>
  </si>
  <si>
    <t>Подвесные скобы горловин СК-4</t>
  </si>
  <si>
    <t>Лист 10х1200х1200</t>
  </si>
  <si>
    <t>Сталь листовая б=10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</si>
  <si>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</si>
  <si>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</si>
  <si>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Заделка пространства прохода труб бетоном В20</t>
  </si>
  <si>
    <t>Устройсвто обоймы усиления из бетона В22,5</t>
  </si>
  <si>
    <t>Устройство стяжки из цементного раствора М200</t>
  </si>
  <si>
    <t>Устройство песчаного основания</t>
  </si>
  <si>
    <t>Монтаж листа 10х1200х1200</t>
  </si>
  <si>
    <t>Монтаж стали листовой б=10</t>
  </si>
  <si>
    <t>Пробивка отверствий в стене колодца под проход трубы Ду100</t>
  </si>
  <si>
    <t>Плита П12д-15 (18,92т, 7,74 м3)</t>
  </si>
  <si>
    <t>Монолитная железобетонная камера ТК-1</t>
  </si>
  <si>
    <t>Арматура d14 А-III ГОСТ 34028-2016 L=4760 (62 шт.)</t>
  </si>
  <si>
    <t>Арматура d14 А-III ГОСТ 34028-2016 L=2410 (24 шт.)</t>
  </si>
  <si>
    <t>Арматура d14 А-III ГОСТ 34028-2016 L=1710 (144 шт.)</t>
  </si>
  <si>
    <t>Арматура d14 А-III ГОСТ 34028-2016 L=1910 (48 шт.)</t>
  </si>
  <si>
    <t>Арматура d14 А-III ГОСТ 34028-2016 L=410 (36 шт.)</t>
  </si>
  <si>
    <t>Арматура d14 А-III ГОСТ 34028-2016 L=960 (48 шт.)</t>
  </si>
  <si>
    <t>Арматура d14 А-III ГОСТ 34028-2016 L=1500 (144 шт.)</t>
  </si>
  <si>
    <t>Арматура d14 А-III ГОСТ 34028-2016 L=1000 (48 шт.)</t>
  </si>
  <si>
    <t>Арматура d8 А-I ГОСТ 34028-2016 L=210 (186 шт.)</t>
  </si>
  <si>
    <t>Арматура d14 А-III ГОСТ 34028-2016 L=3160 (80 шт.)</t>
  </si>
  <si>
    <t>Арматура d14 А-III ГОСТ 34028-2016 L=3120 (12 шт.)</t>
  </si>
  <si>
    <t>Арматура d14 А-III ГОСТ 34028-2016 L=1080 (12 шт.)</t>
  </si>
  <si>
    <t>Каркас КР1</t>
  </si>
  <si>
    <t>Труба 426х4</t>
  </si>
  <si>
    <t>Труба 159х4</t>
  </si>
  <si>
    <t>Труба 127х2</t>
  </si>
  <si>
    <t>Бетон В25 F200 W6</t>
  </si>
  <si>
    <t>Бетон В10</t>
  </si>
  <si>
    <t>Камера ТК-1</t>
  </si>
  <si>
    <t>Кольцо колодезное  К-7-9</t>
  </si>
  <si>
    <t>Люк чугунный тяжелый тип "Т"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</si>
  <si>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</si>
  <si>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</si>
  <si>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</si>
  <si>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</si>
  <si>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78,5</t>
  </si>
  <si>
    <t>Лист 1330х770х10 (1 шт.)</t>
  </si>
  <si>
    <t>Шахта опуска</t>
  </si>
  <si>
    <t>Шахта подъема</t>
  </si>
  <si>
    <t>Арматура d8 А-III  L=3100 (3 шт.)</t>
  </si>
  <si>
    <t>Арматура d10 А-III  L=440 (16 шт.)</t>
  </si>
  <si>
    <t xml:space="preserve">Арматура d8 А-III  </t>
  </si>
  <si>
    <t>Проход трубы</t>
  </si>
  <si>
    <t>«Вилатерм» диам. 50 мм</t>
  </si>
  <si>
    <t>Бетон М100 (класс В7,5)</t>
  </si>
  <si>
    <t>Битум БН 90/10</t>
  </si>
  <si>
    <t>Водоприемный колодец ВК-1</t>
  </si>
  <si>
    <t>Кольцо колодезное  К-7-10</t>
  </si>
  <si>
    <t>Плита ПК-15</t>
  </si>
  <si>
    <t>Лестница канализационная КЛ-1, Н=1,98 м</t>
  </si>
  <si>
    <t>Направляющие скобы горловин ГС-1</t>
  </si>
  <si>
    <t>Обойма усиления из бетона кл. В22.5</t>
  </si>
  <si>
    <t>Бетон В15 М200</t>
  </si>
  <si>
    <t>Водоприёмный колодец ВГ-15 (V=1,16 м³)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</si>
  <si>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</si>
  <si>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</si>
  <si>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</si>
  <si>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</si>
  <si>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</si>
  <si>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</si>
  <si>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</si>
  <si>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</si>
  <si>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Устройство зонтов трубопроводов</t>
  </si>
  <si>
    <t>Изоляция трубопроводов - ОЦ: Ду 150 толщ. 80 мм</t>
  </si>
  <si>
    <t>Отвод 90°159х10</t>
  </si>
  <si>
    <t>Отвод 90°45х6.0</t>
  </si>
  <si>
    <t>Кран шаровый сварка/сварка "BALLOMAX" DN150, РN25  КШТ 60.102.150.А.25</t>
  </si>
  <si>
    <t>Кран шаровый сварка/сварка "BALLOMAX" DN40, РN40 КШТ 60.102.040.А.40</t>
  </si>
  <si>
    <t>Опора скользящая хомутовая (∅159)</t>
  </si>
  <si>
    <t>Ультразвуковой 100% контроль стыков труб Ду150,</t>
  </si>
  <si>
    <t>Лестница с площадкой для обслуживания арматуры</t>
  </si>
  <si>
    <t>Стальной лист b=10 мм. (1480х790)</t>
  </si>
  <si>
    <t>Труба стальная  ГОСТ 10705-80 сталь 20 ø159х6,0 мм</t>
  </si>
  <si>
    <t>Труба стальная  ГОСТ 8732-78 В20 ø89х5,0 мм</t>
  </si>
  <si>
    <t>Труба стальная  ГОСТ 8731-74 сталь 20 ø45х5,0 мм</t>
  </si>
  <si>
    <t>Изоляция трубопроводов мин. вата Ду 150 толщ. 80 мм</t>
  </si>
  <si>
    <t>Труба ЧНР 100 ГОСТ 9583-75</t>
  </si>
  <si>
    <t>Отвод 90°89х6</t>
  </si>
  <si>
    <t>Кран шаровый сварка/сварка "BALLOMAX" DN80, РN25  КШТ 60.102.080.А.25</t>
  </si>
  <si>
    <t>Опора скользящая хомутовая (∅89)</t>
  </si>
  <si>
    <t>Зонт на трубопровод 159 (4 шт.)</t>
  </si>
  <si>
    <t>Блок ФБС12.4.3-Т,</t>
  </si>
  <si>
    <t>Труба БНТ-150 ГОСТ 31416-2009</t>
  </si>
  <si>
    <t>Кремнийорганическая термостойкая эмаль КО-8101</t>
  </si>
  <si>
    <t>Задвижка чуг. Ду100 30ч6бр.</t>
  </si>
  <si>
    <t>Заглушка изоляции для Ду150</t>
  </si>
  <si>
    <t>Стальной лист b=10мм</t>
  </si>
  <si>
    <t>Патрубок ПФГ-100 l=1200 мм</t>
  </si>
  <si>
    <t>Канал и шахта подъема, вент. шахта</t>
  </si>
  <si>
    <t>Бетон В25 W4 F200</t>
  </si>
  <si>
    <t>Битумная мастика ТЕХНОНИКОЛЬ № 24</t>
  </si>
  <si>
    <t>Битумная грунтовка ТЕХНОНИКОЛЬ № 01  (20л=16кг)</t>
  </si>
  <si>
    <t>Устройство шахты опуска из монолитного бетона класса В25, F200, W6 Арматура ϕ8 А-III</t>
  </si>
  <si>
    <t xml:space="preserve">Вентиляционная шахта </t>
  </si>
  <si>
    <t xml:space="preserve">Щебень </t>
  </si>
  <si>
    <t>Бетон класса В15</t>
  </si>
  <si>
    <t>Арматура ϕ22 А-III</t>
  </si>
  <si>
    <t>Арматура ϕ10 А-I</t>
  </si>
  <si>
    <t>Ж/б труба Т 40.50-2</t>
  </si>
  <si>
    <t>Оголовок из листовой стали δ=10</t>
  </si>
  <si>
    <t>Бетон  В10</t>
  </si>
  <si>
    <t>в СО - Труба стальная  ГОСТ 10705-80 сталь 20 ø159х6,0 мм -54 м
          Изоляция трубопроводов - ОЦ: Ду 150 толщ. 80 мм -20м
          Изоляция трубопроводов мин. вата Ду 150 толщ. 80 мм -24м</t>
  </si>
  <si>
    <t>Сварка труб, труб и фасонных частей, труб  Ф159 мм</t>
  </si>
  <si>
    <t>Изоляция стыков труб,  диаметром: 159 мм</t>
  </si>
  <si>
    <t>Заполнение межтрубного пространства в футляре цементно-песчаным раствором М100</t>
  </si>
  <si>
    <t>Ливневая канализация (перенос колодца14)</t>
  </si>
  <si>
    <t>Установка муфт защитных полиэтиленовых D=669 мм L=450 мм для прохода труб сквозь бетонную стенку колодца (для труб ø500 мм)</t>
  </si>
  <si>
    <t>Демонтаж существующего колодца Ду1,0м</t>
  </si>
  <si>
    <t>Ливневая канализация (уч.15-15А-15Б-15В-15Г-15Д-16-16А-17-17А-18-19-20-22, подключение дождеприемников Д-1 -22 и Д2-12Анов.)</t>
  </si>
  <si>
    <t>Вынос сетей от колодца 15 до колодца 17А(нов.)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</si>
  <si>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</si>
  <si>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</si>
  <si>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</si>
  <si>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Прокладка труб стальных электросварных 530*10 мм ГОСТ10704-91 (футляр)</t>
  </si>
  <si>
    <t>Разрезание труб стальных электросварных 530*10 мм вдоль на две части (футляр)</t>
  </si>
  <si>
    <t>Заполнение межтрубного пространства цементным раствором (для футляра 530*10)</t>
  </si>
  <si>
    <t>Сварка труб стальных электросварных 530*10 мм вдоль (футляр)</t>
  </si>
  <si>
    <t>Прокладка труб КОРСИС PRODN/OD 315/271P SN 16</t>
  </si>
  <si>
    <t>Установка муфт защитных полиэтиленовых D=550 мм L=270,0 мм для прохода труб сквозь бетонную стенку колодца (для труб ø315 мм)</t>
  </si>
  <si>
    <t>Демонтажные работы.</t>
  </si>
  <si>
    <t>Демонтаж существующих колодцев</t>
  </si>
  <si>
    <t>Демонтаж труб Ду300 чуг.</t>
  </si>
  <si>
    <t>Демонтаж существующих дождепремников</t>
  </si>
  <si>
    <t>Подключение дождеприемников Д-1 -22 и Д-2-12А нов.</t>
  </si>
  <si>
    <t>Устройство дождеприемных колодцев Д-1 и Д-2 из сборных ж.б. элементов</t>
  </si>
  <si>
    <t>Установка дождеприемной решетки тип –ДБ2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</si>
  <si>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</si>
  <si>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</si>
  <si>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</si>
  <si>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</si>
  <si>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</si>
  <si>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</si>
  <si>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</si>
  <si>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</si>
  <si>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</si>
  <si>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</si>
  <si>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Ливневая канализация (кол.26-27)</t>
  </si>
  <si>
    <t>Обратная засыпка песком вручную</t>
  </si>
  <si>
    <t xml:space="preserve">Обратная засыпка песком вручную </t>
  </si>
  <si>
    <t>Сварка труб стальных электросварных 820х14 мм вдоль (футляр)</t>
  </si>
  <si>
    <t>Разрезание труб стальных электросварных 820х14 мм вдоль на две части (футляр)</t>
  </si>
  <si>
    <t>Прокладка труб стальных электросварных 820х14мм ГОСТ10704-91 (футляр)</t>
  </si>
  <si>
    <t>Устройство колодца из сборных ж.б. элементов (сущ.кол.25,26)</t>
  </si>
  <si>
    <t>Установка муфт защитных полиэтиленовых D=669 мм L=450 мм для прохода труб сквозь бетонную стенку колодца (для труб ø630 мм)</t>
  </si>
  <si>
    <t xml:space="preserve">Ливневая канализация (перенос колодца14) </t>
  </si>
  <si>
    <t>Плита днища ПН 10</t>
  </si>
  <si>
    <t>Плита перекрытия ПП 10-2</t>
  </si>
  <si>
    <t>Кольцо стеновое КС 10.9</t>
  </si>
  <si>
    <t>Кольцо стеновое КС 10.6</t>
  </si>
  <si>
    <t>Люк чугунный тяжелый Т(С250)</t>
  </si>
  <si>
    <t>Лестница-стремянка из угловой оцинкованной стали 50×5 мм (С1-03)</t>
  </si>
  <si>
    <t>16,2</t>
  </si>
  <si>
    <t>36,43</t>
  </si>
  <si>
    <t>Муфта защитная полиэтиленовая D=669 мм L=450 мм для прохода труб сквозь бетонную стенку колодца (для труб ø500 мм)</t>
  </si>
  <si>
    <t>Плита перекрытия ПП 15-2</t>
  </si>
  <si>
    <t>Кольцо стеновое КС 15.9</t>
  </si>
  <si>
    <t>Кольцо стеновое КС 15.6</t>
  </si>
  <si>
    <t>19</t>
  </si>
  <si>
    <t>Муфта защитная полиэтиленовая D=365 мм L=270,0 мм для прохода труб сквозь бетонную стенку колодца (для труб ø315 мм)</t>
  </si>
  <si>
    <t>Лестница-стремянка из угловой оцинкованной стали 50×5 мм (С1-04)</t>
  </si>
  <si>
    <t>Лестница-стремянка из угловой оцинкованной стали 50×5 мм (С1-07)</t>
  </si>
  <si>
    <t>Лестница-стремянка из угловой оцинкованной стали 50×5 мм (С1-08)</t>
  </si>
  <si>
    <t>32,4</t>
  </si>
  <si>
    <t>39</t>
  </si>
  <si>
    <t>7,8</t>
  </si>
  <si>
    <t>117</t>
  </si>
  <si>
    <t>290</t>
  </si>
  <si>
    <t>Дождеприемная решетка тип –ДБ2</t>
  </si>
  <si>
    <t>31,4</t>
  </si>
  <si>
    <t>3</t>
  </si>
  <si>
    <t>Лестница-стремянка из угловой оцинкованной стали 50×5 мм (С1-01)</t>
  </si>
  <si>
    <t>9,7</t>
  </si>
  <si>
    <t>Муфта защитная полиэтиленовая D=1300 мм L=650,0 мм (для труб ø1200 мм)</t>
  </si>
  <si>
    <t>Муфта защитная полиэтиленовая D=669 мм L=450,0 мм (для труб ø630 мм)</t>
  </si>
  <si>
    <t>19,5</t>
  </si>
  <si>
    <t>Труба стальная электросварная 820х14мм (футляр)</t>
  </si>
  <si>
    <t>Заглушка 315 SN16</t>
  </si>
  <si>
    <t>Тройник 315/90 P SN16</t>
  </si>
  <si>
    <t>Отвод 315/45 SN16</t>
  </si>
  <si>
    <t>Лист стальной толщиной 10 мм., размер 500х500 мм</t>
  </si>
  <si>
    <t>Лист стальной толщиной 10 мм., размер 400х400 мм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</si>
  <si>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</si>
  <si>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</si>
  <si>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</si>
  <si>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131-23-НВК3. Переустройство хозпитьевого водопровода (В1) на участке В1-30 – В1-31</t>
  </si>
  <si>
    <t>Опорно-направляющие кольца ОНК-160 для трубы Дн=160 мм</t>
  </si>
  <si>
    <t>Прокладка труб стальных электросварных  прямошовных ø325х7,0 (футляр) + Монтаж опорно-направляющих колец ОНК-110 для трубы Дн=110мм - 5шт.</t>
  </si>
  <si>
    <t>Опорно-направляющие кольца ОНК-110 для трубы Дн=110 мм</t>
  </si>
  <si>
    <t>131-23-НВК3. Переустройство хозпитьевого водопровода (В1) на участке В1-1 – В1-1А</t>
  </si>
  <si>
    <t>131-23-НВК3. Переустройство хозпитьевого водопровода (В1) на участке В1-2 – В1-2А</t>
  </si>
  <si>
    <t>Прокладка труб полиэтиленовых напорных ПЭ100 SDR17 ø315х18,7 «питьевая»</t>
  </si>
  <si>
    <t>Монтаж фланца свободного стального Dу 300 мм (для труб ø315 мм)</t>
  </si>
  <si>
    <t>Монтаж втулки ПЭ100 SDR 17 под фланец d=315 мм PN10 кгс/см²</t>
  </si>
  <si>
    <t>Прокладка труб стальных электросварных прямошовных ø530х8,0 сталь 20 (футляр) + Монтаж опорно-направляющих колец ОНК-315 для трубы Дн=315мм - 3шт.</t>
  </si>
  <si>
    <t>Переустройство хозпитьевого водопровода (В1) на участке В1-3А – В1-8</t>
  </si>
  <si>
    <t>Прокладка труб полиэтиленовых напорных ПЭ100 SDR17 ø160х18,7 «питьевая»</t>
  </si>
  <si>
    <t>Прокладка труб стальных электросварных прямошовных ø530х8,0 сталь 20 (футляр) + Монтаж опорно-направляющих колец ОНК-315 для трубы Дн=315мм - 2шт.</t>
  </si>
  <si>
    <t>Заделка концов футляра 530х8мм</t>
  </si>
  <si>
    <t>Заделка концов футляра 377х7мм</t>
  </si>
  <si>
    <t>Прокладка труб стальных электросварных 377х7мм  (футляр) + Монтаж опорно-направляющих колец ОНК-160 для трубы Дн=160мм - 3шт.</t>
  </si>
  <si>
    <t>Монтаж задвижки чугунной фланцевой с обрезиненным клином, невыдвижным шпинделем М3В-300 (DN300)
Py 1,6 (16 кгс/см2)</t>
  </si>
  <si>
    <t>Монтаж задвижки чугунной фланцевой с обрезиненным клином, невыдвижным шпинделем 30ч 39р М3В-150 (DN150) Py 1,6 (16 кгс/см2)</t>
  </si>
  <si>
    <t>Монтаж тройника чугунного фланцевого ТФ 300х150</t>
  </si>
  <si>
    <t xml:space="preserve">Монтаж втулки ПЭ100 SDR 17 под фланец d=160 мм PN10 кгс/см² </t>
  </si>
  <si>
    <t>Монтаж фланца стального плоского приварного DN300, PN10, 50-10-01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</si>
  <si>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</si>
  <si>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d=315 мм</t>
  </si>
  <si>
    <t>Монтаж отвода 60° ПЭ 100 SDR17 d=315 мм</t>
  </si>
  <si>
    <t>Устройство колодцев из сборных ж.б. элементов</t>
  </si>
  <si>
    <t>Крепление стенок траншеи инвентарными дощатыми щитами с винтовыми распорками вблизи существующих фундаментов</t>
  </si>
  <si>
    <t xml:space="preserve">Труба ПЭ100 SDR17 PN 10 110х6.6 </t>
  </si>
  <si>
    <t>Труба ПЭ100 SDR17 PN 10 315х18,7</t>
  </si>
  <si>
    <t>Труба стальная электросварная прямошовная ø530х8,0  (футляр)</t>
  </si>
  <si>
    <t>Гайка М20 (24 шт.)</t>
  </si>
  <si>
    <t>Опорно-направляющее кольцо ОНК-315 для трубы Дн=315 мм</t>
  </si>
  <si>
    <t>Труба  ПЭ100 SDR17 ∅160х18,7</t>
  </si>
  <si>
    <t>Труба стальная электросварная 377х7мм (футляр)</t>
  </si>
  <si>
    <t>Тройник чугунный фланцевый ТФ 300х150</t>
  </si>
  <si>
    <t>Фланец свободный стальной Dу 150 мм (для труб ∅160 мм)</t>
  </si>
  <si>
    <t>Втулка ПЭ100 SDR 17 под фланец d=160 мм PN10 кгс/см2</t>
  </si>
  <si>
    <t>Фланец стальной плоский приварной DN 300, PN 10, 50-10-01</t>
  </si>
  <si>
    <t>Болт М20х80 (196 шт.)</t>
  </si>
  <si>
    <t>Гайка М20  (196 шт.)</t>
  </si>
  <si>
    <t>Шайба М20 (392 шт.)</t>
  </si>
  <si>
    <t>Прокладка из паронита А-150-10 для фланца ∅150 мм, PN1,0 МПа, исп. А</t>
  </si>
  <si>
    <t>Отвод ПЭ100 SDR17 90° d=315 мм</t>
  </si>
  <si>
    <t>Отвод ПЭ100 SDR17 60° d=315 мм</t>
  </si>
  <si>
    <t>в ВОР труба в мин. вате толщиной 80 мм в ОЦ - 115м</t>
  </si>
  <si>
    <t>Опорно-направляющее кольцо ОНК-160 для трубы Дн=160 мм</t>
  </si>
  <si>
    <t xml:space="preserve">Лестница-стремянка из угловой оцинкованной стали 50×5 мм </t>
  </si>
  <si>
    <t>Сталь угловая 50х5, l=245 мм</t>
  </si>
  <si>
    <t>Полоса стальная 5х80 L=300 мм</t>
  </si>
  <si>
    <t>131-23-НВК3. Переустройство хозпитьевого водопровода (В1) на участке В1-3А – В1-8</t>
  </si>
  <si>
    <t>Лист стальной толщиной 10 мм,размер 500х500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</si>
  <si>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</si>
  <si>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</si>
  <si>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</si>
  <si>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</si>
  <si>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</si>
  <si>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</si>
  <si>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</si>
  <si>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</si>
  <si>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</si>
  <si>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</si>
  <si>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</si>
  <si>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</si>
  <si>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</si>
  <si>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</si>
  <si>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</si>
  <si>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</si>
  <si>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</si>
  <si>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</si>
  <si>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</si>
  <si>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</si>
  <si>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</si>
  <si>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Плодородный грунт для благоустройства</t>
  </si>
  <si>
    <t>Бортовые камни БР 100.30.15</t>
  </si>
  <si>
    <t>Прокладка кабеля АВВГнг-LS-1 сеч. 4х50мм2 450м по стене и 30м по потолощным фермам с креплением скобами СМД-П 38-40 (300шт.)</t>
  </si>
  <si>
    <t>Заделка пеной двухкомпонентной огнезащитной DN1201</t>
  </si>
  <si>
    <t>131-23-ЭС1 Электротехнические решения</t>
  </si>
  <si>
    <t>131-23-ЭС2 Электротехнические решения</t>
  </si>
  <si>
    <t>Монтаж муфты концевой  4ПКТп-10-25/50</t>
  </si>
  <si>
    <t>Муфта концевая  4ПКТп-10-25/50 (Б)</t>
  </si>
  <si>
    <t>Укладка ленты сигнальной ЛСЭ-600 в траншею</t>
  </si>
  <si>
    <t>Заделка труб пеной двухкомпонентной огнезащитной DN1201</t>
  </si>
  <si>
    <t>Монтаж муфты концевой 10кВ 3КВТп-10-25/50</t>
  </si>
  <si>
    <t>Прокладка кабеля АСБ-6  сеч. 3х50мм2 в металлорукаве</t>
  </si>
  <si>
    <t>Монтаж металлорукава РЗ-ЦПнг-LS 60</t>
  </si>
  <si>
    <t>Крепление кабеля при помощи кронштейна стального с резиновым уплотнением 2 1/2" (75-80мм)</t>
  </si>
  <si>
    <t>Муфта концевая 10кВ 3КВТп-10-25/50</t>
  </si>
  <si>
    <t>Лента сигнальная ЛСЭ-300</t>
  </si>
  <si>
    <t>Металлорукав РЗ-ЦПнг-LS 60</t>
  </si>
  <si>
    <t>Кронштейн стальной с резиновым уплотнением 2 1/2" (75-80мм)</t>
  </si>
  <si>
    <t>Подкладки с упорами МП372.01.000</t>
  </si>
  <si>
    <t>Подкладки МП372.00.001</t>
  </si>
  <si>
    <t>Монтаж заглушки 315 SN16</t>
  </si>
  <si>
    <t>Монтаж тройника 315/90 P SN16</t>
  </si>
  <si>
    <t>Монтаж отвода 315/45 SN16</t>
  </si>
  <si>
    <t>Устройство трубы стальной Дн 426, l=1500</t>
  </si>
  <si>
    <t>Устройство труб ø426х4 (3 шт.)</t>
  </si>
  <si>
    <t>Устройство труб ø159х4 (2 шт.)</t>
  </si>
  <si>
    <t>Устройство труб ø127х2 (1 шт.)</t>
  </si>
  <si>
    <t>в проекте нет длины, взяли 1 шт. =1 м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</si>
  <si>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</si>
  <si>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Устройство водоприемного колодца ВГ-15 (1 шт.) 2,82 т</t>
  </si>
  <si>
    <t xml:space="preserve">стоимость на 50кг/шт </t>
  </si>
  <si>
    <t xml:space="preserve">стоимость на 10кг/шт </t>
  </si>
  <si>
    <t>стоимость на толщину 20мм</t>
  </si>
  <si>
    <t xml:space="preserve">не указано расстояние </t>
  </si>
  <si>
    <t>1582х546х213</t>
  </si>
  <si>
    <t>573х546х213</t>
  </si>
  <si>
    <t>182х546х48</t>
  </si>
  <si>
    <t>1098х546х55</t>
  </si>
  <si>
    <t>Ультразвук выполняется на ПЭ, а на стали - рентгенографические методы (ст-ть 12443руб.)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</si>
  <si>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</si>
  <si>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</si>
  <si>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</si>
  <si>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</si>
  <si>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</si>
  <si>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</si>
  <si>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</si>
  <si>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</si>
  <si>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</si>
  <si>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</si>
  <si>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</si>
  <si>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</si>
  <si>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</si>
  <si>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</si>
  <si>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</si>
  <si>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</si>
  <si>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</si>
  <si>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</si>
  <si>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</si>
  <si>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</si>
  <si>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</si>
  <si>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</si>
  <si>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</si>
  <si>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</si>
  <si>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</si>
  <si>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</si>
  <si>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</si>
  <si>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</si>
  <si>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</si>
  <si>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</si>
  <si>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</si>
  <si>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</si>
  <si>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</si>
  <si>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</si>
  <si>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</si>
  <si>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</si>
  <si>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</si>
  <si>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</si>
  <si>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</si>
  <si>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</si>
  <si>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</si>
  <si>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</si>
  <si>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</si>
  <si>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</si>
  <si>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</si>
  <si>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</si>
  <si>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</si>
  <si>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</si>
  <si>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</si>
  <si>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</si>
  <si>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</si>
  <si>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Сверление стыковых отверстий в новых рельсах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</si>
  <si>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</si>
  <si>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</si>
  <si>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этих работ нет в ВОР, но необходимо судя по схеме, вместо демонтируемого СП №16</t>
  </si>
  <si>
    <t xml:space="preserve">Механизм переводной стрелочного перевода (ручной Флюгарка) </t>
  </si>
  <si>
    <t>нет в СО</t>
  </si>
  <si>
    <t>нет в СО, но необходимо судя по схеме, вместо демонтируемого СП №16</t>
  </si>
  <si>
    <t>этих работ нет в ВОР</t>
  </si>
  <si>
    <t>этих работ нет в ВОР, но необходимо под ходы СП №8</t>
  </si>
  <si>
    <t>нет в СО, но необходимо  под ходы СП №8</t>
  </si>
  <si>
    <t>этих работ нет в ВОР, но необходимо от нулевой точки</t>
  </si>
  <si>
    <t>этих работ нет в ВОР, но необходимо от нулевой точки и чать демонтируемого стрелочного перевода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</si>
  <si>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</si>
  <si>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</si>
  <si>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</si>
  <si>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</si>
  <si>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</si>
  <si>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</si>
  <si>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</si>
  <si>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</si>
  <si>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</si>
  <si>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</si>
  <si>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</si>
  <si>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ГСН</t>
  </si>
  <si>
    <t>ТС2</t>
  </si>
  <si>
    <t>ТС3</t>
  </si>
  <si>
    <t>131-23-ТС2 Теплоснабжение. Переустройство трубопровода</t>
  </si>
  <si>
    <t>Ограждающие конструкции</t>
  </si>
  <si>
    <t>Сборные железобетонные конструкции</t>
  </si>
  <si>
    <t>Установка плиты ВП-16-6, массой 0,38 т из Бетона В22,5 W6 F150 (22 шт.)</t>
  </si>
  <si>
    <t>Монолитные железобетонные конструкции</t>
  </si>
  <si>
    <t>Монолитный железобетонный канал</t>
  </si>
  <si>
    <t>Устройство монолитных ж/б стенок канала из бетона В30 W6 F200</t>
  </si>
  <si>
    <t>Устройство монолитного ж/б днища канала из бетона В30 W6 F200</t>
  </si>
  <si>
    <t>Устройство бетонной подготовки под монолитный ж/б канал из бетона В10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</si>
  <si>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</si>
  <si>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</si>
  <si>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Затирка швов сборных ж/б плит цементным раствором марки 100</t>
  </si>
  <si>
    <t>Монолитный участок МУ-1</t>
  </si>
  <si>
    <t>Устройство монолитного участка МУ-1 из бетона В30 W6 F200</t>
  </si>
  <si>
    <t>Устройство трубы ∅325х5, длиной 160 мм (25,2 т)</t>
  </si>
  <si>
    <t>Лестница для спускников</t>
  </si>
  <si>
    <t>Разработка сухого грунта в ручную</t>
  </si>
  <si>
    <t>Обратная засыпка грунта в ручную</t>
  </si>
  <si>
    <t>Устройство лестницы для спускников (1 шт.)</t>
  </si>
  <si>
    <t>Устройство деталей крепления лестницы из уголка ˪50x5 (2 шт.)</t>
  </si>
  <si>
    <t>Устройство фундамента из бетона В25 W6 F200</t>
  </si>
  <si>
    <t>Тепловая сеть</t>
  </si>
  <si>
    <t>Надземная прокладка трубы Ст 2д108х5-1-ППУ-ОЦ</t>
  </si>
  <si>
    <t>Прокладка трубы Ст 2д108х5-1-ППУ-ОЦ в непроходном канале</t>
  </si>
  <si>
    <t xml:space="preserve">Установка отвода 90°108х6 </t>
  </si>
  <si>
    <t>Изоляция стыков труб,  диаметром: 108</t>
  </si>
  <si>
    <t>Контроль стыков ультразвуковым методом ∅108/180</t>
  </si>
  <si>
    <t>Антикоррозийное покрытие краской КО 8101</t>
  </si>
  <si>
    <t>Установка тройника 273х8/108х6.0</t>
  </si>
  <si>
    <t>Кран шаровый сварка/сварка "BALLOMAX" DN100, РN25</t>
  </si>
  <si>
    <t>Кран шаровый сварка/сварка "BALLOMAX" DN40, РN40</t>
  </si>
  <si>
    <t xml:space="preserve">Установка зонта трубопроводов </t>
  </si>
  <si>
    <t>Тепловые сети. Узел спускников</t>
  </si>
  <si>
    <t>Установка тройникового ответвления Ст108х5/45х4-1-ППУ-ПЭ, L=1300мм, l=1020мм</t>
  </si>
  <si>
    <t>Устройство трубы 108х5,0 ГОСТ 8732-78</t>
  </si>
  <si>
    <t>Устройство трубы 45х4,0 ГОСТ 8732-78</t>
  </si>
  <si>
    <t>Установка тройника 108х6,0/45х5,0</t>
  </si>
  <si>
    <t>Установка отвода 90°- 45х5,0</t>
  </si>
  <si>
    <t>Установка тройникового ответвления Ст108х5/45х4-1-ППУ-ПЭ, L=1300мм, l=1310мм</t>
  </si>
  <si>
    <t>Устройство трубы 108х5,0</t>
  </si>
  <si>
    <t>Устройство трубы 45х4,0</t>
  </si>
  <si>
    <t>Установка шарового крана "Балломакс" Ст45-1-ППУ-ПЭ, А=1950 мм</t>
  </si>
  <si>
    <t>Устройство Теплоизолированной трубы с МЗИ Ст45х4-1-ППУ-ПЭ-215, L=1000 мм</t>
  </si>
  <si>
    <t>Установка  Т-образного ключа NV32</t>
  </si>
  <si>
    <t>Тепловые сети. Спускной колодец</t>
  </si>
  <si>
    <t>Устройство блоков ФБС12.4.6-Т</t>
  </si>
  <si>
    <t>Устройство колец колодезных К-7-9 массой</t>
  </si>
  <si>
    <t>Установка крышки колодца круглой П-12</t>
  </si>
  <si>
    <t>Установка плиты перекрытия ОП-1к</t>
  </si>
  <si>
    <t>Установка люка чугунного тяжелого ЛЧ-ТМ</t>
  </si>
  <si>
    <t>Установка направляющих скоб горловин ГС-2</t>
  </si>
  <si>
    <t>Установка лестницы ВЛ-2 (2,3 м)</t>
  </si>
  <si>
    <t>Монолитный бетон кл. В22,5</t>
  </si>
  <si>
    <t>Монолитный бетон кл. В 7,5</t>
  </si>
  <si>
    <t>Обмазка колодца горячим битумом за 2 раза БН 50/50</t>
  </si>
  <si>
    <t xml:space="preserve">Устройство футляра из трубы 273х7.0 ГОСТ 8732-78 L=0,36 м </t>
  </si>
  <si>
    <t>Плита ВП-16-6</t>
  </si>
  <si>
    <t>Бетон В30 W6 F200</t>
  </si>
  <si>
    <t>Арматура ∅18-А400С</t>
  </si>
  <si>
    <t>Арматура ∅12-А400</t>
  </si>
  <si>
    <t>Арматура ∅8-А400</t>
  </si>
  <si>
    <t>Уголок L140x10</t>
  </si>
  <si>
    <t>Изделия закладные МН 517</t>
  </si>
  <si>
    <t>Битумная грунтовка Технониколь №01</t>
  </si>
  <si>
    <t>Цементный раствор марки 100</t>
  </si>
  <si>
    <t>Бетон В25 W6 F200</t>
  </si>
  <si>
    <t>Уголок L50x5</t>
  </si>
  <si>
    <t>Труба ∅325х5</t>
  </si>
  <si>
    <t>Лестница для спускников 3650.Л-20-000 СБ</t>
  </si>
  <si>
    <t>Фундаментный болт М16х400 (2 шт.)</t>
  </si>
  <si>
    <t>Труба Ст 108х5-1-ППУ-ОЦ (ГОСТ 8732-78/гр. В 20</t>
  </si>
  <si>
    <t>Комплект изоляции стыка в оцинкованной оболочке мастичный для ∅108/180 ГОСТ 30732-2006</t>
  </si>
  <si>
    <t xml:space="preserve">Отвод 90°108х6 </t>
  </si>
  <si>
    <t>Труба стальная бесшовная горячедефор. Дн 45х5,0</t>
  </si>
  <si>
    <t>Краска КО 8101</t>
  </si>
  <si>
    <t>Опора скользящая Ж/Б - С -225</t>
  </si>
  <si>
    <t>Тройник 273х8/108х6.0</t>
  </si>
  <si>
    <t>Труба стальная d =325 (Гильза)</t>
  </si>
  <si>
    <t>Стальной лист b=15мм. (1610х700)</t>
  </si>
  <si>
    <t>Зонт трубопроводов (4 шт.)</t>
  </si>
  <si>
    <t xml:space="preserve">ОЦ 0,8 ГОСТ 19904-90/08кп-1 ГОСТ 14918-80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</si>
  <si>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</si>
  <si>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</si>
  <si>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</si>
  <si>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</si>
  <si>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</si>
  <si>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</si>
  <si>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</si>
  <si>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</si>
  <si>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>Тройниковое ответвление Ст108х5/45х4-1-ППУ-ПЭ, L=1300мм, l=1020мм</t>
  </si>
  <si>
    <t>Труба 108х5,0 ГОСТ 8732-78</t>
  </si>
  <si>
    <t>Труба 45х4,0 ГОСТ 8732-78</t>
  </si>
  <si>
    <t>Тройник 108х6,0/45х5,0</t>
  </si>
  <si>
    <t>Отвод 90°- 45х5,0</t>
  </si>
  <si>
    <t>Тройниковое ответвление Ст108х5/45х4-1-ППУ-ПЭ, L=1300мм, l=1310мм</t>
  </si>
  <si>
    <t>Труба 108х5,0</t>
  </si>
  <si>
    <t>Труба 45х4,0</t>
  </si>
  <si>
    <t>Шаровой кран "Балломакс" Ст45-1-ППУ-ПЭ, А=1950 мм</t>
  </si>
  <si>
    <t>Теплоизолированная труба с МЗИ Ст45х4-1-ППУ-ПЭ-215, L=1000 мм</t>
  </si>
  <si>
    <t>Т-образный ключ NV32</t>
  </si>
  <si>
    <t>ФБС 12-4-6т</t>
  </si>
  <si>
    <t>Кольцо с днищем КДЦ-10-9</t>
  </si>
  <si>
    <t>Кольцо колодезное К-7-9</t>
  </si>
  <si>
    <t>Крышка колодца круглая П-12</t>
  </si>
  <si>
    <t>Плита перекрытия ОП-1к</t>
  </si>
  <si>
    <t>Люк чугунный тяжелый ЛЧ-ТМ</t>
  </si>
  <si>
    <t>Направляющие скобы горловин ГС-2</t>
  </si>
  <si>
    <t>Лестница ВЛ-2 (2,3 м)</t>
  </si>
  <si>
    <t>Песчаное основание h=100 мм</t>
  </si>
  <si>
    <t>Труба 273х7.0 ГОСТ 8732-78 L=0,36 м (футляр)</t>
  </si>
  <si>
    <t>Вилатерм, диаметр 50 мм</t>
  </si>
  <si>
    <t>131-23-ТС3 Теплоснабжение. Переустройство трубопровода</t>
  </si>
  <si>
    <t>Земляные работы под монолитный ж/б канал в осях 1-2</t>
  </si>
  <si>
    <t>Привозка недостающего грунта для обратной засыпки (72,8м3)</t>
  </si>
  <si>
    <t>Установка плиты ВП-16-6, массой 0,38 т из Бетона В22,5 W6 F150 (16шт.)</t>
  </si>
  <si>
    <t>Устройство песчаной подготовки под монолитный ж/б канал из песка средней крупности</t>
  </si>
  <si>
    <t>Устройство песчаной засыпки монолитного ж/б канала песком средней крупности</t>
  </si>
  <si>
    <t>Земляные работы под монолитный ж/б канал в осях 5-6</t>
  </si>
  <si>
    <t>Привозка недостающего грунта для обратной засыпки (86,4м3)</t>
  </si>
  <si>
    <t>Установка плиты ВП-16-6, массой 0,38 т из Бетона В22,5 W6 F150 (13шт.)</t>
  </si>
  <si>
    <t>Земляные работы под ж/б плиты для бесканальной прокладки трубопроводов в осях 2-3, 3-4, 4-5, 6-7, 7-8</t>
  </si>
  <si>
    <t>Привозка песка для обратной засыпки (468,4м3)</t>
  </si>
  <si>
    <t>Обратная засыпка песком механизированным способом</t>
  </si>
  <si>
    <t>Железобетонная плита в осях 2-3</t>
  </si>
  <si>
    <t>Устройство монолитных ж/б основания из бетона В30 W6 F200</t>
  </si>
  <si>
    <t>Огрунтовка поверхностей монолитных железобетонных плит за один раз</t>
  </si>
  <si>
    <t xml:space="preserve">Обмазка поверхностей монолитных железобетонных плит битумной мастикой за 2 раза </t>
  </si>
  <si>
    <t>Железобетонная плита в осях 3-4</t>
  </si>
  <si>
    <t>Железобетонная плита в осях 4-5</t>
  </si>
  <si>
    <t>Железобетонная плита в осях 6-7</t>
  </si>
  <si>
    <t>Железобетонная плита в осях 7-8</t>
  </si>
  <si>
    <t>Прокладка трубы Ст 159х5-1-ППУ-ПЭ  В 20</t>
  </si>
  <si>
    <t>Прокладка трубы Ст 159х5-1-ППУ-ОЦ оболочке</t>
  </si>
  <si>
    <t>Устройсвто изоляции стыка для ∅159/250 ГОСТ 30732-2006</t>
  </si>
  <si>
    <t>Установка отвода 90°159х6</t>
  </si>
  <si>
    <t>Установка отвода 60°159х6</t>
  </si>
  <si>
    <t>Прокладка трубы стальная бесшовная горячедеформированная Дн 45х5,0</t>
  </si>
  <si>
    <t>Контроль стыков ультразвуковым методом ∅159/250</t>
  </si>
  <si>
    <t>Установка крана шарового сварка/сварка "BALLOMAX" DN150</t>
  </si>
  <si>
    <t>Установка крана шарового сварка/сварка  "BALLOMAX" DN40</t>
  </si>
  <si>
    <t>Монтаж блока ФБС12.4.3-Т</t>
  </si>
  <si>
    <t>Устройство изоляции стыков ПЭ/ОЦ</t>
  </si>
  <si>
    <t>Покрытие кремнийорганической термостойкой эмалью КО-8101 (расход 100 г/м2 под-ти), за 2 раза</t>
  </si>
  <si>
    <t>Установка лестницы с площадкой для обслуживания арматуры</t>
  </si>
  <si>
    <t>Установка трубы стальной d=426 (Гильза)</t>
  </si>
  <si>
    <t>Прокладка ленты сигнальной</t>
  </si>
  <si>
    <t>Монолитный ж/б канал в осях 1-2</t>
  </si>
  <si>
    <t>Бетон В15</t>
  </si>
  <si>
    <t>Песок средней крупности</t>
  </si>
  <si>
    <t>Арматура ∅25-А400С</t>
  </si>
  <si>
    <t>Арматура ∅16-А400С</t>
  </si>
  <si>
    <t>Труба ∅426х5</t>
  </si>
  <si>
    <t>Монолитный ж/б канал в осях 5-6</t>
  </si>
  <si>
    <t>Арматура ∅10-А-²²²</t>
  </si>
  <si>
    <t>Арматура ∅8-А-²²²</t>
  </si>
  <si>
    <t>Труба Ст 159х5-1-ППУ-ПЭ  В 20</t>
  </si>
  <si>
    <t>Труба Ст 159х5-1-ППУ-ОЦ оболочке</t>
  </si>
  <si>
    <t>Комплект изоляции стыка для ∅159/250 ГОСТ 30732-2006</t>
  </si>
  <si>
    <t>Отвод 90°159х6</t>
  </si>
  <si>
    <t>Отвод 60°159х6</t>
  </si>
  <si>
    <t>Труба стальная бесшовная горячедеформированная Дн 45х5,0</t>
  </si>
  <si>
    <t>Кран шаровый сварка/сварка "BALLOMAX" DN150</t>
  </si>
  <si>
    <t>Кран шаровый сварка/сварка "BALLOMAX" DN40</t>
  </si>
  <si>
    <t>Блок ФБС12.4.3-Т</t>
  </si>
  <si>
    <t>Комплект изоляции стыков ПЭ/ОЦ</t>
  </si>
  <si>
    <t>Кремнийорганическая термостойкая эмаль КО-8101 (расход 100 г/м2 под-ти), за 2 раза</t>
  </si>
  <si>
    <t>Труба стальная d=426 (Гильза)</t>
  </si>
  <si>
    <t>Лента сигнальная</t>
  </si>
  <si>
    <t xml:space="preserve">131-23-АС4.ВР Эстакада. Архитектурно-строительные решения </t>
  </si>
  <si>
    <t>Устройство монолитных ж/б фундаментов эстакады вблизи корпуса 417</t>
  </si>
  <si>
    <t>Земляные работы под фундаменты Фм1 (4 шт.)</t>
  </si>
  <si>
    <t>Разработка сухого грунта в котловане</t>
  </si>
  <si>
    <t>Устройство монолитных железобетонных фундаментов  (Фм1) из бетона  кл. В25, W6, F100</t>
  </si>
  <si>
    <t>Устройство бетонной подготовки под фундаменты каркаса из бетона В10 толщиной 100 мм</t>
  </si>
  <si>
    <t>Очистка боковых поверхностей фундаментов от грязи и пыли перед обмазкой</t>
  </si>
  <si>
    <t xml:space="preserve">м2
</t>
  </si>
  <si>
    <t>Металлоконструкции</t>
  </si>
  <si>
    <t>Устройство металлических опор Оп -1, весом 1326кг (2,65т)</t>
  </si>
  <si>
    <t>Устройство металлических опор Оп -1а, весом 1357кг (2,71т)</t>
  </si>
  <si>
    <t>Установка металлической фермы, Ф-1, весом 1686,3 кг (1,69т)</t>
  </si>
  <si>
    <t>Установка металлической фермы, состоящей из 3-х полуферм. Ф-2, весом 4635,9 кг (4,63т)</t>
  </si>
  <si>
    <t>Установка металлической фермы, состоящей из 2-х полуферм. Ф-3, весом 2826 кг (2,82 т)</t>
  </si>
  <si>
    <t xml:space="preserve">Установка вертикальных связей эстакады </t>
  </si>
  <si>
    <t>Установка траверс, весом 108,7 кг  (0,544 т)</t>
  </si>
  <si>
    <t>Демонтаж элементов существующей эстакады вблизи корпуса 417</t>
  </si>
  <si>
    <t xml:space="preserve">Земляные работы  </t>
  </si>
  <si>
    <t>Демонтаж железобетонных конструкции</t>
  </si>
  <si>
    <t>Демонтаж монолитных железобетонных фундаментов  (53 т)</t>
  </si>
  <si>
    <t>Демонтаж металлоконструкций</t>
  </si>
  <si>
    <t>Демонтаж существующей опоры Оп-1весом 943 кг (3772кг)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</si>
  <si>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</si>
  <si>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</si>
  <si>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Демонтаж фермы Ф-1 весом 3076  кг</t>
  </si>
  <si>
    <t>Демонтаж фермы Ф-2 весом 3250  кг</t>
  </si>
  <si>
    <t>Демонтаж фермы Ф-3 весом 3020  кг</t>
  </si>
  <si>
    <t>Демонтаж деталей крепления трубопроводов  весом 50,5  кг (606 кг)</t>
  </si>
  <si>
    <t>Транспортировка демонтированных элементов на расстояние 25 км автосамосвалами</t>
  </si>
  <si>
    <t>Контактная сеть</t>
  </si>
  <si>
    <t xml:space="preserve">Демонтаж металлических опор контактной сети </t>
  </si>
  <si>
    <t>Демонтаж металлических опор (по типу М15/13 73) весом 0,559 т (1,677т)</t>
  </si>
  <si>
    <t>Демонтаж фундаментов 3 шт.</t>
  </si>
  <si>
    <t>Демонтаж железобетонных опор контактной сети МВМ</t>
  </si>
  <si>
    <t>Демонтаж ж/б опоры 1 шт.</t>
  </si>
  <si>
    <t>Демонтаж фундамента 1 шт.</t>
  </si>
  <si>
    <t>Монтаж металлических опор контактной сети МВМ</t>
  </si>
  <si>
    <t>Монтаж фундаментов 3 шт.</t>
  </si>
  <si>
    <t>Устройство подготовки под фундаменты из бетона класса В10, δ=100 мм</t>
  </si>
  <si>
    <t>Монтаж металлических опор</t>
  </si>
  <si>
    <t>Монтаж металлических опор (по типу М15/13-73) весом 0,559 т (1,677 т)</t>
  </si>
  <si>
    <t>Монтаж железобетонных опор контактной сети МВМ</t>
  </si>
  <si>
    <t>Бурение лидирующей скважины Ø450 мм глубиной 4,0м</t>
  </si>
  <si>
    <t>Монтаж ж/б фундамента (1 шт.)</t>
  </si>
  <si>
    <t>Монтаж ж/б опоры (1 шт.)</t>
  </si>
  <si>
    <t>Бетон  кл. В25, W6, F100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</si>
  <si>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</si>
  <si>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</si>
  <si>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</si>
  <si>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</si>
  <si>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</si>
  <si>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Металлическая опора Оп -1, весом 1326кг (2,65т)</t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</si>
  <si>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</si>
  <si>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</si>
  <si>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</si>
  <si>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</si>
  <si>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</si>
  <si>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Металлическая опора Оп -1а, весом 1357кг (2,71т)</t>
  </si>
  <si>
    <t>Металлическая ферма, Ф-1, весом 1686,3 кг (1,69т)</t>
  </si>
  <si>
    <t>Уг.125х10</t>
  </si>
  <si>
    <t>Уг.100х8</t>
  </si>
  <si>
    <t>Уг.63х6</t>
  </si>
  <si>
    <t xml:space="preserve">Лист стальной t=8 мм </t>
  </si>
  <si>
    <t xml:space="preserve">Лист стальной t=12 мм </t>
  </si>
  <si>
    <t xml:space="preserve">Лист стальной t=20 мм </t>
  </si>
  <si>
    <t>Металлическая ферма, состоящая из 3-х полуферм. Ф-2, весом 4635,9 кг (4,63т)</t>
  </si>
  <si>
    <t>Металлическая ферма, состоящая из 2-х полуферм. Ф-3, весом 2826 кг (2,82 т)</t>
  </si>
  <si>
    <t xml:space="preserve">Вертикальные связи эстакады </t>
  </si>
  <si>
    <t>Профили стальные гнутые замкнутые 100х60х4</t>
  </si>
  <si>
    <t>Траверса, весом 108,7 кг  (0,544 т)</t>
  </si>
  <si>
    <t xml:space="preserve">Грунтовка (ГФ021) </t>
  </si>
  <si>
    <t>Сборный ж/б фундамент по типу Ф1-1 (3 шт.)</t>
  </si>
  <si>
    <t>Металлическая опора (по типу М15/13-73) весом 0,559 т (1,677 т)</t>
  </si>
  <si>
    <t>Болт М20х65 (76 шт.)</t>
  </si>
  <si>
    <t>Гайка М20 (76 шт.)</t>
  </si>
  <si>
    <t>Шайба М20 (76 шт.)</t>
  </si>
  <si>
    <t>Пружинная шайба М20 (76 шт.)</t>
  </si>
  <si>
    <t>Болт М24х65 (40 шт.)</t>
  </si>
  <si>
    <t>Гайка М24 (40 шт.)</t>
  </si>
  <si>
    <t>Шайба М24 (40 шт.)</t>
  </si>
  <si>
    <t>Пружинная шайба М24 (40 шт.)</t>
  </si>
  <si>
    <t>Сборный ж/б трехлучевой фундамент (по типу ТСУ-60-4,0) весом 1,3 т</t>
  </si>
  <si>
    <t>Ж/б опора (по типу С136.7-4) весом 2,52 т</t>
  </si>
  <si>
    <t>Эстакада (АС4)</t>
  </si>
  <si>
    <t>Установка опознавательного столбика с табличкой</t>
  </si>
  <si>
    <t>нет данных о расстоянии перевозки</t>
  </si>
  <si>
    <t>Герметизация стыков манжетами</t>
  </si>
  <si>
    <t>в ВОР не учтено</t>
  </si>
  <si>
    <t>Уточнить надо расстояние. Перевозка грунта на 30км</t>
  </si>
  <si>
    <t>Вообще-то укладка трубы:)))</t>
  </si>
  <si>
    <t>Изоляция стального соединения</t>
  </si>
  <si>
    <t>в стоимости учтена + герметизация футляра при опуске в землю (в ВОР не учтена)</t>
  </si>
  <si>
    <t>А что обматывают? Может это ВУС изоляция так обозвана</t>
  </si>
  <si>
    <t>Устройство заделки футляра цемент м-400 (3 футляра)</t>
  </si>
  <si>
    <t>Вывоз демонтированного покрытия  на 25км</t>
  </si>
  <si>
    <t>Демонтаж ж/б опор (по типу С136.7-4) весом 2,52 т/ 1,005м3</t>
  </si>
  <si>
    <t>Демонтаж сборных ж/б фундаментов (по типу Ф1-1) весом 8,4 т (25,2т/ 10,2м3)</t>
  </si>
  <si>
    <t>Демонтаж сборных ж/б трехлучевых фундаментов (по типу ТСУ-60-4,0) весом 1,3 т/ 0,52м3  путем выдергивания</t>
  </si>
  <si>
    <t>Монтаж сборных ж/б фундаментов (по типу Ф1-1) весом 8,4 т (25,2т/ 10,2м3)</t>
  </si>
  <si>
    <t>Монтаж сборного ж/б трехлучевого фундамента (по типу ТСУ-60-4,0) весом 1,3 т методом вибропогружения в предварительно пробуренную скважину Ø450 мм (1,3т/ 0,52м3)</t>
  </si>
  <si>
    <t>Монтаж ж/б опоры (по типу С136.7-4) весом 2,52 т/ 1,005м3</t>
  </si>
  <si>
    <t>Устройсвто трубы Ø426х5 - 0,054т</t>
  </si>
  <si>
    <t>неизвестно расстояние</t>
  </si>
  <si>
    <t>Устройство анкерного болта (0,82кг/2 шт.)</t>
  </si>
  <si>
    <t>Установка колец с днищем КДЦ-10-9/ 0,33м3</t>
  </si>
  <si>
    <t xml:space="preserve">Демонтаж существующего асфальтового покрытия </t>
  </si>
  <si>
    <t>нет в ВОР</t>
  </si>
  <si>
    <t>Битум БН 50/50</t>
  </si>
  <si>
    <t>Необъяснимая вещь</t>
  </si>
  <si>
    <t>учтены в смете, в ВОР  нет</t>
  </si>
  <si>
    <t>Показатели контракта, тыс.руб</t>
  </si>
  <si>
    <t>Стоимость контракта (с НДС)</t>
  </si>
  <si>
    <t>ПРИБЫЛИ И УБЫТКИ, тыс. руб. (без НДС)</t>
  </si>
  <si>
    <t>2023-2024 Ф (1.95)</t>
  </si>
  <si>
    <t>вер. 1.94 - добавлен факт затрат за 08 и 09</t>
  </si>
  <si>
    <t>2023-2024 П (вер. 1.93)</t>
  </si>
  <si>
    <t>Конкурс</t>
  </si>
  <si>
    <t>Выручка (TOTAL REVENUE)</t>
  </si>
  <si>
    <t>Себестоимость (CoGS)</t>
  </si>
  <si>
    <t>Разовые затраты</t>
  </si>
  <si>
    <t>Банковские и финансовые услуги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</si>
  <si>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</si>
  <si>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</si>
  <si>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</si>
  <si>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</si>
  <si>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Проценты по долгу</t>
  </si>
  <si>
    <t>Прибыль до вычета налогов (EBT)</t>
  </si>
  <si>
    <t>Налог на прибыль (TAXES)</t>
  </si>
  <si>
    <t>Чистая прибыль (NET INCOME)</t>
  </si>
  <si>
    <t>Чистая прибыль, %</t>
  </si>
  <si>
    <t>НДС (VAT)</t>
  </si>
  <si>
    <t>Премия команды проекта 10% с выводом через Дивиденды 16%</t>
  </si>
  <si>
    <t xml:space="preserve">Дивиденды под 16% </t>
  </si>
  <si>
    <t>Чистая прибыль с НДС</t>
  </si>
  <si>
    <t>Дивиденды Партнер 1</t>
  </si>
  <si>
    <t>Дивиденды Партнер 2</t>
  </si>
  <si>
    <t>Сумма падения</t>
  </si>
  <si>
    <t>Стоимость контракта с НДС после падения</t>
  </si>
  <si>
    <t>Отвозка демонтированного оборудования самосвалами на расстояние до 1 км</t>
  </si>
  <si>
    <t>Исключенный объем</t>
  </si>
  <si>
    <t>Итого исключено с НДС</t>
  </si>
  <si>
    <t>Раздел</t>
  </si>
  <si>
    <t>СМР</t>
  </si>
  <si>
    <t>Материал</t>
  </si>
  <si>
    <t>Пути</t>
  </si>
  <si>
    <t>Коммуникации</t>
  </si>
  <si>
    <t>Эстакада</t>
  </si>
  <si>
    <t>Всего</t>
  </si>
  <si>
    <t>земляные грубо 1/3 объема</t>
  </si>
  <si>
    <t>стало</t>
  </si>
  <si>
    <t>было</t>
  </si>
  <si>
    <t>вывалилось</t>
  </si>
  <si>
    <t>6. ГСН минус 42м трассы</t>
  </si>
  <si>
    <t>Изменения</t>
  </si>
  <si>
    <t>1. НВК5 - К1 9-9б исключен</t>
  </si>
  <si>
    <t>2. НВК5 - К2 24-25 исключен</t>
  </si>
  <si>
    <t>3. НВК5 - труба на участке 26-27 исключена</t>
  </si>
  <si>
    <t>4. НВК3 В1-26-В1-27 исключен</t>
  </si>
  <si>
    <t>5. НВК1 футляр под трансбордером исключен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</si>
</sst>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  <numFmt numFmtId="171" formatCode="_-* #,##0.0_-;\-* #,##0.0_-;_-* &quot;-&quot;??_-;_-@_-"/>
    <numFmt numFmtId="172" formatCode="_-* #,##0.0000_-;\-* #,##0.0000_-;_-* &quot;-&quot;??_-;_-@_-"/>
    <numFmt numFmtId="173" formatCode="#,##0.0"/>
    <numFmt numFmtId="174" formatCode="#\ ##0"/>
    <numFmt numFmtId="175" formatCode="0.0%"/>
    <numFmt numFmtId="176" formatCode="_-* #,##0.0000\ _₽_-;\-* #,##0.0000\ _₽_-;_-* &quot;-&quot;????\ _₽_-;_-@_-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</font>
    <font>
      <i/>
      <sz val="11"/>
      <color rgb="FF3C78D8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7F7F7F"/>
      <name val="Calibri"/>
      <family val="2"/>
      <charset val="204"/>
    </font>
    <font>
      <sz val="10"/>
      <color rgb="FFD9D9D9"/>
      <name val="Calibri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theme="1" tint="0.34998626667073579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2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0" fontId="0" fillId="7" borderId="0" xfId="0" applyFill="1"/>
    <xf numFmtId="9" fontId="0" fillId="0" borderId="0" xfId="2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7" fillId="0" borderId="1" xfId="4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8" fillId="0" borderId="1" xfId="4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170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center" wrapText="1"/>
    </xf>
    <xf numFmtId="43" fontId="7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3" fontId="11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65" fontId="13" fillId="0" borderId="1" xfId="1" applyNumberFormat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43" fontId="11" fillId="7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43" fontId="11" fillId="7" borderId="1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center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horizontal="left" vertical="center" wrapText="1"/>
    </xf>
    <xf numFmtId="165" fontId="11" fillId="0" borderId="3" xfId="1" applyNumberFormat="1" applyFont="1" applyBorder="1" applyAlignment="1">
      <alignment horizontal="left" vertical="center" wrapText="1"/>
    </xf>
    <xf numFmtId="43" fontId="11" fillId="7" borderId="3" xfId="1" applyFont="1" applyFill="1" applyBorder="1" applyAlignment="1">
      <alignment horizontal="left" vertical="center" wrapText="1"/>
    </xf>
    <xf numFmtId="171" fontId="11" fillId="7" borderId="3" xfId="1" applyNumberFormat="1" applyFont="1" applyFill="1" applyBorder="1" applyAlignment="1">
      <alignment horizontal="left" vertical="center" wrapText="1"/>
    </xf>
    <xf numFmtId="165" fontId="11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4" fillId="8" borderId="1" xfId="0" applyFont="1" applyFill="1" applyBorder="1" applyAlignment="1">
      <alignment vertical="center" wrapText="1"/>
    </xf>
    <xf numFmtId="3" fontId="14" fillId="8" borderId="1" xfId="0" applyNumberFormat="1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43" fontId="11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1" fillId="0" borderId="1" xfId="0" applyFont="1" applyBorder="1"/>
    <xf numFmtId="0" fontId="11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1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1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1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65" fontId="11" fillId="8" borderId="1" xfId="1" applyNumberFormat="1" applyFont="1" applyFill="1" applyBorder="1" applyAlignment="1">
      <alignment vertical="center"/>
    </xf>
    <xf numFmtId="165" fontId="11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0" borderId="0" xfId="0" applyFont="1"/>
    <xf numFmtId="166" fontId="11" fillId="0" borderId="1" xfId="0" applyNumberFormat="1" applyFont="1" applyBorder="1"/>
    <xf numFmtId="0" fontId="13" fillId="7" borderId="7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vertical="center" wrapText="1"/>
    </xf>
    <xf numFmtId="0" fontId="13" fillId="8" borderId="7" xfId="0" applyFont="1" applyFill="1" applyBorder="1" applyAlignment="1">
      <alignment horizontal="center" vertical="center"/>
    </xf>
    <xf numFmtId="4" fontId="13" fillId="8" borderId="1" xfId="0" applyNumberFormat="1" applyFont="1" applyFill="1" applyBorder="1" applyAlignment="1">
      <alignment horizontal="left" vertical="center" wrapText="1"/>
    </xf>
    <xf numFmtId="166" fontId="11" fillId="8" borderId="1" xfId="0" applyNumberFormat="1" applyFont="1" applyFill="1" applyBorder="1" applyAlignment="1">
      <alignment horizontal="left" vertical="center"/>
    </xf>
    <xf numFmtId="166" fontId="11" fillId="8" borderId="1" xfId="0" applyNumberFormat="1" applyFont="1" applyFill="1" applyBorder="1"/>
    <xf numFmtId="43" fontId="13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 wrapText="1"/>
    </xf>
    <xf numFmtId="4" fontId="13" fillId="7" borderId="1" xfId="0" applyNumberFormat="1" applyFont="1" applyFill="1" applyBorder="1" applyAlignment="1">
      <alignment horizontal="left" vertical="center" wrapText="1"/>
    </xf>
    <xf numFmtId="1" fontId="11" fillId="7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6" fontId="11" fillId="8" borderId="1" xfId="0" applyNumberFormat="1" applyFont="1" applyFill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0" applyNumberFormat="1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vertical="center" wrapText="1"/>
    </xf>
    <xf numFmtId="4" fontId="7" fillId="8" borderId="1" xfId="0" applyNumberFormat="1" applyFont="1" applyFill="1" applyBorder="1" applyAlignment="1">
      <alignment vertical="center" wrapText="1"/>
    </xf>
    <xf numFmtId="166" fontId="7" fillId="8" borderId="1" xfId="0" applyNumberFormat="1" applyFont="1" applyFill="1" applyBorder="1" applyAlignment="1">
      <alignment vertical="center" wrapText="1"/>
    </xf>
    <xf numFmtId="165" fontId="7" fillId="8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43" fontId="9" fillId="7" borderId="1" xfId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3" fontId="11" fillId="11" borderId="1" xfId="1" applyFont="1" applyFill="1" applyBorder="1" applyAlignment="1">
      <alignment vertical="center"/>
    </xf>
    <xf numFmtId="43" fontId="13" fillId="11" borderId="1" xfId="1" applyFont="1" applyFill="1" applyBorder="1"/>
    <xf numFmtId="43" fontId="11" fillId="11" borderId="1" xfId="1" applyFont="1" applyFill="1" applyBorder="1" applyAlignment="1">
      <alignment horizontal="right" vertical="center"/>
    </xf>
    <xf numFmtId="43" fontId="13" fillId="11" borderId="1" xfId="1" applyFont="1" applyFill="1" applyBorder="1" applyAlignment="1">
      <alignment horizontal="center" vertical="center"/>
    </xf>
    <xf numFmtId="43" fontId="11" fillId="10" borderId="1" xfId="1" applyFont="1" applyFill="1" applyBorder="1" applyAlignment="1">
      <alignment vertical="center"/>
    </xf>
    <xf numFmtId="43" fontId="11" fillId="10" borderId="1" xfId="1" applyFont="1" applyFill="1" applyBorder="1" applyAlignment="1">
      <alignment horizontal="right" vertical="center"/>
    </xf>
    <xf numFmtId="43" fontId="13" fillId="10" borderId="1" xfId="1" applyFont="1" applyFill="1" applyBorder="1" applyAlignment="1">
      <alignment horizontal="center" vertical="center"/>
    </xf>
    <xf numFmtId="43" fontId="13" fillId="10" borderId="1" xfId="1" applyFont="1" applyFill="1" applyBorder="1"/>
    <xf numFmtId="0" fontId="6" fillId="0" borderId="1" xfId="0" applyFont="1" applyBorder="1" applyAlignment="1">
      <alignment vertical="center"/>
    </xf>
    <xf numFmtId="43" fontId="6" fillId="0" borderId="1" xfId="1" applyNumberFormat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1" fillId="7" borderId="1" xfId="1" applyFont="1" applyFill="1" applyBorder="1" applyAlignment="1">
      <alignment horizontal="right" vertical="center" wrapText="1"/>
    </xf>
    <xf numFmtId="171" fontId="11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6" fillId="0" borderId="1" xfId="4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43" fontId="7" fillId="0" borderId="1" xfId="1" applyFont="1" applyBorder="1"/>
    <xf numFmtId="0" fontId="6" fillId="0" borderId="3" xfId="0" applyFont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wrapText="1"/>
    </xf>
    <xf numFmtId="1" fontId="6" fillId="12" borderId="1" xfId="0" applyNumberFormat="1" applyFont="1" applyFill="1" applyBorder="1" applyAlignment="1">
      <alignment vertical="center" wrapText="1"/>
    </xf>
    <xf numFmtId="43" fontId="10" fillId="12" borderId="1" xfId="1" applyFont="1" applyFill="1" applyBorder="1" applyAlignment="1">
      <alignment horizontal="center" vertical="center" wrapText="1"/>
    </xf>
    <xf numFmtId="43" fontId="11" fillId="12" borderId="1" xfId="1" applyFont="1" applyFill="1" applyBorder="1" applyAlignment="1">
      <alignment vertical="center"/>
    </xf>
    <xf numFmtId="0" fontId="6" fillId="12" borderId="3" xfId="4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6" fillId="12" borderId="1" xfId="4" applyFont="1" applyFill="1" applyBorder="1" applyAlignment="1">
      <alignment horizontal="left" vertical="center" wrapText="1"/>
    </xf>
    <xf numFmtId="2" fontId="6" fillId="12" borderId="1" xfId="0" applyNumberFormat="1" applyFont="1" applyFill="1" applyBorder="1" applyAlignment="1">
      <alignment vertical="center" wrapText="1"/>
    </xf>
    <xf numFmtId="167" fontId="6" fillId="12" borderId="1" xfId="0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vertical="center" wrapText="1"/>
    </xf>
    <xf numFmtId="167" fontId="6" fillId="7" borderId="1" xfId="0" applyNumberFormat="1" applyFont="1" applyFill="1" applyBorder="1" applyAlignment="1">
      <alignment vertical="center" wrapText="1"/>
    </xf>
    <xf numFmtId="168" fontId="6" fillId="12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1" xfId="4" applyFont="1" applyBorder="1" applyAlignment="1">
      <alignment horizontal="left" vertical="center" wrapText="1"/>
    </xf>
    <xf numFmtId="1" fontId="6" fillId="12" borderId="1" xfId="0" applyNumberFormat="1" applyFont="1" applyFill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2" fontId="6" fillId="12" borderId="1" xfId="0" applyNumberFormat="1" applyFont="1" applyFill="1" applyBorder="1" applyAlignment="1">
      <alignment horizontal="right" vertical="center" wrapText="1"/>
    </xf>
    <xf numFmtId="49" fontId="6" fillId="12" borderId="1" xfId="3" applyNumberFormat="1" applyFont="1" applyFill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center" wrapText="1"/>
    </xf>
    <xf numFmtId="167" fontId="6" fillId="12" borderId="1" xfId="0" applyNumberFormat="1" applyFont="1" applyFill="1" applyBorder="1" applyAlignment="1">
      <alignment horizontal="right" vertical="center" wrapText="1"/>
    </xf>
    <xf numFmtId="1" fontId="6" fillId="7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7" fillId="0" borderId="0" xfId="0" applyFont="1" applyAlignment="1">
      <alignment horizontal="left"/>
    </xf>
    <xf numFmtId="165" fontId="19" fillId="0" borderId="0" xfId="1" applyNumberFormat="1" applyFont="1" applyAlignment="1">
      <alignment wrapText="1"/>
    </xf>
    <xf numFmtId="1" fontId="16" fillId="12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6" fillId="7" borderId="1" xfId="4" applyFont="1" applyFill="1" applyBorder="1" applyAlignment="1">
      <alignment horizontal="left" vertical="center" wrapText="1"/>
    </xf>
    <xf numFmtId="0" fontId="0" fillId="12" borderId="0" xfId="0" applyFill="1"/>
    <xf numFmtId="43" fontId="11" fillId="7" borderId="1" xfId="1" applyNumberFormat="1" applyFont="1" applyFill="1" applyBorder="1" applyAlignment="1">
      <alignment vertical="center"/>
    </xf>
    <xf numFmtId="49" fontId="6" fillId="7" borderId="1" xfId="3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7" borderId="1" xfId="0" applyFont="1" applyFill="1" applyBorder="1" applyAlignment="1">
      <alignment horizontal="center" wrapText="1"/>
    </xf>
    <xf numFmtId="0" fontId="6" fillId="7" borderId="1" xfId="3" applyFont="1" applyFill="1" applyBorder="1" applyAlignment="1">
      <alignment horizontal="center" vertical="center" wrapText="1"/>
    </xf>
    <xf numFmtId="1" fontId="6" fillId="7" borderId="1" xfId="3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0" fontId="6" fillId="7" borderId="1" xfId="3" applyNumberFormat="1" applyFont="1" applyFill="1" applyBorder="1" applyAlignment="1">
      <alignment horizontal="right" vertical="center"/>
    </xf>
    <xf numFmtId="2" fontId="6" fillId="7" borderId="1" xfId="3" applyNumberFormat="1" applyFont="1" applyFill="1" applyBorder="1" applyAlignment="1">
      <alignment horizontal="right" vertical="center"/>
    </xf>
    <xf numFmtId="165" fontId="19" fillId="0" borderId="0" xfId="1" applyNumberFormat="1" applyFont="1" applyAlignment="1">
      <alignment vertical="center"/>
    </xf>
    <xf numFmtId="165" fontId="19" fillId="0" borderId="0" xfId="1" applyNumberFormat="1" applyFont="1" applyAlignment="1">
      <alignment horizontal="left" vertical="center"/>
    </xf>
    <xf numFmtId="2" fontId="6" fillId="7" borderId="1" xfId="0" applyNumberFormat="1" applyFont="1" applyFill="1" applyBorder="1" applyAlignment="1">
      <alignment horizontal="right" vertical="center" wrapText="1"/>
    </xf>
    <xf numFmtId="0" fontId="8" fillId="7" borderId="1" xfId="4" applyFont="1" applyFill="1" applyBorder="1" applyAlignment="1">
      <alignment horizontal="left" vertical="center" wrapText="1"/>
    </xf>
    <xf numFmtId="169" fontId="18" fillId="7" borderId="1" xfId="0" applyNumberFormat="1" applyFont="1" applyFill="1" applyBorder="1" applyAlignment="1">
      <alignment horizontal="right" vertical="center" wrapText="1"/>
    </xf>
    <xf numFmtId="167" fontId="6" fillId="7" borderId="1" xfId="0" applyNumberFormat="1" applyFont="1" applyFill="1" applyBorder="1" applyAlignment="1">
      <alignment horizontal="right" vertical="center" wrapText="1"/>
    </xf>
    <xf numFmtId="168" fontId="6" fillId="7" borderId="1" xfId="0" applyNumberFormat="1" applyFont="1" applyFill="1" applyBorder="1" applyAlignment="1">
      <alignment horizontal="right" vertical="center" wrapText="1"/>
    </xf>
    <xf numFmtId="0" fontId="6" fillId="7" borderId="3" xfId="4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vertical="center"/>
    </xf>
    <xf numFmtId="167" fontId="6" fillId="7" borderId="4" xfId="0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 wrapText="1"/>
    </xf>
    <xf numFmtId="165" fontId="17" fillId="0" borderId="0" xfId="1" applyNumberFormat="1" applyFont="1"/>
    <xf numFmtId="0" fontId="17" fillId="0" borderId="0" xfId="0" applyFont="1" applyBorder="1" applyAlignment="1">
      <alignment horizontal="left" vertical="center"/>
    </xf>
    <xf numFmtId="0" fontId="17" fillId="7" borderId="0" xfId="0" applyFont="1" applyFill="1"/>
    <xf numFmtId="0" fontId="7" fillId="0" borderId="7" xfId="0" applyFont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165" fontId="11" fillId="7" borderId="1" xfId="1" applyNumberFormat="1" applyFont="1" applyFill="1" applyBorder="1"/>
    <xf numFmtId="49" fontId="7" fillId="7" borderId="1" xfId="3" applyNumberFormat="1" applyFont="1" applyFill="1" applyBorder="1" applyAlignment="1">
      <alignment horizontal="center" vertical="center" wrapText="1"/>
    </xf>
    <xf numFmtId="168" fontId="6" fillId="7" borderId="1" xfId="0" applyNumberFormat="1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168" fontId="8" fillId="7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43" fontId="0" fillId="7" borderId="0" xfId="1" applyNumberFormat="1" applyFont="1" applyFill="1" applyAlignment="1">
      <alignment horizontal="left" vertical="center" indent="1"/>
    </xf>
    <xf numFmtId="43" fontId="20" fillId="12" borderId="1" xfId="1" applyFont="1" applyFill="1" applyBorder="1" applyAlignment="1">
      <alignment horizontal="center" vertical="center" wrapText="1"/>
    </xf>
    <xf numFmtId="165" fontId="17" fillId="0" borderId="0" xfId="1" applyNumberFormat="1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vertical="center" wrapText="1"/>
    </xf>
    <xf numFmtId="43" fontId="11" fillId="0" borderId="1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43" fontId="12" fillId="0" borderId="1" xfId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vertical="center" wrapText="1"/>
    </xf>
    <xf numFmtId="43" fontId="12" fillId="0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168" fontId="6" fillId="0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166" fontId="11" fillId="7" borderId="1" xfId="0" applyNumberFormat="1" applyFont="1" applyFill="1" applyBorder="1"/>
    <xf numFmtId="0" fontId="11" fillId="7" borderId="1" xfId="0" applyFont="1" applyFill="1" applyBorder="1"/>
    <xf numFmtId="0" fontId="7" fillId="0" borderId="7" xfId="0" applyFont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vertical="center"/>
    </xf>
    <xf numFmtId="0" fontId="6" fillId="0" borderId="3" xfId="4" applyFont="1" applyFill="1" applyBorder="1" applyAlignment="1">
      <alignment horizontal="left" vertical="center" wrapText="1"/>
    </xf>
    <xf numFmtId="43" fontId="11" fillId="0" borderId="1" xfId="1" applyNumberFormat="1" applyFont="1" applyFill="1" applyBorder="1" applyAlignment="1">
      <alignment vertical="center"/>
    </xf>
    <xf numFmtId="0" fontId="0" fillId="0" borderId="0" xfId="0" applyFill="1"/>
    <xf numFmtId="0" fontId="17" fillId="0" borderId="0" xfId="0" applyFont="1" applyFill="1"/>
    <xf numFmtId="43" fontId="13" fillId="5" borderId="1" xfId="1" applyFont="1" applyFill="1" applyBorder="1" applyAlignment="1">
      <alignment vertical="center"/>
    </xf>
    <xf numFmtId="43" fontId="7" fillId="5" borderId="1" xfId="0" applyNumberFormat="1" applyFont="1" applyFill="1" applyBorder="1" applyAlignment="1">
      <alignment vertical="top" wrapText="1"/>
    </xf>
    <xf numFmtId="43" fontId="13" fillId="5" borderId="1" xfId="1" applyFont="1" applyFill="1" applyBorder="1"/>
    <xf numFmtId="43" fontId="11" fillId="5" borderId="1" xfId="1" applyFont="1" applyFill="1" applyBorder="1"/>
    <xf numFmtId="165" fontId="7" fillId="5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vertical="center" wrapText="1"/>
    </xf>
    <xf numFmtId="165" fontId="0" fillId="0" borderId="0" xfId="1" applyNumberFormat="1" applyFont="1" applyFill="1"/>
    <xf numFmtId="1" fontId="11" fillId="0" borderId="1" xfId="0" applyNumberFormat="1" applyFont="1" applyFill="1" applyBorder="1" applyAlignment="1">
      <alignment vertical="center" wrapText="1"/>
    </xf>
    <xf numFmtId="165" fontId="17" fillId="0" borderId="0" xfId="1" applyNumberFormat="1" applyFont="1" applyFill="1"/>
    <xf numFmtId="0" fontId="11" fillId="0" borderId="1" xfId="4" applyFont="1" applyBorder="1" applyAlignment="1">
      <alignment horizontal="left" vertical="center" wrapText="1"/>
    </xf>
    <xf numFmtId="169" fontId="18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1" fontId="18" fillId="0" borderId="0" xfId="0" applyNumberFormat="1" applyFont="1" applyFill="1" applyBorder="1" applyAlignment="1">
      <alignment horizontal="right" vertical="center" wrapText="1"/>
    </xf>
    <xf numFmtId="0" fontId="0" fillId="0" borderId="12" xfId="0" applyFill="1" applyBorder="1"/>
    <xf numFmtId="169" fontId="18" fillId="0" borderId="12" xfId="0" applyNumberFormat="1" applyFont="1" applyFill="1" applyBorder="1" applyAlignment="1">
      <alignment horizontal="right" vertical="center" wrapText="1"/>
    </xf>
    <xf numFmtId="0" fontId="21" fillId="0" borderId="0" xfId="0" applyFont="1"/>
    <xf numFmtId="0" fontId="17" fillId="0" borderId="0" xfId="0" applyFont="1" applyFill="1" applyAlignment="1">
      <alignment horizontal="left"/>
    </xf>
    <xf numFmtId="165" fontId="7" fillId="5" borderId="1" xfId="0" applyNumberFormat="1" applyFont="1" applyFill="1" applyBorder="1" applyAlignment="1">
      <alignment horizontal="left" vertical="center" wrapText="1"/>
    </xf>
    <xf numFmtId="165" fontId="2" fillId="5" borderId="1" xfId="1" applyNumberFormat="1" applyFont="1" applyFill="1" applyBorder="1"/>
    <xf numFmtId="165" fontId="13" fillId="5" borderId="1" xfId="1" applyNumberFormat="1" applyFont="1" applyFill="1" applyBorder="1"/>
    <xf numFmtId="0" fontId="7" fillId="8" borderId="8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 wrapText="1"/>
    </xf>
    <xf numFmtId="174" fontId="23" fillId="13" borderId="0" xfId="5" applyNumberFormat="1" applyFont="1" applyFill="1"/>
    <xf numFmtId="174" fontId="23" fillId="13" borderId="0" xfId="5" applyNumberFormat="1" applyFont="1" applyFill="1" applyAlignment="1">
      <alignment horizontal="center"/>
    </xf>
    <xf numFmtId="174" fontId="24" fillId="13" borderId="0" xfId="5" applyNumberFormat="1" applyFont="1" applyFill="1" applyAlignment="1">
      <alignment horizontal="center" vertical="center"/>
    </xf>
    <xf numFmtId="0" fontId="22" fillId="0" borderId="0" xfId="5"/>
    <xf numFmtId="174" fontId="23" fillId="14" borderId="0" xfId="5" applyNumberFormat="1" applyFont="1" applyFill="1" applyAlignment="1">
      <alignment horizontal="left" vertical="center"/>
    </xf>
    <xf numFmtId="174" fontId="23" fillId="14" borderId="0" xfId="5" applyNumberFormat="1" applyFont="1" applyFill="1" applyAlignment="1">
      <alignment horizontal="center" vertical="center"/>
    </xf>
    <xf numFmtId="0" fontId="22" fillId="0" borderId="0" xfId="5" applyAlignment="1">
      <alignment horizontal="center" vertical="center"/>
    </xf>
    <xf numFmtId="0" fontId="25" fillId="0" borderId="0" xfId="5" applyFont="1"/>
    <xf numFmtId="3" fontId="25" fillId="0" borderId="0" xfId="5" applyNumberFormat="1" applyFont="1" applyAlignment="1">
      <alignment horizontal="center" vertical="center"/>
    </xf>
    <xf numFmtId="174" fontId="23" fillId="14" borderId="0" xfId="5" applyNumberFormat="1" applyFont="1" applyFill="1" applyAlignment="1">
      <alignment horizontal="center" vertical="center" wrapText="1"/>
    </xf>
    <xf numFmtId="174" fontId="23" fillId="15" borderId="0" xfId="5" applyNumberFormat="1" applyFont="1" applyFill="1" applyAlignment="1">
      <alignment horizontal="center" vertical="center"/>
    </xf>
    <xf numFmtId="174" fontId="23" fillId="16" borderId="0" xfId="5" applyNumberFormat="1" applyFont="1" applyFill="1" applyAlignment="1">
      <alignment horizontal="center"/>
    </xf>
    <xf numFmtId="174" fontId="25" fillId="0" borderId="0" xfId="5" applyNumberFormat="1" applyFont="1" applyAlignment="1">
      <alignment horizontal="left"/>
    </xf>
    <xf numFmtId="174" fontId="25" fillId="0" borderId="16" xfId="5" applyNumberFormat="1" applyFont="1" applyBorder="1" applyAlignment="1">
      <alignment horizontal="center" vertical="center"/>
    </xf>
    <xf numFmtId="3" fontId="26" fillId="0" borderId="0" xfId="5" applyNumberFormat="1" applyFont="1" applyAlignment="1">
      <alignment horizontal="center" vertical="center"/>
    </xf>
    <xf numFmtId="174" fontId="27" fillId="0" borderId="19" xfId="5" applyNumberFormat="1" applyFont="1" applyBorder="1"/>
    <xf numFmtId="174" fontId="27" fillId="0" borderId="20" xfId="5" applyNumberFormat="1" applyFont="1" applyBorder="1" applyAlignment="1">
      <alignment horizontal="center" vertical="center"/>
    </xf>
    <xf numFmtId="174" fontId="28" fillId="0" borderId="0" xfId="5" applyNumberFormat="1" applyFont="1"/>
    <xf numFmtId="9" fontId="28" fillId="0" borderId="16" xfId="5" applyNumberFormat="1" applyFont="1" applyBorder="1" applyAlignment="1">
      <alignment horizontal="center" vertical="center"/>
    </xf>
    <xf numFmtId="174" fontId="25" fillId="0" borderId="0" xfId="5" applyNumberFormat="1" applyFont="1"/>
    <xf numFmtId="0" fontId="26" fillId="0" borderId="0" xfId="5" applyFont="1"/>
    <xf numFmtId="174" fontId="29" fillId="0" borderId="0" xfId="5" applyNumberFormat="1" applyFont="1"/>
    <xf numFmtId="174" fontId="29" fillId="0" borderId="16" xfId="5" applyNumberFormat="1" applyFont="1" applyBorder="1" applyAlignment="1">
      <alignment horizontal="center"/>
    </xf>
    <xf numFmtId="175" fontId="28" fillId="0" borderId="16" xfId="5" applyNumberFormat="1" applyFont="1" applyBorder="1" applyAlignment="1">
      <alignment horizontal="center" vertical="center"/>
    </xf>
    <xf numFmtId="174" fontId="30" fillId="0" borderId="0" xfId="5" applyNumberFormat="1" applyFont="1" applyAlignment="1">
      <alignment horizontal="left"/>
    </xf>
    <xf numFmtId="174" fontId="30" fillId="0" borderId="16" xfId="5" applyNumberFormat="1" applyFont="1" applyBorder="1" applyAlignment="1">
      <alignment horizontal="center" vertical="center"/>
    </xf>
    <xf numFmtId="174" fontId="28" fillId="0" borderId="16" xfId="5" applyNumberFormat="1" applyFont="1" applyBorder="1" applyAlignment="1">
      <alignment horizontal="center"/>
    </xf>
    <xf numFmtId="174" fontId="28" fillId="0" borderId="0" xfId="5" applyNumberFormat="1" applyFont="1" applyAlignment="1">
      <alignment horizontal="center"/>
    </xf>
    <xf numFmtId="0" fontId="26" fillId="0" borderId="0" xfId="5" applyFont="1" applyAlignment="1">
      <alignment horizontal="center" vertical="center"/>
    </xf>
    <xf numFmtId="174" fontId="25" fillId="0" borderId="0" xfId="5" applyNumberFormat="1" applyFont="1" applyAlignment="1">
      <alignment horizontal="center" vertical="center"/>
    </xf>
    <xf numFmtId="174" fontId="31" fillId="0" borderId="16" xfId="5" applyNumberFormat="1" applyFont="1" applyBorder="1" applyAlignment="1">
      <alignment horizontal="center" vertical="center"/>
    </xf>
    <xf numFmtId="174" fontId="31" fillId="0" borderId="0" xfId="5" applyNumberFormat="1" applyFont="1" applyAlignment="1">
      <alignment horizontal="center" vertical="center"/>
    </xf>
    <xf numFmtId="174" fontId="25" fillId="17" borderId="16" xfId="5" applyNumberFormat="1" applyFont="1" applyFill="1" applyBorder="1" applyAlignment="1">
      <alignment horizontal="center" vertical="center"/>
    </xf>
    <xf numFmtId="174" fontId="25" fillId="17" borderId="0" xfId="5" applyNumberFormat="1" applyFont="1" applyFill="1" applyAlignment="1">
      <alignment horizontal="center" vertical="center"/>
    </xf>
    <xf numFmtId="174" fontId="27" fillId="0" borderId="0" xfId="5" applyNumberFormat="1" applyFont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9" fontId="0" fillId="0" borderId="0" xfId="0" applyNumberFormat="1"/>
    <xf numFmtId="167" fontId="11" fillId="0" borderId="1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/>
    </xf>
    <xf numFmtId="165" fontId="11" fillId="0" borderId="1" xfId="1" applyNumberFormat="1" applyFont="1" applyFill="1" applyBorder="1"/>
    <xf numFmtId="0" fontId="11" fillId="0" borderId="1" xfId="3" applyFont="1" applyFill="1" applyBorder="1" applyAlignment="1">
      <alignment vertical="center" wrapText="1"/>
    </xf>
    <xf numFmtId="1" fontId="11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right" vertical="center"/>
    </xf>
    <xf numFmtId="3" fontId="11" fillId="0" borderId="1" xfId="3" applyNumberFormat="1" applyFont="1" applyFill="1" applyBorder="1" applyAlignment="1">
      <alignment horizontal="center" vertical="center"/>
    </xf>
    <xf numFmtId="2" fontId="11" fillId="0" borderId="1" xfId="3" applyNumberFormat="1" applyFont="1" applyFill="1" applyBorder="1" applyAlignment="1">
      <alignment horizontal="center" vertical="center"/>
    </xf>
    <xf numFmtId="1" fontId="11" fillId="0" borderId="1" xfId="3" applyNumberFormat="1" applyFont="1" applyFill="1" applyBorder="1" applyAlignment="1">
      <alignment horizontal="center" vertical="center" wrapText="1"/>
    </xf>
    <xf numFmtId="49" fontId="11" fillId="0" borderId="1" xfId="3" applyNumberFormat="1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vertical="center" wrapText="1"/>
    </xf>
    <xf numFmtId="0" fontId="13" fillId="0" borderId="8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left" vertical="center" wrapText="1"/>
    </xf>
    <xf numFmtId="166" fontId="13" fillId="0" borderId="1" xfId="0" applyNumberFormat="1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right" vertical="center" wrapText="1"/>
    </xf>
    <xf numFmtId="168" fontId="11" fillId="0" borderId="1" xfId="0" applyNumberFormat="1" applyFont="1" applyFill="1" applyBorder="1" applyAlignment="1">
      <alignment horizontal="right" vertical="center" wrapText="1"/>
    </xf>
    <xf numFmtId="167" fontId="11" fillId="0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right" vertical="center" wrapText="1"/>
    </xf>
    <xf numFmtId="0" fontId="13" fillId="0" borderId="3" xfId="4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0" fontId="13" fillId="0" borderId="3" xfId="4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172" fontId="11" fillId="0" borderId="1" xfId="1" applyNumberFormat="1" applyFont="1" applyFill="1" applyBorder="1" applyAlignment="1">
      <alignment vertical="center"/>
    </xf>
    <xf numFmtId="165" fontId="11" fillId="0" borderId="1" xfId="1" applyNumberFormat="1" applyFont="1" applyFill="1" applyBorder="1" applyAlignment="1">
      <alignment vertical="center"/>
    </xf>
    <xf numFmtId="176" fontId="0" fillId="0" borderId="0" xfId="0" applyNumberFormat="1"/>
    <xf numFmtId="43" fontId="11" fillId="0" borderId="7" xfId="1" applyFont="1" applyFill="1" applyBorder="1" applyAlignment="1">
      <alignment vertical="center"/>
    </xf>
    <xf numFmtId="169" fontId="11" fillId="0" borderId="1" xfId="0" applyNumberFormat="1" applyFont="1" applyFill="1" applyBorder="1" applyAlignment="1">
      <alignment horizontal="right" vertical="center" wrapText="1"/>
    </xf>
    <xf numFmtId="49" fontId="11" fillId="0" borderId="1" xfId="3" applyNumberFormat="1" applyFont="1" applyFill="1" applyBorder="1" applyAlignment="1">
      <alignment horizontal="right" vertical="center"/>
    </xf>
    <xf numFmtId="0" fontId="32" fillId="0" borderId="1" xfId="4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4" applyFont="1" applyFill="1" applyBorder="1" applyAlignment="1">
      <alignment horizontal="left" vertical="center" wrapText="1"/>
    </xf>
    <xf numFmtId="1" fontId="11" fillId="0" borderId="7" xfId="0" applyNumberFormat="1" applyFont="1" applyFill="1" applyBorder="1" applyAlignment="1">
      <alignment horizontal="righ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165" fontId="19" fillId="0" borderId="0" xfId="1" applyNumberFormat="1" applyFont="1" applyAlignment="1"/>
    <xf numFmtId="0" fontId="16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/>
    </xf>
    <xf numFmtId="43" fontId="34" fillId="0" borderId="1" xfId="1" applyFont="1" applyFill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165" fontId="16" fillId="0" borderId="1" xfId="1" applyNumberFormat="1" applyFont="1" applyBorder="1"/>
    <xf numFmtId="43" fontId="16" fillId="0" borderId="1" xfId="1" applyFont="1" applyBorder="1" applyAlignment="1">
      <alignment vertical="center"/>
    </xf>
    <xf numFmtId="167" fontId="16" fillId="0" borderId="1" xfId="0" applyNumberFormat="1" applyFont="1" applyBorder="1" applyAlignment="1">
      <alignment vertical="center" wrapText="1"/>
    </xf>
    <xf numFmtId="4" fontId="7" fillId="0" borderId="1" xfId="1" applyNumberFormat="1" applyFont="1" applyFill="1" applyBorder="1" applyAlignment="1">
      <alignment horizontal="right" vertical="center" wrapText="1"/>
    </xf>
    <xf numFmtId="4" fontId="7" fillId="0" borderId="1" xfId="3" applyNumberFormat="1" applyFont="1" applyFill="1" applyBorder="1" applyAlignment="1">
      <alignment horizontal="right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16" fillId="0" borderId="1" xfId="1" applyNumberFormat="1" applyFont="1" applyFill="1" applyBorder="1" applyAlignment="1">
      <alignment horizontal="right" vertical="center" wrapText="1"/>
    </xf>
    <xf numFmtId="4" fontId="0" fillId="0" borderId="0" xfId="1" applyNumberFormat="1" applyFont="1" applyFill="1" applyAlignment="1">
      <alignment horizontal="right"/>
    </xf>
    <xf numFmtId="0" fontId="16" fillId="0" borderId="1" xfId="0" applyFont="1" applyBorder="1" applyAlignment="1">
      <alignment horizontal="center" wrapText="1"/>
    </xf>
    <xf numFmtId="2" fontId="16" fillId="0" borderId="1" xfId="0" applyNumberFormat="1" applyFont="1" applyBorder="1" applyAlignment="1">
      <alignment vertical="center" wrapText="1"/>
    </xf>
    <xf numFmtId="43" fontId="3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43" fontId="0" fillId="18" borderId="1" xfId="0" applyNumberFormat="1" applyFill="1" applyBorder="1" applyAlignment="1">
      <alignment horizontal="center" vertical="center" wrapText="1"/>
    </xf>
    <xf numFmtId="164" fontId="0" fillId="18" borderId="1" xfId="0" applyNumberForma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3" fontId="0" fillId="4" borderId="1" xfId="0" applyNumberForma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16" fillId="19" borderId="1" xfId="0" applyFont="1" applyFill="1" applyBorder="1" applyAlignment="1">
      <alignment horizontal="center" vertical="center" wrapText="1"/>
    </xf>
    <xf numFmtId="0" fontId="0" fillId="19" borderId="0" xfId="0" applyFill="1"/>
    <xf numFmtId="0" fontId="11" fillId="19" borderId="1" xfId="0" applyFont="1" applyFill="1" applyBorder="1" applyAlignment="1">
      <alignment horizontal="center" vertical="center" wrapText="1"/>
    </xf>
    <xf numFmtId="0" fontId="33" fillId="8" borderId="7" xfId="0" applyFont="1" applyFill="1" applyBorder="1" applyAlignment="1">
      <alignment horizontal="center" vertical="center"/>
    </xf>
    <xf numFmtId="0" fontId="33" fillId="8" borderId="3" xfId="0" applyFont="1" applyFill="1" applyBorder="1" applyAlignment="1">
      <alignment horizontal="left" vertical="center" wrapText="1"/>
    </xf>
    <xf numFmtId="0" fontId="33" fillId="8" borderId="8" xfId="0" applyFont="1" applyFill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43" fontId="34" fillId="7" borderId="1" xfId="1" applyFont="1" applyFill="1" applyBorder="1" applyAlignment="1">
      <alignment horizontal="center" vertical="center" wrapText="1"/>
    </xf>
    <xf numFmtId="3" fontId="16" fillId="7" borderId="1" xfId="0" applyNumberFormat="1" applyFont="1" applyFill="1" applyBorder="1" applyAlignment="1">
      <alignment horizontal="center" vertical="center"/>
    </xf>
    <xf numFmtId="166" fontId="16" fillId="0" borderId="1" xfId="0" applyNumberFormat="1" applyFont="1" applyBorder="1" applyAlignment="1">
      <alignment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7" borderId="3" xfId="4" applyFont="1" applyFill="1" applyBorder="1" applyAlignment="1">
      <alignment horizontal="left" vertical="center" wrapText="1"/>
    </xf>
    <xf numFmtId="167" fontId="16" fillId="7" borderId="4" xfId="0" applyNumberFormat="1" applyFont="1" applyFill="1" applyBorder="1" applyAlignment="1">
      <alignment vertical="center" wrapText="1"/>
    </xf>
    <xf numFmtId="43" fontId="16" fillId="7" borderId="1" xfId="1" applyFont="1" applyFill="1" applyBorder="1" applyAlignment="1">
      <alignment vertical="center"/>
    </xf>
    <xf numFmtId="0" fontId="33" fillId="7" borderId="3" xfId="0" applyFont="1" applyFill="1" applyBorder="1" applyAlignment="1">
      <alignment horizontal="left" vertical="center" wrapText="1"/>
    </xf>
    <xf numFmtId="1" fontId="16" fillId="7" borderId="1" xfId="0" applyNumberFormat="1" applyFont="1" applyFill="1" applyBorder="1" applyAlignment="1">
      <alignment vertical="center" wrapText="1"/>
    </xf>
    <xf numFmtId="166" fontId="16" fillId="7" borderId="1" xfId="0" applyNumberFormat="1" applyFont="1" applyFill="1" applyBorder="1" applyAlignment="1">
      <alignment vertical="center"/>
    </xf>
    <xf numFmtId="0" fontId="16" fillId="7" borderId="1" xfId="4" applyFont="1" applyFill="1" applyBorder="1" applyAlignment="1">
      <alignment horizontal="left" vertical="center" wrapText="1"/>
    </xf>
    <xf numFmtId="2" fontId="16" fillId="7" borderId="1" xfId="0" applyNumberFormat="1" applyFont="1" applyFill="1" applyBorder="1" applyAlignment="1">
      <alignment vertical="center" wrapText="1"/>
    </xf>
    <xf numFmtId="167" fontId="16" fillId="7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vertical="center" wrapText="1"/>
    </xf>
    <xf numFmtId="43" fontId="16" fillId="0" borderId="1" xfId="1" applyFont="1" applyFill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33" fillId="8" borderId="3" xfId="0" applyFont="1" applyFill="1" applyBorder="1" applyAlignment="1">
      <alignment horizontal="center" vertical="center" wrapText="1"/>
    </xf>
    <xf numFmtId="0" fontId="33" fillId="8" borderId="8" xfId="0" applyFont="1" applyFill="1" applyBorder="1" applyAlignment="1">
      <alignment horizontal="left" vertical="center" wrapText="1"/>
    </xf>
    <xf numFmtId="166" fontId="16" fillId="8" borderId="1" xfId="0" applyNumberFormat="1" applyFont="1" applyFill="1" applyBorder="1"/>
    <xf numFmtId="0" fontId="16" fillId="8" borderId="1" xfId="0" applyFont="1" applyFill="1" applyBorder="1"/>
    <xf numFmtId="43" fontId="16" fillId="0" borderId="1" xfId="1" applyNumberFormat="1" applyFont="1" applyBorder="1" applyAlignment="1">
      <alignment vertical="center"/>
    </xf>
    <xf numFmtId="0" fontId="16" fillId="7" borderId="1" xfId="0" applyFont="1" applyFill="1" applyBorder="1" applyAlignment="1">
      <alignment horizontal="center" wrapText="1"/>
    </xf>
    <xf numFmtId="1" fontId="16" fillId="7" borderId="1" xfId="0" applyNumberFormat="1" applyFont="1" applyFill="1" applyBorder="1" applyAlignment="1">
      <alignment horizontal="right" vertical="center" wrapText="1"/>
    </xf>
    <xf numFmtId="49" fontId="16" fillId="7" borderId="1" xfId="3" applyNumberFormat="1" applyFont="1" applyFill="1" applyBorder="1" applyAlignment="1">
      <alignment horizontal="right" vertical="center"/>
    </xf>
    <xf numFmtId="2" fontId="16" fillId="7" borderId="1" xfId="3" applyNumberFormat="1" applyFont="1" applyFill="1" applyBorder="1" applyAlignment="1">
      <alignment horizontal="right" vertical="center"/>
    </xf>
    <xf numFmtId="49" fontId="16" fillId="0" borderId="1" xfId="3" applyNumberFormat="1" applyFont="1" applyBorder="1" applyAlignment="1">
      <alignment horizontal="right" vertical="center"/>
    </xf>
    <xf numFmtId="2" fontId="16" fillId="0" borderId="1" xfId="3" applyNumberFormat="1" applyFont="1" applyBorder="1" applyAlignment="1">
      <alignment horizontal="right" vertical="center"/>
    </xf>
    <xf numFmtId="0" fontId="6" fillId="19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" fontId="16" fillId="0" borderId="1" xfId="3" applyNumberFormat="1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3" applyFont="1" applyFill="1" applyBorder="1" applyAlignment="1">
      <alignment horizontal="center" vertical="center" wrapText="1"/>
    </xf>
    <xf numFmtId="173" fontId="16" fillId="0" borderId="1" xfId="3" applyNumberFormat="1" applyFont="1" applyFill="1" applyBorder="1" applyAlignment="1">
      <alignment horizontal="center" vertical="center"/>
    </xf>
    <xf numFmtId="43" fontId="16" fillId="0" borderId="1" xfId="1" applyFont="1" applyFill="1" applyBorder="1" applyAlignment="1">
      <alignment horizontal="right" vertical="center"/>
    </xf>
    <xf numFmtId="3" fontId="16" fillId="0" borderId="1" xfId="3" applyNumberFormat="1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vertical="center" wrapText="1"/>
    </xf>
    <xf numFmtId="1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left" vertical="center"/>
    </xf>
    <xf numFmtId="167" fontId="16" fillId="0" borderId="1" xfId="3" applyNumberFormat="1" applyFont="1" applyFill="1" applyBorder="1" applyAlignment="1">
      <alignment horizontal="center" vertical="center"/>
    </xf>
    <xf numFmtId="4" fontId="0" fillId="0" borderId="0" xfId="0" applyNumberFormat="1"/>
    <xf numFmtId="173" fontId="17" fillId="0" borderId="0" xfId="0" applyNumberFormat="1" applyFont="1"/>
    <xf numFmtId="4" fontId="17" fillId="0" borderId="0" xfId="0" applyNumberFormat="1" applyFont="1"/>
    <xf numFmtId="2" fontId="16" fillId="0" borderId="1" xfId="3" applyNumberFormat="1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center" vertical="center"/>
    </xf>
    <xf numFmtId="1" fontId="16" fillId="0" borderId="1" xfId="3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/>
    </xf>
    <xf numFmtId="167" fontId="16" fillId="0" borderId="1" xfId="3" applyNumberFormat="1" applyFont="1" applyBorder="1" applyAlignment="1">
      <alignment horizontal="center" vertical="center"/>
    </xf>
    <xf numFmtId="0" fontId="16" fillId="0" borderId="3" xfId="3" applyFont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/>
    </xf>
    <xf numFmtId="166" fontId="6" fillId="8" borderId="1" xfId="0" applyNumberFormat="1" applyFont="1" applyFill="1" applyBorder="1"/>
    <xf numFmtId="0" fontId="6" fillId="8" borderId="1" xfId="0" applyFont="1" applyFill="1" applyBorder="1"/>
    <xf numFmtId="0" fontId="35" fillId="0" borderId="0" xfId="0" applyFont="1"/>
    <xf numFmtId="166" fontId="6" fillId="0" borderId="1" xfId="0" applyNumberFormat="1" applyFont="1" applyBorder="1"/>
    <xf numFmtId="0" fontId="6" fillId="0" borderId="1" xfId="0" applyFont="1" applyBorder="1"/>
    <xf numFmtId="43" fontId="6" fillId="7" borderId="1" xfId="1" applyFont="1" applyFill="1" applyBorder="1" applyAlignment="1">
      <alignment vertical="center"/>
    </xf>
    <xf numFmtId="0" fontId="35" fillId="7" borderId="0" xfId="0" applyFont="1" applyFill="1"/>
    <xf numFmtId="166" fontId="6" fillId="8" borderId="1" xfId="0" applyNumberFormat="1" applyFont="1" applyFill="1" applyBorder="1" applyAlignment="1">
      <alignment horizontal="left" vertical="center"/>
    </xf>
    <xf numFmtId="166" fontId="6" fillId="0" borderId="1" xfId="0" applyNumberFormat="1" applyFont="1" applyBorder="1" applyAlignment="1">
      <alignment vertical="center"/>
    </xf>
    <xf numFmtId="0" fontId="36" fillId="0" borderId="0" xfId="0" applyFont="1"/>
    <xf numFmtId="0" fontId="36" fillId="0" borderId="0" xfId="0" applyFont="1" applyFill="1" applyBorder="1" applyAlignment="1">
      <alignment horizontal="left" vertical="center" wrapText="1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4" fontId="13" fillId="0" borderId="1" xfId="1" applyNumberFormat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13" fillId="0" borderId="0" xfId="1" applyNumberFormat="1" applyFont="1" applyBorder="1" applyAlignment="1">
      <alignment horizontal="center" vertical="center"/>
    </xf>
    <xf numFmtId="165" fontId="13" fillId="0" borderId="12" xfId="1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165" fontId="7" fillId="0" borderId="0" xfId="1" applyNumberFormat="1" applyFont="1" applyBorder="1" applyAlignment="1">
      <alignment horizontal="center" vertical="center" wrapText="1"/>
    </xf>
    <xf numFmtId="165" fontId="7" fillId="0" borderId="12" xfId="1" applyNumberFormat="1" applyFont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3" fontId="26" fillId="0" borderId="17" xfId="5" applyNumberFormat="1" applyFont="1" applyBorder="1" applyAlignment="1">
      <alignment horizontal="center" vertical="center"/>
    </xf>
    <xf numFmtId="3" fontId="26" fillId="0" borderId="18" xfId="5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5" fontId="13" fillId="0" borderId="6" xfId="1" applyNumberFormat="1" applyFont="1" applyBorder="1" applyAlignment="1">
      <alignment horizontal="center" vertical="center" wrapText="1"/>
    </xf>
    <xf numFmtId="165" fontId="13" fillId="0" borderId="7" xfId="1" applyNumberFormat="1" applyFont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43" fontId="34" fillId="0" borderId="6" xfId="1" applyFont="1" applyFill="1" applyBorder="1" applyAlignment="1">
      <alignment horizontal="center" vertical="center" wrapText="1"/>
    </xf>
    <xf numFmtId="43" fontId="34" fillId="0" borderId="2" xfId="1" applyFont="1" applyFill="1" applyBorder="1" applyAlignment="1">
      <alignment horizontal="center" vertical="center" wrapText="1"/>
    </xf>
    <xf numFmtId="43" fontId="34" fillId="0" borderId="7" xfId="1" applyFont="1" applyFill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/>
    </xf>
    <xf numFmtId="165" fontId="13" fillId="0" borderId="7" xfId="1" applyNumberFormat="1" applyFont="1" applyBorder="1" applyAlignment="1">
      <alignment horizontal="center" vertical="center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33" fillId="8" borderId="3" xfId="0" applyFont="1" applyFill="1" applyBorder="1" applyAlignment="1">
      <alignment horizontal="left" vertical="center" wrapText="1"/>
    </xf>
    <xf numFmtId="0" fontId="33" fillId="8" borderId="8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2" fillId="18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9" fontId="8" fillId="7" borderId="1" xfId="3" applyNumberFormat="1" applyFont="1" applyFill="1" applyBorder="1" applyAlignment="1">
      <alignment horizontal="center" vertical="center" wrapText="1"/>
    </xf>
    <xf numFmtId="49" fontId="32" fillId="0" borderId="1" xfId="3" applyNumberFormat="1" applyFont="1" applyFill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14" xfId="1" applyNumberFormat="1" applyFont="1" applyBorder="1" applyAlignment="1">
      <alignment horizontal="center" vertical="center" wrapText="1"/>
    </xf>
    <xf numFmtId="165" fontId="13" fillId="0" borderId="11" xfId="1" applyNumberFormat="1" applyFont="1" applyBorder="1" applyAlignment="1">
      <alignment horizontal="center" vertical="center" wrapText="1"/>
    </xf>
    <xf numFmtId="165" fontId="13" fillId="0" borderId="13" xfId="1" applyNumberFormat="1" applyFont="1" applyBorder="1" applyAlignment="1">
      <alignment horizontal="center" vertical="center" wrapText="1"/>
    </xf>
    <xf numFmtId="0" fontId="7" fillId="0" borderId="3" xfId="4" applyFont="1" applyFill="1" applyBorder="1" applyAlignment="1">
      <alignment horizontal="right" vertical="center" wrapText="1"/>
    </xf>
    <xf numFmtId="0" fontId="7" fillId="0" borderId="8" xfId="4" applyFont="1" applyFill="1" applyBorder="1" applyAlignment="1">
      <alignment horizontal="right" vertical="center" wrapText="1"/>
    </xf>
    <xf numFmtId="0" fontId="7" fillId="0" borderId="4" xfId="4" applyFont="1" applyFill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center" vertical="center" wrapText="1"/>
    </xf>
  </cellXfs>
  <cellStyles count="9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3" xfId="5" xr:uid="{B6AFEC63-6265-4098-B4FF-6BF5B63D7B41}"/>
    <cellStyle name="Обычный 3 2" xfId="6" xr:uid="{7AA60CEE-8F2B-41CF-80CC-51C416DA671A}"/>
    <cellStyle name="Процентный" xfId="2" builtinId="5"/>
    <cellStyle name="Процентный 2" xfId="8" xr:uid="{C1D0BC98-73A8-42C9-B7F9-2086EAD2072A}"/>
    <cellStyle name="Финансовый" xfId="1" builtinId="3"/>
    <cellStyle name="Финансовый 2" xfId="7" xr:uid="{BE5EC491-EBA1-4F18-9DB1-AC47B99DE0A9}"/>
  </cellStyles>
  <dxfs count="6">
    <dxf>
      <font>
        <color rgb="FF6AA84F"/>
      </font>
      <fill>
        <patternFill patternType="solid">
          <fgColor rgb="FFFFFFFF"/>
          <bgColor rgb="FFFFFFFF"/>
        </patternFill>
      </fill>
    </dxf>
    <dxf>
      <font>
        <color rgb="FFCC4125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140970</xdr:rowOff>
    </xdr:from>
    <xdr:to>
      <xdr:col>8</xdr:col>
      <xdr:colOff>2232221</xdr:colOff>
      <xdr:row>47</xdr:row>
      <xdr:rowOff>172311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C6948EF-43C9-479B-B3AD-56875553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98545"/>
          <a:ext cx="10503731" cy="6180681"/>
        </a:xfrm>
        <a:prstGeom prst="rect">
          <a:avLst/>
        </a:prstGeom>
      </xdr:spPr>
    </xdr:pic>
    <xdr:clientData/>
  </xdr:twoCellAnchor>
  <xdr:twoCellAnchor editAs="oneCell">
    <xdr:from>
      <xdr:col>8</xdr:col>
      <xdr:colOff>2268855</xdr:colOff>
      <xdr:row>26</xdr:row>
      <xdr:rowOff>19050</xdr:rowOff>
    </xdr:from>
    <xdr:to>
      <xdr:col>9</xdr:col>
      <xdr:colOff>1846652</xdr:colOff>
      <xdr:row>48</xdr:row>
      <xdr:rowOff>2458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1E355F2-5C68-4C72-B9EC-3A3735520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6555" y="5829300"/>
          <a:ext cx="5068007" cy="39648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38100</xdr:rowOff>
    </xdr:from>
    <xdr:to>
      <xdr:col>3</xdr:col>
      <xdr:colOff>326315</xdr:colOff>
      <xdr:row>65</xdr:row>
      <xdr:rowOff>133791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E04D06C-DBF6-48AA-A4EF-D991121D8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829800"/>
          <a:ext cx="3999155" cy="31684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2;&#1042;&#1052;/&#1060;&#1052;/&#1046;&#1076;%20417/&#1060;&#1052;.%20&#1052;&#1042;&#1052;%20-%20&#1055;&#1091;&#1090;&#1080;%20&#1082;%20417%20&#1094;&#1077;&#1093;&#1091;%20-%20&#1074;&#1077;&#1088;.%201.9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Займ"/>
      <sheetName val="Себестоимость, опер. затраты"/>
      <sheetName val="Выручка"/>
      <sheetName val="Материалы"/>
      <sheetName val="Подрядчики CF"/>
      <sheetName val="Подрядчики PL"/>
      <sheetName val="вход-выход"/>
      <sheetName val="PreSale"/>
      <sheetName val="вход-выход (2)"/>
      <sheetName val="СМР ПЖ"/>
      <sheetName val="СМР ПЖ - коммерция"/>
      <sheetName val="мат ПЖ"/>
      <sheetName val="мат ПЖ - коммерция"/>
      <sheetName val="Затраты факт"/>
      <sheetName val="Затраты"/>
      <sheetName val="вход-выход материалы"/>
      <sheetName val="вход-выход подрядчики"/>
      <sheetName val="Сравнение"/>
      <sheetName val="Лист1"/>
    </sheetNames>
    <sheetDataSet>
      <sheetData sheetId="0"/>
      <sheetData sheetId="1">
        <row r="4">
          <cell r="U4">
            <v>456669.99974528741</v>
          </cell>
        </row>
        <row r="5">
          <cell r="U5">
            <v>-320230.36179916671</v>
          </cell>
        </row>
        <row r="6">
          <cell r="U6">
            <v>-7706.7749999999996</v>
          </cell>
        </row>
        <row r="7">
          <cell r="U7">
            <v>-9904.0159987773768</v>
          </cell>
        </row>
        <row r="8">
          <cell r="U8">
            <v>118828.84694734331</v>
          </cell>
        </row>
        <row r="9">
          <cell r="U9">
            <v>0.26020725472139922</v>
          </cell>
        </row>
        <row r="11">
          <cell r="U11">
            <v>-36689.8908045977</v>
          </cell>
        </row>
        <row r="12">
          <cell r="U12">
            <v>82138.956142745606</v>
          </cell>
        </row>
        <row r="16">
          <cell r="U16">
            <v>80776.456142944546</v>
          </cell>
        </row>
        <row r="18">
          <cell r="U18">
            <v>-19335.616206673203</v>
          </cell>
        </row>
        <row r="20">
          <cell r="U20">
            <v>61440.839936271346</v>
          </cell>
        </row>
        <row r="21">
          <cell r="U21">
            <v>0.13454100328583141</v>
          </cell>
        </row>
        <row r="25">
          <cell r="U25">
            <v>-24220.339255890842</v>
          </cell>
        </row>
        <row r="36">
          <cell r="U36">
            <v>-1362.4999998011463</v>
          </cell>
        </row>
      </sheetData>
      <sheetData sheetId="2"/>
      <sheetData sheetId="3"/>
      <sheetData sheetId="4">
        <row r="34">
          <cell r="E34">
            <v>548003999.694345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528" t="s">
        <v>5</v>
      </c>
      <c r="B2" s="529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526">
        <f>H33/2</f>
        <v>7942400</v>
      </c>
      <c r="H33" s="526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527"/>
      <c r="H34" s="527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530" t="s">
        <v>117</v>
      </c>
      <c r="B59" s="530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5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88671875" customWidth="1"/>
    <col min="3" max="3" width="10.109375" style="29" customWidth="1"/>
    <col min="4" max="4" width="8.88671875" style="29"/>
    <col min="5" max="5" width="11.21875" style="29" customWidth="1"/>
    <col min="6" max="6" width="15" style="29" customWidth="1"/>
    <col min="7" max="7" width="15.44140625" style="29" customWidth="1"/>
  </cols>
  <sheetData>
    <row r="1" spans="1:7" x14ac:dyDescent="0.3">
      <c r="A1" s="576" t="s">
        <v>200</v>
      </c>
      <c r="B1" s="576" t="s">
        <v>201</v>
      </c>
      <c r="C1" s="578" t="s">
        <v>705</v>
      </c>
      <c r="D1" s="578" t="s">
        <v>202</v>
      </c>
      <c r="E1" s="577" t="s">
        <v>703</v>
      </c>
      <c r="F1" s="577"/>
      <c r="G1" s="577"/>
    </row>
    <row r="2" spans="1:7" ht="27.6" x14ac:dyDescent="0.3">
      <c r="A2" s="576"/>
      <c r="B2" s="576"/>
      <c r="C2" s="578"/>
      <c r="D2" s="578"/>
      <c r="E2" s="91" t="s">
        <v>196</v>
      </c>
      <c r="F2" s="92" t="s">
        <v>197</v>
      </c>
      <c r="G2" s="92" t="s">
        <v>199</v>
      </c>
    </row>
    <row r="3" spans="1:7" ht="12.7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</row>
    <row r="4" spans="1:7" x14ac:dyDescent="0.3">
      <c r="A4" s="106">
        <v>1</v>
      </c>
      <c r="B4" s="94" t="s">
        <v>161</v>
      </c>
      <c r="C4" s="106" t="s">
        <v>193</v>
      </c>
      <c r="D4" s="106">
        <v>190.476</v>
      </c>
      <c r="E4" s="96">
        <f>ROUND(1584/1.2,2)</f>
        <v>1320</v>
      </c>
      <c r="F4" s="101">
        <f>ROUND(E4*D4,2)</f>
        <v>251428.32</v>
      </c>
      <c r="G4" s="101">
        <f>ROUND(F4*1.2,2)</f>
        <v>301713.98</v>
      </c>
    </row>
    <row r="5" spans="1:7" x14ac:dyDescent="0.3">
      <c r="A5" s="106">
        <f>A4+1</f>
        <v>2</v>
      </c>
      <c r="B5" s="94" t="s">
        <v>716</v>
      </c>
      <c r="C5" s="106" t="s">
        <v>193</v>
      </c>
      <c r="D5" s="106">
        <v>642.83000000000004</v>
      </c>
      <c r="E5" s="96">
        <f>ROUND(5300/1.2,2)</f>
        <v>4416.67</v>
      </c>
      <c r="F5" s="101">
        <f t="shared" ref="F5:F10" si="0">ROUND(E5*D5,2)</f>
        <v>2839167.98</v>
      </c>
      <c r="G5" s="101">
        <f t="shared" ref="G5:G10" si="1">ROUND(F5*1.2,2)</f>
        <v>3407001.58</v>
      </c>
    </row>
    <row r="6" spans="1:7" x14ac:dyDescent="0.3">
      <c r="A6" s="106">
        <f>A5+1</f>
        <v>3</v>
      </c>
      <c r="B6" s="94" t="s">
        <v>203</v>
      </c>
      <c r="C6" s="106" t="s">
        <v>431</v>
      </c>
      <c r="D6" s="108">
        <f>300*3</f>
        <v>900</v>
      </c>
      <c r="E6" s="96">
        <f>ROUND(184/1.2,2)</f>
        <v>153.33000000000001</v>
      </c>
      <c r="F6" s="101">
        <f t="shared" si="0"/>
        <v>137997</v>
      </c>
      <c r="G6" s="101">
        <f t="shared" si="1"/>
        <v>165596.4</v>
      </c>
    </row>
    <row r="7" spans="1:7" ht="20.25" customHeight="1" x14ac:dyDescent="0.3">
      <c r="A7" s="106">
        <f t="shared" ref="A7:A11" si="2">A6+1</f>
        <v>4</v>
      </c>
      <c r="B7" s="94" t="s">
        <v>204</v>
      </c>
      <c r="C7" s="106" t="s">
        <v>194</v>
      </c>
      <c r="D7" s="108">
        <v>145.63</v>
      </c>
      <c r="E7" s="96">
        <f>ROUND(16500/1.2,2)</f>
        <v>13750</v>
      </c>
      <c r="F7" s="101">
        <f t="shared" si="0"/>
        <v>2002412.5</v>
      </c>
      <c r="G7" s="101">
        <f t="shared" si="1"/>
        <v>2402895</v>
      </c>
    </row>
    <row r="8" spans="1:7" ht="39" customHeight="1" x14ac:dyDescent="0.3">
      <c r="A8" s="106">
        <f t="shared" si="2"/>
        <v>5</v>
      </c>
      <c r="B8" s="94" t="s">
        <v>205</v>
      </c>
      <c r="C8" s="106" t="s">
        <v>194</v>
      </c>
      <c r="D8" s="108">
        <v>284</v>
      </c>
      <c r="E8" s="96">
        <f>ROUND(34100/1.2,2)</f>
        <v>28416.67</v>
      </c>
      <c r="F8" s="101">
        <f t="shared" si="0"/>
        <v>8070334.2800000003</v>
      </c>
      <c r="G8" s="101">
        <f t="shared" si="1"/>
        <v>9684401.1400000006</v>
      </c>
    </row>
    <row r="9" spans="1:7" x14ac:dyDescent="0.3">
      <c r="A9" s="106">
        <f t="shared" si="2"/>
        <v>6</v>
      </c>
      <c r="B9" s="94" t="s">
        <v>706</v>
      </c>
      <c r="C9" s="95" t="s">
        <v>178</v>
      </c>
      <c r="D9" s="108">
        <v>276</v>
      </c>
      <c r="E9" s="96">
        <f>ROUND(200/1.2,2)</f>
        <v>166.67</v>
      </c>
      <c r="F9" s="101">
        <f t="shared" si="0"/>
        <v>46000.92</v>
      </c>
      <c r="G9" s="101">
        <f t="shared" si="1"/>
        <v>55201.1</v>
      </c>
    </row>
    <row r="10" spans="1:7" x14ac:dyDescent="0.3">
      <c r="A10" s="106">
        <f t="shared" si="2"/>
        <v>7</v>
      </c>
      <c r="B10" s="94" t="s">
        <v>707</v>
      </c>
      <c r="C10" s="95" t="s">
        <v>178</v>
      </c>
      <c r="D10" s="108">
        <v>92</v>
      </c>
      <c r="E10" s="96">
        <f>ROUND(5841/1.2,2)</f>
        <v>4867.5</v>
      </c>
      <c r="F10" s="101">
        <f t="shared" si="0"/>
        <v>447810</v>
      </c>
      <c r="G10" s="101">
        <f t="shared" si="1"/>
        <v>537372</v>
      </c>
    </row>
    <row r="11" spans="1:7" x14ac:dyDescent="0.3">
      <c r="A11" s="65">
        <f t="shared" si="2"/>
        <v>8</v>
      </c>
      <c r="B11" s="212" t="s">
        <v>719</v>
      </c>
      <c r="C11" s="200" t="s">
        <v>735</v>
      </c>
      <c r="D11" s="86">
        <v>1</v>
      </c>
      <c r="E11" s="201">
        <v>330000</v>
      </c>
      <c r="F11" s="202">
        <f t="shared" ref="F11" si="3">ROUND(E11*D11,2)</f>
        <v>330000</v>
      </c>
      <c r="G11" s="202">
        <f t="shared" ref="G11" si="4">ROUND(F11*1.2,2)</f>
        <v>396000</v>
      </c>
    </row>
    <row r="12" spans="1:7" s="1" customFormat="1" x14ac:dyDescent="0.3">
      <c r="A12" s="99"/>
      <c r="B12" s="561" t="s">
        <v>721</v>
      </c>
      <c r="C12" s="562"/>
      <c r="D12" s="562"/>
      <c r="E12" s="563"/>
      <c r="F12" s="110">
        <f>SUM(F4:F11)</f>
        <v>14125151</v>
      </c>
      <c r="G12" s="110">
        <f>SUM(G4:G11)</f>
        <v>16950181.200000003</v>
      </c>
    </row>
    <row r="15" spans="1:7" x14ac:dyDescent="0.3">
      <c r="B15" s="53"/>
      <c r="G15" s="57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79998168889431442"/>
  </sheetPr>
  <dimension ref="A1:L386"/>
  <sheetViews>
    <sheetView topLeftCell="A316" zoomScaleNormal="100" zoomScaleSheetLayoutView="80" workbookViewId="0">
      <selection activeCell="A324" sqref="A324:XFD329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9" max="9" width="16.6640625" customWidth="1"/>
    <col min="10" max="11" width="17" style="440" customWidth="1"/>
    <col min="12" max="12" width="29.33203125" customWidth="1"/>
  </cols>
  <sheetData>
    <row r="1" spans="1:12" x14ac:dyDescent="0.3">
      <c r="A1" s="565" t="s">
        <v>226</v>
      </c>
      <c r="B1" s="545" t="s">
        <v>201</v>
      </c>
      <c r="C1" s="545" t="s">
        <v>230</v>
      </c>
      <c r="D1" s="545" t="s">
        <v>202</v>
      </c>
      <c r="E1" s="582" t="s">
        <v>441</v>
      </c>
      <c r="F1" s="582" t="s">
        <v>433</v>
      </c>
      <c r="G1" s="584" t="s">
        <v>409</v>
      </c>
      <c r="J1" s="536" t="s">
        <v>1657</v>
      </c>
      <c r="K1" s="536" t="s">
        <v>1658</v>
      </c>
    </row>
    <row r="2" spans="1:12" ht="56.4" customHeight="1" x14ac:dyDescent="0.3">
      <c r="A2" s="565"/>
      <c r="B2" s="545"/>
      <c r="C2" s="545"/>
      <c r="D2" s="545"/>
      <c r="E2" s="583"/>
      <c r="F2" s="583"/>
      <c r="G2" s="585"/>
      <c r="J2" s="536"/>
      <c r="K2" s="536"/>
      <c r="L2" s="381"/>
    </row>
    <row r="3" spans="1:12" ht="17.2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  <c r="J3" s="536"/>
      <c r="K3" s="536"/>
      <c r="L3" s="381"/>
    </row>
    <row r="4" spans="1:12" ht="27.6" x14ac:dyDescent="0.3">
      <c r="A4" s="153"/>
      <c r="B4" s="172" t="s">
        <v>550</v>
      </c>
      <c r="C4" s="161"/>
      <c r="D4" s="161"/>
      <c r="E4" s="161"/>
      <c r="F4" s="161"/>
      <c r="G4" s="161"/>
      <c r="J4" s="437"/>
      <c r="K4" s="437"/>
      <c r="L4" s="381"/>
    </row>
    <row r="5" spans="1:12" ht="18" customHeight="1" x14ac:dyDescent="0.3">
      <c r="A5" s="151"/>
      <c r="B5" s="84" t="s">
        <v>513</v>
      </c>
      <c r="C5" s="159"/>
      <c r="D5" s="159"/>
      <c r="E5" s="162"/>
      <c r="F5" s="85"/>
      <c r="G5" s="168"/>
      <c r="J5" s="438"/>
      <c r="K5" s="438">
        <f>E5*J5*1.2</f>
        <v>0</v>
      </c>
    </row>
    <row r="6" spans="1:12" ht="20.25" customHeight="1" x14ac:dyDescent="0.3">
      <c r="A6" s="86">
        <v>1</v>
      </c>
      <c r="B6" s="66" t="s">
        <v>641</v>
      </c>
      <c r="C6" s="108" t="s">
        <v>193</v>
      </c>
      <c r="D6" s="163">
        <v>160</v>
      </c>
      <c r="E6" s="170">
        <v>464.82929999999999</v>
      </c>
      <c r="F6" s="101">
        <f t="shared" ref="F6:F16" si="0">ROUND(E6*D6,2)</f>
        <v>74372.69</v>
      </c>
      <c r="G6" s="101">
        <f>ROUND(F6*1.2,2)</f>
        <v>89247.23</v>
      </c>
      <c r="J6" s="438"/>
      <c r="K6" s="438">
        <f t="shared" ref="K6:K69" si="1">E6*J6*1.2</f>
        <v>0</v>
      </c>
    </row>
    <row r="7" spans="1:12" ht="27.6" x14ac:dyDescent="0.3">
      <c r="A7" s="86">
        <f>A6+1</f>
        <v>2</v>
      </c>
      <c r="B7" s="66" t="s">
        <v>642</v>
      </c>
      <c r="C7" s="65" t="s">
        <v>193</v>
      </c>
      <c r="D7" s="70">
        <v>92</v>
      </c>
      <c r="E7" s="170">
        <v>2881.94166</v>
      </c>
      <c r="F7" s="101">
        <f t="shared" si="0"/>
        <v>265138.63</v>
      </c>
      <c r="G7" s="101">
        <f t="shared" ref="G7:G35" si="2">ROUND(F7*1.2,2)</f>
        <v>318166.36</v>
      </c>
      <c r="J7" s="438"/>
      <c r="K7" s="438">
        <f t="shared" si="1"/>
        <v>0</v>
      </c>
    </row>
    <row r="8" spans="1:12" ht="15.6" x14ac:dyDescent="0.3">
      <c r="A8" s="86">
        <f>A7+1</f>
        <v>3</v>
      </c>
      <c r="B8" s="66" t="s">
        <v>515</v>
      </c>
      <c r="C8" s="65" t="s">
        <v>193</v>
      </c>
      <c r="D8" s="70">
        <v>5</v>
      </c>
      <c r="E8" s="170">
        <v>2541.5435879999995</v>
      </c>
      <c r="F8" s="101">
        <f t="shared" si="0"/>
        <v>12707.72</v>
      </c>
      <c r="G8" s="101">
        <f t="shared" si="2"/>
        <v>15249.26</v>
      </c>
      <c r="J8" s="438"/>
      <c r="K8" s="438">
        <f t="shared" si="1"/>
        <v>0</v>
      </c>
    </row>
    <row r="9" spans="1:12" ht="15.6" x14ac:dyDescent="0.3">
      <c r="A9" s="86">
        <f t="shared" ref="A9:A16" si="3">A8+1</f>
        <v>4</v>
      </c>
      <c r="B9" s="66" t="s">
        <v>521</v>
      </c>
      <c r="C9" s="65" t="s">
        <v>193</v>
      </c>
      <c r="D9" s="70">
        <v>3</v>
      </c>
      <c r="E9" s="170">
        <v>1972.306476</v>
      </c>
      <c r="F9" s="101">
        <f t="shared" si="0"/>
        <v>5916.92</v>
      </c>
      <c r="G9" s="101">
        <f t="shared" si="2"/>
        <v>7100.3</v>
      </c>
      <c r="J9" s="438"/>
      <c r="K9" s="438">
        <f t="shared" si="1"/>
        <v>0</v>
      </c>
    </row>
    <row r="10" spans="1:12" ht="15.6" x14ac:dyDescent="0.3">
      <c r="A10" s="86">
        <f t="shared" si="3"/>
        <v>5</v>
      </c>
      <c r="B10" s="66" t="s">
        <v>522</v>
      </c>
      <c r="C10" s="65" t="s">
        <v>193</v>
      </c>
      <c r="D10" s="70">
        <v>10</v>
      </c>
      <c r="E10" s="170">
        <v>1972.306476</v>
      </c>
      <c r="F10" s="101">
        <f t="shared" si="0"/>
        <v>19723.060000000001</v>
      </c>
      <c r="G10" s="101">
        <f t="shared" si="2"/>
        <v>23667.67</v>
      </c>
      <c r="J10" s="438"/>
      <c r="K10" s="438">
        <f t="shared" si="1"/>
        <v>0</v>
      </c>
    </row>
    <row r="11" spans="1:12" ht="15.6" x14ac:dyDescent="0.3">
      <c r="A11" s="86">
        <f t="shared" si="3"/>
        <v>6</v>
      </c>
      <c r="B11" s="66" t="s">
        <v>516</v>
      </c>
      <c r="C11" s="65" t="s">
        <v>193</v>
      </c>
      <c r="D11" s="70">
        <v>231</v>
      </c>
      <c r="E11" s="170">
        <v>178.78050000000002</v>
      </c>
      <c r="F11" s="101">
        <f t="shared" si="0"/>
        <v>41298.300000000003</v>
      </c>
      <c r="G11" s="101">
        <f t="shared" si="2"/>
        <v>49557.96</v>
      </c>
      <c r="J11" s="438"/>
      <c r="K11" s="438">
        <f t="shared" si="1"/>
        <v>0</v>
      </c>
    </row>
    <row r="12" spans="1:12" ht="15.6" x14ac:dyDescent="0.3">
      <c r="A12" s="86">
        <f t="shared" si="3"/>
        <v>7</v>
      </c>
      <c r="B12" s="66" t="s">
        <v>643</v>
      </c>
      <c r="C12" s="65" t="s">
        <v>193</v>
      </c>
      <c r="D12" s="70">
        <v>12</v>
      </c>
      <c r="E12" s="170">
        <v>1285.789356</v>
      </c>
      <c r="F12" s="101">
        <f t="shared" si="0"/>
        <v>15429.47</v>
      </c>
      <c r="G12" s="101">
        <f t="shared" si="2"/>
        <v>18515.36</v>
      </c>
      <c r="J12" s="438"/>
      <c r="K12" s="438">
        <f t="shared" si="1"/>
        <v>0</v>
      </c>
    </row>
    <row r="13" spans="1:12" ht="15.6" x14ac:dyDescent="0.3">
      <c r="A13" s="86">
        <f t="shared" si="3"/>
        <v>8</v>
      </c>
      <c r="B13" s="66" t="s">
        <v>451</v>
      </c>
      <c r="C13" s="65" t="s">
        <v>193</v>
      </c>
      <c r="D13" s="70">
        <v>231</v>
      </c>
      <c r="E13" s="170">
        <v>283.188312</v>
      </c>
      <c r="F13" s="101">
        <f t="shared" si="0"/>
        <v>65416.5</v>
      </c>
      <c r="G13" s="101">
        <f t="shared" si="2"/>
        <v>78499.8</v>
      </c>
      <c r="J13" s="438"/>
      <c r="K13" s="438">
        <f t="shared" si="1"/>
        <v>0</v>
      </c>
    </row>
    <row r="14" spans="1:12" ht="15.6" x14ac:dyDescent="0.3">
      <c r="A14" s="86">
        <f t="shared" si="3"/>
        <v>9</v>
      </c>
      <c r="B14" s="66" t="s">
        <v>644</v>
      </c>
      <c r="C14" s="65" t="s">
        <v>431</v>
      </c>
      <c r="D14" s="70">
        <v>640</v>
      </c>
      <c r="E14" s="170">
        <v>178.78050000000002</v>
      </c>
      <c r="F14" s="101">
        <f t="shared" si="0"/>
        <v>114419.52</v>
      </c>
      <c r="G14" s="101">
        <f t="shared" si="2"/>
        <v>137303.42000000001</v>
      </c>
      <c r="J14" s="438"/>
      <c r="K14" s="438">
        <f t="shared" si="1"/>
        <v>0</v>
      </c>
    </row>
    <row r="15" spans="1:12" ht="15.6" x14ac:dyDescent="0.3">
      <c r="A15" s="86">
        <f t="shared" si="3"/>
        <v>10</v>
      </c>
      <c r="B15" s="66" t="s">
        <v>518</v>
      </c>
      <c r="C15" s="65" t="s">
        <v>239</v>
      </c>
      <c r="D15" s="71">
        <v>22.4</v>
      </c>
      <c r="E15" s="170">
        <v>464.82929999999999</v>
      </c>
      <c r="F15" s="101">
        <f t="shared" si="0"/>
        <v>10412.18</v>
      </c>
      <c r="G15" s="101">
        <f t="shared" si="2"/>
        <v>12494.62</v>
      </c>
      <c r="J15" s="438"/>
      <c r="K15" s="438">
        <f t="shared" si="1"/>
        <v>0</v>
      </c>
    </row>
    <row r="16" spans="1:12" ht="15.6" x14ac:dyDescent="0.3">
      <c r="A16" s="453">
        <f t="shared" si="3"/>
        <v>11</v>
      </c>
      <c r="B16" s="66" t="s">
        <v>503</v>
      </c>
      <c r="C16" s="65" t="s">
        <v>239</v>
      </c>
      <c r="D16" s="71">
        <v>22.4</v>
      </c>
      <c r="E16" s="170">
        <f>'искл-свод'!B2</f>
        <v>1361.6</v>
      </c>
      <c r="F16" s="101">
        <f t="shared" si="0"/>
        <v>30499.84</v>
      </c>
      <c r="G16" s="101">
        <f t="shared" si="2"/>
        <v>36599.81</v>
      </c>
      <c r="J16" s="438"/>
      <c r="K16" s="438">
        <f t="shared" si="1"/>
        <v>0</v>
      </c>
    </row>
    <row r="17" spans="1:11" ht="15.6" x14ac:dyDescent="0.3">
      <c r="A17" s="86"/>
      <c r="B17" s="61" t="s">
        <v>523</v>
      </c>
      <c r="C17" s="65"/>
      <c r="D17" s="70"/>
      <c r="E17" s="170">
        <v>0</v>
      </c>
      <c r="F17" s="101"/>
      <c r="G17" s="101"/>
      <c r="J17" s="438"/>
      <c r="K17" s="438">
        <f t="shared" si="1"/>
        <v>0</v>
      </c>
    </row>
    <row r="18" spans="1:11" ht="27.6" x14ac:dyDescent="0.3">
      <c r="A18" s="86">
        <f>A16+1</f>
        <v>12</v>
      </c>
      <c r="B18" s="66" t="s">
        <v>645</v>
      </c>
      <c r="C18" s="65" t="s">
        <v>194</v>
      </c>
      <c r="D18" s="70">
        <v>35</v>
      </c>
      <c r="E18" s="170">
        <v>1454.5581479999998</v>
      </c>
      <c r="F18" s="101">
        <f t="shared" ref="F18:F35" si="4">ROUND(E18*D18,2)</f>
        <v>50909.54</v>
      </c>
      <c r="G18" s="101">
        <f t="shared" si="2"/>
        <v>61091.45</v>
      </c>
      <c r="J18" s="438"/>
      <c r="K18" s="438">
        <f t="shared" si="1"/>
        <v>0</v>
      </c>
    </row>
    <row r="19" spans="1:11" ht="27.6" x14ac:dyDescent="0.3">
      <c r="A19" s="86">
        <f>A18+1</f>
        <v>13</v>
      </c>
      <c r="B19" s="66" t="s">
        <v>646</v>
      </c>
      <c r="C19" s="65" t="s">
        <v>194</v>
      </c>
      <c r="D19" s="70">
        <v>3</v>
      </c>
      <c r="E19" s="170">
        <v>1041.2176320000001</v>
      </c>
      <c r="F19" s="101">
        <f t="shared" si="4"/>
        <v>3123.65</v>
      </c>
      <c r="G19" s="101">
        <f t="shared" si="2"/>
        <v>3748.38</v>
      </c>
      <c r="J19" s="438"/>
      <c r="K19" s="438">
        <f t="shared" si="1"/>
        <v>0</v>
      </c>
    </row>
    <row r="20" spans="1:11" ht="27.6" x14ac:dyDescent="0.3">
      <c r="A20" s="86">
        <f t="shared" ref="A20:A35" si="5">A19+1</f>
        <v>14</v>
      </c>
      <c r="B20" s="66" t="s">
        <v>647</v>
      </c>
      <c r="C20" s="65" t="s">
        <v>194</v>
      </c>
      <c r="D20" s="152">
        <v>6</v>
      </c>
      <c r="E20" s="170">
        <v>2118.1913639999998</v>
      </c>
      <c r="F20" s="101">
        <f t="shared" si="4"/>
        <v>12709.15</v>
      </c>
      <c r="G20" s="101">
        <f t="shared" si="2"/>
        <v>15250.98</v>
      </c>
      <c r="J20" s="438"/>
      <c r="K20" s="438">
        <f t="shared" si="1"/>
        <v>0</v>
      </c>
    </row>
    <row r="21" spans="1:11" ht="15.6" x14ac:dyDescent="0.3">
      <c r="A21" s="86">
        <f t="shared" si="5"/>
        <v>15</v>
      </c>
      <c r="B21" s="66" t="s">
        <v>648</v>
      </c>
      <c r="C21" s="65" t="s">
        <v>194</v>
      </c>
      <c r="D21" s="70">
        <v>6</v>
      </c>
      <c r="E21" s="170">
        <v>1577.5591319999999</v>
      </c>
      <c r="F21" s="101">
        <f t="shared" si="4"/>
        <v>9465.35</v>
      </c>
      <c r="G21" s="101">
        <f t="shared" si="2"/>
        <v>11358.42</v>
      </c>
      <c r="J21" s="438"/>
      <c r="K21" s="438">
        <f t="shared" si="1"/>
        <v>0</v>
      </c>
    </row>
    <row r="22" spans="1:11" ht="15.6" x14ac:dyDescent="0.3">
      <c r="A22" s="86">
        <f t="shared" si="5"/>
        <v>16</v>
      </c>
      <c r="B22" s="66" t="s">
        <v>649</v>
      </c>
      <c r="C22" s="65" t="s">
        <v>650</v>
      </c>
      <c r="D22" s="70">
        <v>1</v>
      </c>
      <c r="E22" s="170">
        <v>4691.2003200000008</v>
      </c>
      <c r="F22" s="101">
        <f t="shared" si="4"/>
        <v>4691.2</v>
      </c>
      <c r="G22" s="101">
        <f t="shared" si="2"/>
        <v>5629.44</v>
      </c>
      <c r="J22" s="438"/>
      <c r="K22" s="438">
        <f t="shared" si="1"/>
        <v>0</v>
      </c>
    </row>
    <row r="23" spans="1:11" ht="41.4" x14ac:dyDescent="0.3">
      <c r="A23" s="86">
        <f t="shared" si="5"/>
        <v>17</v>
      </c>
      <c r="B23" s="66" t="s">
        <v>651</v>
      </c>
      <c r="C23" s="65" t="s">
        <v>220</v>
      </c>
      <c r="D23" s="70">
        <v>2</v>
      </c>
      <c r="E23" s="170">
        <v>3518.4002399999999</v>
      </c>
      <c r="F23" s="101">
        <f t="shared" si="4"/>
        <v>7036.8</v>
      </c>
      <c r="G23" s="101">
        <f t="shared" si="2"/>
        <v>8444.16</v>
      </c>
      <c r="J23" s="438"/>
      <c r="K23" s="438">
        <f t="shared" si="1"/>
        <v>0</v>
      </c>
    </row>
    <row r="24" spans="1:11" ht="15.6" x14ac:dyDescent="0.3">
      <c r="A24" s="86">
        <f t="shared" si="5"/>
        <v>18</v>
      </c>
      <c r="B24" s="66" t="s">
        <v>652</v>
      </c>
      <c r="C24" s="65" t="s">
        <v>220</v>
      </c>
      <c r="D24" s="70">
        <v>1</v>
      </c>
      <c r="E24" s="170">
        <v>4154.8588200000004</v>
      </c>
      <c r="F24" s="101">
        <f t="shared" si="4"/>
        <v>4154.8599999999997</v>
      </c>
      <c r="G24" s="101">
        <f t="shared" si="2"/>
        <v>4985.83</v>
      </c>
      <c r="J24" s="438"/>
      <c r="K24" s="438">
        <f t="shared" si="1"/>
        <v>0</v>
      </c>
    </row>
    <row r="25" spans="1:11" ht="15.6" x14ac:dyDescent="0.3">
      <c r="A25" s="86">
        <f t="shared" si="5"/>
        <v>19</v>
      </c>
      <c r="B25" s="66" t="s">
        <v>653</v>
      </c>
      <c r="C25" s="65" t="s">
        <v>220</v>
      </c>
      <c r="D25" s="70">
        <v>1</v>
      </c>
      <c r="E25" s="170">
        <v>7138.347804</v>
      </c>
      <c r="F25" s="101">
        <f t="shared" si="4"/>
        <v>7138.35</v>
      </c>
      <c r="G25" s="101">
        <f t="shared" si="2"/>
        <v>8566.02</v>
      </c>
      <c r="J25" s="438"/>
      <c r="K25" s="438">
        <f t="shared" si="1"/>
        <v>0</v>
      </c>
    </row>
    <row r="26" spans="1:11" ht="27.6" x14ac:dyDescent="0.3">
      <c r="A26" s="86">
        <f t="shared" si="5"/>
        <v>20</v>
      </c>
      <c r="B26" s="66" t="s">
        <v>654</v>
      </c>
      <c r="C26" s="65" t="s">
        <v>220</v>
      </c>
      <c r="D26" s="70">
        <v>2</v>
      </c>
      <c r="E26" s="170">
        <v>3569.8890239999996</v>
      </c>
      <c r="F26" s="101">
        <f t="shared" si="4"/>
        <v>7139.78</v>
      </c>
      <c r="G26" s="101">
        <f t="shared" si="2"/>
        <v>8567.74</v>
      </c>
      <c r="J26" s="438"/>
      <c r="K26" s="438">
        <f t="shared" si="1"/>
        <v>0</v>
      </c>
    </row>
    <row r="27" spans="1:11" ht="27.6" x14ac:dyDescent="0.3">
      <c r="A27" s="86">
        <f t="shared" si="5"/>
        <v>21</v>
      </c>
      <c r="B27" s="66" t="s">
        <v>655</v>
      </c>
      <c r="C27" s="65" t="s">
        <v>220</v>
      </c>
      <c r="D27" s="70">
        <v>1</v>
      </c>
      <c r="E27" s="170">
        <v>3569.8890239999996</v>
      </c>
      <c r="F27" s="101">
        <f t="shared" si="4"/>
        <v>3569.89</v>
      </c>
      <c r="G27" s="101">
        <f t="shared" si="2"/>
        <v>4283.87</v>
      </c>
      <c r="J27" s="438"/>
      <c r="K27" s="438">
        <f t="shared" si="1"/>
        <v>0</v>
      </c>
    </row>
    <row r="28" spans="1:11" ht="15.6" x14ac:dyDescent="0.3">
      <c r="A28" s="86">
        <f t="shared" si="5"/>
        <v>22</v>
      </c>
      <c r="B28" s="66" t="s">
        <v>656</v>
      </c>
      <c r="C28" s="65" t="s">
        <v>220</v>
      </c>
      <c r="D28" s="70">
        <v>1</v>
      </c>
      <c r="E28" s="170">
        <v>3568.4587799999999</v>
      </c>
      <c r="F28" s="101">
        <f t="shared" si="4"/>
        <v>3568.46</v>
      </c>
      <c r="G28" s="101">
        <f t="shared" si="2"/>
        <v>4282.1499999999996</v>
      </c>
      <c r="J28" s="438"/>
      <c r="K28" s="438">
        <f t="shared" si="1"/>
        <v>0</v>
      </c>
    </row>
    <row r="29" spans="1:11" ht="41.4" x14ac:dyDescent="0.3">
      <c r="A29" s="86">
        <f t="shared" si="5"/>
        <v>23</v>
      </c>
      <c r="B29" s="66" t="s">
        <v>657</v>
      </c>
      <c r="C29" s="65" t="s">
        <v>220</v>
      </c>
      <c r="D29" s="70">
        <v>1</v>
      </c>
      <c r="E29" s="170">
        <v>4884.2832600000002</v>
      </c>
      <c r="F29" s="101">
        <f t="shared" si="4"/>
        <v>4884.28</v>
      </c>
      <c r="G29" s="101">
        <f t="shared" si="2"/>
        <v>5861.14</v>
      </c>
      <c r="J29" s="438"/>
      <c r="K29" s="438">
        <f t="shared" si="1"/>
        <v>0</v>
      </c>
    </row>
    <row r="30" spans="1:11" ht="15.6" x14ac:dyDescent="0.3">
      <c r="A30" s="86">
        <f t="shared" si="5"/>
        <v>24</v>
      </c>
      <c r="B30" s="66" t="s">
        <v>658</v>
      </c>
      <c r="C30" s="65" t="s">
        <v>220</v>
      </c>
      <c r="D30" s="70">
        <v>1</v>
      </c>
      <c r="E30" s="170">
        <v>7082.5682879999995</v>
      </c>
      <c r="F30" s="101">
        <f t="shared" si="4"/>
        <v>7082.57</v>
      </c>
      <c r="G30" s="101">
        <f t="shared" si="2"/>
        <v>8499.08</v>
      </c>
      <c r="J30" s="438"/>
      <c r="K30" s="438">
        <f t="shared" si="1"/>
        <v>0</v>
      </c>
    </row>
    <row r="31" spans="1:11" ht="15.6" x14ac:dyDescent="0.3">
      <c r="A31" s="86">
        <f t="shared" si="5"/>
        <v>25</v>
      </c>
      <c r="B31" s="66" t="s">
        <v>659</v>
      </c>
      <c r="C31" s="65" t="s">
        <v>220</v>
      </c>
      <c r="D31" s="70">
        <v>1</v>
      </c>
      <c r="E31" s="170">
        <v>2236.9016159999996</v>
      </c>
      <c r="F31" s="101">
        <f t="shared" si="4"/>
        <v>2236.9</v>
      </c>
      <c r="G31" s="101">
        <f t="shared" si="2"/>
        <v>2684.28</v>
      </c>
      <c r="J31" s="438"/>
      <c r="K31" s="438">
        <f t="shared" si="1"/>
        <v>0</v>
      </c>
    </row>
    <row r="32" spans="1:11" ht="27.6" x14ac:dyDescent="0.3">
      <c r="A32" s="86">
        <f t="shared" si="5"/>
        <v>26</v>
      </c>
      <c r="B32" s="66" t="s">
        <v>660</v>
      </c>
      <c r="C32" s="65" t="s">
        <v>220</v>
      </c>
      <c r="D32" s="70">
        <v>1</v>
      </c>
      <c r="E32" s="170">
        <v>21719.685384</v>
      </c>
      <c r="F32" s="101">
        <f t="shared" si="4"/>
        <v>21719.69</v>
      </c>
      <c r="G32" s="101">
        <f t="shared" si="2"/>
        <v>26063.63</v>
      </c>
      <c r="J32" s="438"/>
      <c r="K32" s="438">
        <f t="shared" si="1"/>
        <v>0</v>
      </c>
    </row>
    <row r="33" spans="1:11" ht="27.6" x14ac:dyDescent="0.3">
      <c r="A33" s="86">
        <f t="shared" si="5"/>
        <v>27</v>
      </c>
      <c r="B33" s="66" t="s">
        <v>661</v>
      </c>
      <c r="C33" s="65" t="s">
        <v>220</v>
      </c>
      <c r="D33" s="70">
        <v>1</v>
      </c>
      <c r="E33" s="170">
        <v>3725.7856199999997</v>
      </c>
      <c r="F33" s="101">
        <f t="shared" si="4"/>
        <v>3725.79</v>
      </c>
      <c r="G33" s="101">
        <f t="shared" si="2"/>
        <v>4470.95</v>
      </c>
      <c r="J33" s="438"/>
      <c r="K33" s="438">
        <f t="shared" si="1"/>
        <v>0</v>
      </c>
    </row>
    <row r="34" spans="1:11" ht="15.6" x14ac:dyDescent="0.3">
      <c r="A34" s="86">
        <f t="shared" si="5"/>
        <v>28</v>
      </c>
      <c r="B34" s="66" t="s">
        <v>662</v>
      </c>
      <c r="C34" s="65" t="s">
        <v>193</v>
      </c>
      <c r="D34" s="67">
        <v>7.0000000000000007E-2</v>
      </c>
      <c r="E34" s="170">
        <v>1234.3005719999999</v>
      </c>
      <c r="F34" s="101">
        <f t="shared" si="4"/>
        <v>86.4</v>
      </c>
      <c r="G34" s="101">
        <f t="shared" si="2"/>
        <v>103.68</v>
      </c>
      <c r="J34" s="438"/>
      <c r="K34" s="438">
        <f t="shared" si="1"/>
        <v>0</v>
      </c>
    </row>
    <row r="35" spans="1:11" ht="27.6" x14ac:dyDescent="0.3">
      <c r="A35" s="86">
        <f t="shared" si="5"/>
        <v>29</v>
      </c>
      <c r="B35" s="264" t="s">
        <v>1083</v>
      </c>
      <c r="C35" s="86" t="s">
        <v>193</v>
      </c>
      <c r="D35" s="226">
        <v>0.5</v>
      </c>
      <c r="E35" s="170">
        <v>13196.947202639998</v>
      </c>
      <c r="F35" s="102">
        <f t="shared" si="4"/>
        <v>6598.47</v>
      </c>
      <c r="G35" s="102">
        <f t="shared" si="2"/>
        <v>7918.16</v>
      </c>
      <c r="J35" s="438"/>
      <c r="K35" s="438">
        <f t="shared" si="1"/>
        <v>0</v>
      </c>
    </row>
    <row r="36" spans="1:11" ht="33" customHeight="1" x14ac:dyDescent="0.3">
      <c r="A36" s="153"/>
      <c r="B36" s="221" t="s">
        <v>1167</v>
      </c>
      <c r="C36" s="161"/>
      <c r="D36" s="161"/>
      <c r="E36" s="161"/>
      <c r="F36" s="161"/>
      <c r="G36" s="161"/>
      <c r="J36" s="438"/>
      <c r="K36" s="438">
        <f t="shared" si="1"/>
        <v>0</v>
      </c>
    </row>
    <row r="37" spans="1:11" ht="15.6" x14ac:dyDescent="0.3">
      <c r="A37" s="86"/>
      <c r="B37" s="84" t="s">
        <v>513</v>
      </c>
      <c r="C37" s="86"/>
      <c r="D37" s="152"/>
      <c r="E37" s="170">
        <v>0</v>
      </c>
      <c r="F37" s="160"/>
      <c r="G37" s="265"/>
      <c r="J37" s="438"/>
      <c r="K37" s="438">
        <f t="shared" si="1"/>
        <v>0</v>
      </c>
    </row>
    <row r="38" spans="1:11" ht="15.6" x14ac:dyDescent="0.3">
      <c r="A38" s="86">
        <f>A35+1</f>
        <v>30</v>
      </c>
      <c r="B38" s="243" t="s">
        <v>641</v>
      </c>
      <c r="C38" s="86" t="s">
        <v>193</v>
      </c>
      <c r="D38" s="152">
        <v>790</v>
      </c>
      <c r="E38" s="170">
        <v>464.82929999999999</v>
      </c>
      <c r="F38" s="102">
        <f t="shared" ref="F38:F47" si="6">ROUND(E38*D38,2)</f>
        <v>367215.15</v>
      </c>
      <c r="G38" s="102">
        <f t="shared" ref="G38:G47" si="7">ROUND(F38*1.2,2)</f>
        <v>440658.18</v>
      </c>
      <c r="J38" s="438"/>
      <c r="K38" s="438">
        <f t="shared" si="1"/>
        <v>0</v>
      </c>
    </row>
    <row r="39" spans="1:11" ht="15.6" x14ac:dyDescent="0.3">
      <c r="A39" s="86">
        <f>A38+1</f>
        <v>31</v>
      </c>
      <c r="B39" s="243" t="s">
        <v>515</v>
      </c>
      <c r="C39" s="86" t="s">
        <v>193</v>
      </c>
      <c r="D39" s="152">
        <v>24</v>
      </c>
      <c r="E39" s="170">
        <v>2541.5435879999995</v>
      </c>
      <c r="F39" s="102">
        <f t="shared" si="6"/>
        <v>60997.05</v>
      </c>
      <c r="G39" s="102">
        <f t="shared" si="7"/>
        <v>73196.460000000006</v>
      </c>
      <c r="J39" s="438"/>
      <c r="K39" s="438">
        <f t="shared" si="1"/>
        <v>0</v>
      </c>
    </row>
    <row r="40" spans="1:11" ht="15.6" x14ac:dyDescent="0.3">
      <c r="A40" s="86">
        <f t="shared" ref="A40:A47" si="8">A39+1</f>
        <v>32</v>
      </c>
      <c r="B40" s="243" t="s">
        <v>521</v>
      </c>
      <c r="C40" s="86" t="s">
        <v>193</v>
      </c>
      <c r="D40" s="152">
        <v>8</v>
      </c>
      <c r="E40" s="170">
        <v>1972.306476</v>
      </c>
      <c r="F40" s="102">
        <f t="shared" si="6"/>
        <v>15778.45</v>
      </c>
      <c r="G40" s="102">
        <f t="shared" si="7"/>
        <v>18934.14</v>
      </c>
      <c r="J40" s="438"/>
      <c r="K40" s="438">
        <f t="shared" si="1"/>
        <v>0</v>
      </c>
    </row>
    <row r="41" spans="1:11" ht="15.6" x14ac:dyDescent="0.3">
      <c r="A41" s="86">
        <f t="shared" si="8"/>
        <v>33</v>
      </c>
      <c r="B41" s="243" t="s">
        <v>522</v>
      </c>
      <c r="C41" s="86" t="s">
        <v>193</v>
      </c>
      <c r="D41" s="227">
        <v>106</v>
      </c>
      <c r="E41" s="170">
        <v>1972.306476</v>
      </c>
      <c r="F41" s="102">
        <f t="shared" si="6"/>
        <v>209064.49</v>
      </c>
      <c r="G41" s="102">
        <f t="shared" si="7"/>
        <v>250877.39</v>
      </c>
      <c r="J41" s="438"/>
      <c r="K41" s="438">
        <f t="shared" si="1"/>
        <v>0</v>
      </c>
    </row>
    <row r="42" spans="1:11" ht="15.6" x14ac:dyDescent="0.3">
      <c r="A42" s="86">
        <f t="shared" si="8"/>
        <v>34</v>
      </c>
      <c r="B42" s="243" t="s">
        <v>516</v>
      </c>
      <c r="C42" s="86" t="s">
        <v>193</v>
      </c>
      <c r="D42" s="152">
        <v>663</v>
      </c>
      <c r="E42" s="170">
        <v>178.78050000000002</v>
      </c>
      <c r="F42" s="102">
        <f t="shared" si="6"/>
        <v>118531.47</v>
      </c>
      <c r="G42" s="102">
        <f t="shared" si="7"/>
        <v>142237.76000000001</v>
      </c>
      <c r="J42" s="438"/>
      <c r="K42" s="438">
        <f t="shared" si="1"/>
        <v>0</v>
      </c>
    </row>
    <row r="43" spans="1:11" ht="15.6" x14ac:dyDescent="0.3">
      <c r="A43" s="86">
        <f t="shared" si="8"/>
        <v>35</v>
      </c>
      <c r="B43" s="243" t="s">
        <v>643</v>
      </c>
      <c r="C43" s="86" t="s">
        <v>193</v>
      </c>
      <c r="D43" s="152">
        <v>35</v>
      </c>
      <c r="E43" s="170">
        <v>1285.789356</v>
      </c>
      <c r="F43" s="102">
        <f t="shared" si="6"/>
        <v>45002.63</v>
      </c>
      <c r="G43" s="102">
        <f t="shared" si="7"/>
        <v>54003.16</v>
      </c>
      <c r="J43" s="438"/>
      <c r="K43" s="438">
        <f t="shared" si="1"/>
        <v>0</v>
      </c>
    </row>
    <row r="44" spans="1:11" ht="15.6" x14ac:dyDescent="0.3">
      <c r="A44" s="86">
        <f t="shared" si="8"/>
        <v>36</v>
      </c>
      <c r="B44" s="243" t="s">
        <v>451</v>
      </c>
      <c r="C44" s="86" t="s">
        <v>193</v>
      </c>
      <c r="D44" s="152">
        <v>116</v>
      </c>
      <c r="E44" s="170">
        <v>283.188312</v>
      </c>
      <c r="F44" s="102">
        <f t="shared" si="6"/>
        <v>32849.839999999997</v>
      </c>
      <c r="G44" s="102">
        <f t="shared" si="7"/>
        <v>39419.81</v>
      </c>
      <c r="J44" s="438"/>
      <c r="K44" s="438">
        <f t="shared" si="1"/>
        <v>0</v>
      </c>
    </row>
    <row r="45" spans="1:11" ht="15.6" x14ac:dyDescent="0.3">
      <c r="A45" s="86">
        <f t="shared" si="8"/>
        <v>37</v>
      </c>
      <c r="B45" s="243" t="s">
        <v>644</v>
      </c>
      <c r="C45" s="86" t="s">
        <v>431</v>
      </c>
      <c r="D45" s="267">
        <v>232</v>
      </c>
      <c r="E45" s="170">
        <v>178.78050000000002</v>
      </c>
      <c r="F45" s="102">
        <f t="shared" si="6"/>
        <v>41477.08</v>
      </c>
      <c r="G45" s="102">
        <f t="shared" si="7"/>
        <v>49772.5</v>
      </c>
      <c r="J45" s="438"/>
      <c r="K45" s="438">
        <f t="shared" si="1"/>
        <v>0</v>
      </c>
    </row>
    <row r="46" spans="1:11" ht="15.6" x14ac:dyDescent="0.3">
      <c r="A46" s="86">
        <f t="shared" si="8"/>
        <v>38</v>
      </c>
      <c r="B46" s="243" t="s">
        <v>518</v>
      </c>
      <c r="C46" s="86" t="s">
        <v>239</v>
      </c>
      <c r="D46" s="227">
        <v>185.6</v>
      </c>
      <c r="E46" s="170">
        <v>464.82929999999999</v>
      </c>
      <c r="F46" s="102">
        <f t="shared" si="6"/>
        <v>86272.320000000007</v>
      </c>
      <c r="G46" s="102">
        <f t="shared" si="7"/>
        <v>103526.78</v>
      </c>
      <c r="J46" s="438"/>
      <c r="K46" s="438">
        <f t="shared" si="1"/>
        <v>0</v>
      </c>
    </row>
    <row r="47" spans="1:11" ht="15.6" x14ac:dyDescent="0.3">
      <c r="A47" s="453">
        <f t="shared" si="8"/>
        <v>39</v>
      </c>
      <c r="B47" s="243" t="s">
        <v>503</v>
      </c>
      <c r="C47" s="86" t="s">
        <v>239</v>
      </c>
      <c r="D47" s="227">
        <v>185.6</v>
      </c>
      <c r="E47" s="170">
        <f>'искл-свод'!B2</f>
        <v>1361.6</v>
      </c>
      <c r="F47" s="102">
        <f t="shared" si="6"/>
        <v>252712.95999999999</v>
      </c>
      <c r="G47" s="102">
        <f t="shared" si="7"/>
        <v>303255.55</v>
      </c>
      <c r="J47" s="438"/>
      <c r="K47" s="438">
        <f t="shared" si="1"/>
        <v>0</v>
      </c>
    </row>
    <row r="48" spans="1:11" ht="15.6" x14ac:dyDescent="0.3">
      <c r="A48" s="86"/>
      <c r="B48" s="84" t="s">
        <v>523</v>
      </c>
      <c r="C48" s="86"/>
      <c r="D48" s="152"/>
      <c r="E48" s="170">
        <v>0</v>
      </c>
      <c r="F48" s="160"/>
      <c r="G48" s="265"/>
      <c r="J48" s="438"/>
      <c r="K48" s="438">
        <f t="shared" si="1"/>
        <v>0</v>
      </c>
    </row>
    <row r="49" spans="1:11" ht="27.6" x14ac:dyDescent="0.3">
      <c r="A49" s="86">
        <f>A47+1</f>
        <v>40</v>
      </c>
      <c r="B49" s="243" t="s">
        <v>645</v>
      </c>
      <c r="C49" s="86" t="s">
        <v>194</v>
      </c>
      <c r="D49" s="152">
        <v>101</v>
      </c>
      <c r="E49" s="170">
        <v>1454.5581479999998</v>
      </c>
      <c r="F49" s="102">
        <f t="shared" ref="F49:F56" si="9">ROUND(E49*D49,2)</f>
        <v>146910.37</v>
      </c>
      <c r="G49" s="102">
        <f t="shared" ref="G49:G56" si="10">ROUND(F49*1.2,2)</f>
        <v>176292.44</v>
      </c>
      <c r="J49" s="438"/>
      <c r="K49" s="438">
        <f t="shared" si="1"/>
        <v>0</v>
      </c>
    </row>
    <row r="50" spans="1:11" ht="41.4" x14ac:dyDescent="0.3">
      <c r="A50" s="86">
        <f>A49+1</f>
        <v>41</v>
      </c>
      <c r="B50" s="243" t="s">
        <v>1165</v>
      </c>
      <c r="C50" s="86" t="s">
        <v>194</v>
      </c>
      <c r="D50" s="152">
        <v>12</v>
      </c>
      <c r="E50" s="170">
        <v>2183.9825879999994</v>
      </c>
      <c r="F50" s="102">
        <f t="shared" si="9"/>
        <v>26207.79</v>
      </c>
      <c r="G50" s="102">
        <f t="shared" si="10"/>
        <v>31449.35</v>
      </c>
      <c r="J50" s="438"/>
      <c r="K50" s="438">
        <f t="shared" si="1"/>
        <v>0</v>
      </c>
    </row>
    <row r="51" spans="1:11" ht="15.6" x14ac:dyDescent="0.3">
      <c r="A51" s="86">
        <f t="shared" ref="A51:A56" si="11">A50+1</f>
        <v>42</v>
      </c>
      <c r="B51" s="243" t="s">
        <v>648</v>
      </c>
      <c r="C51" s="86" t="s">
        <v>194</v>
      </c>
      <c r="D51" s="152">
        <v>12</v>
      </c>
      <c r="E51" s="170">
        <v>1633.3386479999999</v>
      </c>
      <c r="F51" s="102">
        <f t="shared" si="9"/>
        <v>19600.060000000001</v>
      </c>
      <c r="G51" s="102">
        <f t="shared" si="10"/>
        <v>23520.07</v>
      </c>
      <c r="J51" s="438"/>
      <c r="K51" s="438">
        <f t="shared" si="1"/>
        <v>0</v>
      </c>
    </row>
    <row r="52" spans="1:11" ht="15.6" x14ac:dyDescent="0.3">
      <c r="A52" s="86">
        <f t="shared" si="11"/>
        <v>43</v>
      </c>
      <c r="B52" s="243" t="s">
        <v>649</v>
      </c>
      <c r="C52" s="86" t="s">
        <v>650</v>
      </c>
      <c r="D52" s="152">
        <v>1</v>
      </c>
      <c r="E52" s="170">
        <v>4858.5388679999996</v>
      </c>
      <c r="F52" s="102">
        <f t="shared" si="9"/>
        <v>4858.54</v>
      </c>
      <c r="G52" s="102">
        <f t="shared" si="10"/>
        <v>5830.25</v>
      </c>
      <c r="J52" s="438"/>
      <c r="K52" s="438">
        <f t="shared" si="1"/>
        <v>0</v>
      </c>
    </row>
    <row r="53" spans="1:11" ht="27.6" x14ac:dyDescent="0.3">
      <c r="A53" s="86">
        <f t="shared" si="11"/>
        <v>44</v>
      </c>
      <c r="B53" s="243" t="s">
        <v>667</v>
      </c>
      <c r="C53" s="86" t="s">
        <v>220</v>
      </c>
      <c r="D53" s="152">
        <v>2</v>
      </c>
      <c r="E53" s="170">
        <v>5708.1038040000003</v>
      </c>
      <c r="F53" s="102">
        <f t="shared" si="9"/>
        <v>11416.21</v>
      </c>
      <c r="G53" s="102">
        <f t="shared" si="10"/>
        <v>13699.45</v>
      </c>
      <c r="J53" s="438"/>
      <c r="K53" s="438">
        <f t="shared" si="1"/>
        <v>0</v>
      </c>
    </row>
    <row r="54" spans="1:11" ht="27.6" x14ac:dyDescent="0.3">
      <c r="A54" s="86">
        <f t="shared" si="11"/>
        <v>45</v>
      </c>
      <c r="B54" s="243" t="s">
        <v>668</v>
      </c>
      <c r="C54" s="86" t="s">
        <v>220</v>
      </c>
      <c r="D54" s="152">
        <v>2</v>
      </c>
      <c r="E54" s="170">
        <v>2092.4469720000002</v>
      </c>
      <c r="F54" s="102">
        <f t="shared" si="9"/>
        <v>4184.8900000000003</v>
      </c>
      <c r="G54" s="102">
        <f t="shared" si="10"/>
        <v>5021.87</v>
      </c>
      <c r="J54" s="438"/>
      <c r="K54" s="438">
        <f t="shared" si="1"/>
        <v>0</v>
      </c>
    </row>
    <row r="55" spans="1:11" ht="41.4" x14ac:dyDescent="0.3">
      <c r="A55" s="86">
        <f t="shared" si="11"/>
        <v>46</v>
      </c>
      <c r="B55" s="243" t="s">
        <v>657</v>
      </c>
      <c r="C55" s="86" t="s">
        <v>220</v>
      </c>
      <c r="D55" s="152">
        <v>2</v>
      </c>
      <c r="E55" s="170">
        <v>5055.9125400000003</v>
      </c>
      <c r="F55" s="102">
        <f t="shared" si="9"/>
        <v>10111.83</v>
      </c>
      <c r="G55" s="102">
        <f t="shared" si="10"/>
        <v>12134.2</v>
      </c>
      <c r="J55" s="438"/>
      <c r="K55" s="438">
        <f t="shared" si="1"/>
        <v>0</v>
      </c>
    </row>
    <row r="56" spans="1:11" ht="27.6" x14ac:dyDescent="0.3">
      <c r="A56" s="86">
        <f t="shared" si="11"/>
        <v>47</v>
      </c>
      <c r="B56" s="264" t="s">
        <v>1162</v>
      </c>
      <c r="C56" s="86" t="s">
        <v>193</v>
      </c>
      <c r="D56" s="266">
        <v>0.3</v>
      </c>
      <c r="E56" s="170">
        <v>13196.947202639998</v>
      </c>
      <c r="F56" s="102">
        <f t="shared" si="9"/>
        <v>3959.08</v>
      </c>
      <c r="G56" s="102">
        <f t="shared" si="10"/>
        <v>4750.8999999999996</v>
      </c>
      <c r="J56" s="438"/>
      <c r="K56" s="438">
        <f t="shared" si="1"/>
        <v>0</v>
      </c>
    </row>
    <row r="57" spans="1:11" ht="34.5" customHeight="1" x14ac:dyDescent="0.3">
      <c r="A57" s="153"/>
      <c r="B57" s="242" t="s">
        <v>1168</v>
      </c>
      <c r="C57" s="161"/>
      <c r="D57" s="161"/>
      <c r="E57" s="161"/>
      <c r="F57" s="161"/>
      <c r="G57" s="161"/>
      <c r="J57" s="438"/>
      <c r="K57" s="438">
        <f t="shared" si="1"/>
        <v>0</v>
      </c>
    </row>
    <row r="58" spans="1:11" ht="15.6" x14ac:dyDescent="0.3">
      <c r="A58" s="86"/>
      <c r="B58" s="84" t="s">
        <v>513</v>
      </c>
      <c r="C58" s="86"/>
      <c r="D58" s="268"/>
      <c r="E58" s="170">
        <v>0</v>
      </c>
      <c r="F58" s="160"/>
      <c r="G58" s="265"/>
      <c r="J58" s="438"/>
      <c r="K58" s="438">
        <f t="shared" si="1"/>
        <v>0</v>
      </c>
    </row>
    <row r="59" spans="1:11" ht="15.6" x14ac:dyDescent="0.3">
      <c r="A59" s="86">
        <f>A56+1</f>
        <v>48</v>
      </c>
      <c r="B59" s="243" t="s">
        <v>641</v>
      </c>
      <c r="C59" s="86" t="s">
        <v>193</v>
      </c>
      <c r="D59" s="152">
        <v>177</v>
      </c>
      <c r="E59" s="170">
        <v>464.82929999999999</v>
      </c>
      <c r="F59" s="102">
        <f t="shared" ref="F59:F68" si="12">ROUND(E59*D59,2)</f>
        <v>82274.789999999994</v>
      </c>
      <c r="G59" s="102">
        <f t="shared" ref="G59:G68" si="13">ROUND(F59*1.2,2)</f>
        <v>98729.75</v>
      </c>
      <c r="J59" s="438"/>
      <c r="K59" s="438">
        <f t="shared" si="1"/>
        <v>0</v>
      </c>
    </row>
    <row r="60" spans="1:11" ht="15.6" x14ac:dyDescent="0.3">
      <c r="A60" s="86">
        <f>A59+1</f>
        <v>49</v>
      </c>
      <c r="B60" s="243" t="s">
        <v>515</v>
      </c>
      <c r="C60" s="86" t="s">
        <v>193</v>
      </c>
      <c r="D60" s="227">
        <v>5.5</v>
      </c>
      <c r="E60" s="170">
        <v>2541.5435879999995</v>
      </c>
      <c r="F60" s="102">
        <f t="shared" si="12"/>
        <v>13978.49</v>
      </c>
      <c r="G60" s="102">
        <f t="shared" si="13"/>
        <v>16774.189999999999</v>
      </c>
      <c r="J60" s="438"/>
      <c r="K60" s="438">
        <f t="shared" si="1"/>
        <v>0</v>
      </c>
    </row>
    <row r="61" spans="1:11" ht="15.6" x14ac:dyDescent="0.3">
      <c r="A61" s="86">
        <f t="shared" ref="A61:A68" si="14">A60+1</f>
        <v>50</v>
      </c>
      <c r="B61" s="243" t="s">
        <v>521</v>
      </c>
      <c r="C61" s="86" t="s">
        <v>193</v>
      </c>
      <c r="D61" s="152">
        <v>3</v>
      </c>
      <c r="E61" s="170">
        <v>1972.306476</v>
      </c>
      <c r="F61" s="102">
        <f t="shared" si="12"/>
        <v>5916.92</v>
      </c>
      <c r="G61" s="102">
        <f t="shared" si="13"/>
        <v>7100.3</v>
      </c>
      <c r="J61" s="438"/>
      <c r="K61" s="438">
        <f t="shared" si="1"/>
        <v>0</v>
      </c>
    </row>
    <row r="62" spans="1:11" ht="15.6" x14ac:dyDescent="0.3">
      <c r="A62" s="86">
        <f t="shared" si="14"/>
        <v>51</v>
      </c>
      <c r="B62" s="243" t="s">
        <v>522</v>
      </c>
      <c r="C62" s="86" t="s">
        <v>193</v>
      </c>
      <c r="D62" s="227">
        <v>44</v>
      </c>
      <c r="E62" s="170">
        <v>1972.306476</v>
      </c>
      <c r="F62" s="102">
        <f t="shared" si="12"/>
        <v>86781.48</v>
      </c>
      <c r="G62" s="102">
        <f t="shared" si="13"/>
        <v>104137.78</v>
      </c>
      <c r="J62" s="438"/>
      <c r="K62" s="438">
        <f t="shared" si="1"/>
        <v>0</v>
      </c>
    </row>
    <row r="63" spans="1:11" ht="15.6" x14ac:dyDescent="0.3">
      <c r="A63" s="86">
        <f t="shared" si="14"/>
        <v>52</v>
      </c>
      <c r="B63" s="243" t="s">
        <v>516</v>
      </c>
      <c r="C63" s="86" t="s">
        <v>193</v>
      </c>
      <c r="D63" s="152">
        <v>125</v>
      </c>
      <c r="E63" s="170">
        <v>178.78050000000002</v>
      </c>
      <c r="F63" s="102">
        <f t="shared" si="12"/>
        <v>22347.56</v>
      </c>
      <c r="G63" s="102">
        <f t="shared" si="13"/>
        <v>26817.07</v>
      </c>
      <c r="J63" s="438"/>
      <c r="K63" s="438">
        <f t="shared" si="1"/>
        <v>0</v>
      </c>
    </row>
    <row r="64" spans="1:11" ht="15.6" x14ac:dyDescent="0.3">
      <c r="A64" s="86">
        <f t="shared" si="14"/>
        <v>53</v>
      </c>
      <c r="B64" s="243" t="s">
        <v>643</v>
      </c>
      <c r="C64" s="86" t="s">
        <v>193</v>
      </c>
      <c r="D64" s="152">
        <v>7</v>
      </c>
      <c r="E64" s="170">
        <v>1285.789356</v>
      </c>
      <c r="F64" s="102">
        <f t="shared" si="12"/>
        <v>9000.5300000000007</v>
      </c>
      <c r="G64" s="102">
        <f t="shared" si="13"/>
        <v>10800.64</v>
      </c>
      <c r="J64" s="438"/>
      <c r="K64" s="438">
        <f t="shared" si="1"/>
        <v>0</v>
      </c>
    </row>
    <row r="65" spans="1:11" ht="15.6" x14ac:dyDescent="0.3">
      <c r="A65" s="86">
        <f t="shared" si="14"/>
        <v>54</v>
      </c>
      <c r="B65" s="243" t="s">
        <v>451</v>
      </c>
      <c r="C65" s="86" t="s">
        <v>193</v>
      </c>
      <c r="D65" s="152">
        <v>125</v>
      </c>
      <c r="E65" s="170">
        <v>283.188312</v>
      </c>
      <c r="F65" s="102">
        <f t="shared" si="12"/>
        <v>35398.54</v>
      </c>
      <c r="G65" s="102">
        <f t="shared" si="13"/>
        <v>42478.25</v>
      </c>
      <c r="J65" s="438"/>
      <c r="K65" s="438">
        <f t="shared" si="1"/>
        <v>0</v>
      </c>
    </row>
    <row r="66" spans="1:11" ht="15.6" x14ac:dyDescent="0.3">
      <c r="A66" s="86">
        <f t="shared" si="14"/>
        <v>55</v>
      </c>
      <c r="B66" s="243" t="s">
        <v>644</v>
      </c>
      <c r="C66" s="86" t="s">
        <v>431</v>
      </c>
      <c r="D66" s="152">
        <v>250</v>
      </c>
      <c r="E66" s="170">
        <v>178.78050000000002</v>
      </c>
      <c r="F66" s="102">
        <f t="shared" si="12"/>
        <v>44695.13</v>
      </c>
      <c r="G66" s="102">
        <f t="shared" si="13"/>
        <v>53634.16</v>
      </c>
      <c r="J66" s="438"/>
      <c r="K66" s="438">
        <f t="shared" si="1"/>
        <v>0</v>
      </c>
    </row>
    <row r="67" spans="1:11" ht="15.6" x14ac:dyDescent="0.3">
      <c r="A67" s="86">
        <f t="shared" si="14"/>
        <v>56</v>
      </c>
      <c r="B67" s="243" t="s">
        <v>518</v>
      </c>
      <c r="C67" s="86" t="s">
        <v>239</v>
      </c>
      <c r="D67" s="227">
        <v>80.8</v>
      </c>
      <c r="E67" s="170">
        <v>464.82929999999999</v>
      </c>
      <c r="F67" s="102">
        <f t="shared" si="12"/>
        <v>37558.21</v>
      </c>
      <c r="G67" s="102">
        <f t="shared" si="13"/>
        <v>45069.85</v>
      </c>
      <c r="J67" s="438"/>
      <c r="K67" s="438">
        <f t="shared" si="1"/>
        <v>0</v>
      </c>
    </row>
    <row r="68" spans="1:11" ht="15.6" x14ac:dyDescent="0.3">
      <c r="A68" s="453">
        <f t="shared" si="14"/>
        <v>57</v>
      </c>
      <c r="B68" s="243" t="s">
        <v>503</v>
      </c>
      <c r="C68" s="86" t="s">
        <v>239</v>
      </c>
      <c r="D68" s="227">
        <v>80.8</v>
      </c>
      <c r="E68" s="170">
        <f>'искл-свод'!B2</f>
        <v>1361.6</v>
      </c>
      <c r="F68" s="102">
        <f t="shared" si="12"/>
        <v>110017.28</v>
      </c>
      <c r="G68" s="102">
        <f t="shared" si="13"/>
        <v>132020.74</v>
      </c>
      <c r="J68" s="438"/>
      <c r="K68" s="438">
        <f t="shared" si="1"/>
        <v>0</v>
      </c>
    </row>
    <row r="69" spans="1:11" ht="15.6" x14ac:dyDescent="0.3">
      <c r="A69" s="86"/>
      <c r="B69" s="84" t="s">
        <v>523</v>
      </c>
      <c r="C69" s="86"/>
      <c r="D69" s="152"/>
      <c r="E69" s="170">
        <v>0</v>
      </c>
      <c r="F69" s="160"/>
      <c r="G69" s="265"/>
      <c r="J69" s="438"/>
      <c r="K69" s="438">
        <f t="shared" si="1"/>
        <v>0</v>
      </c>
    </row>
    <row r="70" spans="1:11" ht="27.6" x14ac:dyDescent="0.3">
      <c r="A70" s="285">
        <f>A68+1</f>
        <v>58</v>
      </c>
      <c r="B70" s="290" t="s">
        <v>1169</v>
      </c>
      <c r="C70" s="285" t="s">
        <v>194</v>
      </c>
      <c r="D70" s="291">
        <v>32</v>
      </c>
      <c r="E70" s="170">
        <v>2137.0848872399997</v>
      </c>
      <c r="F70" s="288">
        <f t="shared" ref="F70:F76" si="15">ROUND(E70*D70,2)</f>
        <v>68386.720000000001</v>
      </c>
      <c r="G70" s="288">
        <f t="shared" ref="G70:G72" si="16">ROUND(F70*1.2,2)</f>
        <v>82064.06</v>
      </c>
      <c r="J70" s="438"/>
      <c r="K70" s="438">
        <f t="shared" ref="K70:K133" si="17">E70*J70*1.2</f>
        <v>0</v>
      </c>
    </row>
    <row r="71" spans="1:11" ht="41.4" x14ac:dyDescent="0.3">
      <c r="A71" s="285">
        <f>A70+1</f>
        <v>59</v>
      </c>
      <c r="B71" s="290" t="s">
        <v>1172</v>
      </c>
      <c r="C71" s="285" t="s">
        <v>194</v>
      </c>
      <c r="D71" s="298">
        <v>6</v>
      </c>
      <c r="E71" s="170">
        <v>8003.6454240000003</v>
      </c>
      <c r="F71" s="288">
        <f t="shared" si="15"/>
        <v>48021.87</v>
      </c>
      <c r="G71" s="288">
        <f t="shared" si="16"/>
        <v>57626.239999999998</v>
      </c>
      <c r="J71" s="438"/>
      <c r="K71" s="438">
        <f t="shared" si="17"/>
        <v>0</v>
      </c>
    </row>
    <row r="72" spans="1:11" s="244" customFormat="1" ht="15.6" x14ac:dyDescent="0.3">
      <c r="A72" s="285">
        <f t="shared" ref="A72:A73" si="18">A71+1</f>
        <v>60</v>
      </c>
      <c r="B72" s="290" t="s">
        <v>1176</v>
      </c>
      <c r="C72" s="285" t="s">
        <v>650</v>
      </c>
      <c r="D72" s="298">
        <v>1</v>
      </c>
      <c r="E72" s="170">
        <v>9604.088459999999</v>
      </c>
      <c r="F72" s="288">
        <f t="shared" si="15"/>
        <v>9604.09</v>
      </c>
      <c r="G72" s="288">
        <f t="shared" si="16"/>
        <v>11524.91</v>
      </c>
      <c r="J72" s="438"/>
      <c r="K72" s="438">
        <f t="shared" si="17"/>
        <v>0</v>
      </c>
    </row>
    <row r="73" spans="1:11" ht="27.6" x14ac:dyDescent="0.3">
      <c r="A73" s="285">
        <f t="shared" si="18"/>
        <v>61</v>
      </c>
      <c r="B73" s="290" t="s">
        <v>1170</v>
      </c>
      <c r="C73" s="285" t="s">
        <v>220</v>
      </c>
      <c r="D73" s="298">
        <v>2</v>
      </c>
      <c r="E73" s="170">
        <v>10374.904161359998</v>
      </c>
      <c r="F73" s="288">
        <f t="shared" si="15"/>
        <v>20749.810000000001</v>
      </c>
      <c r="G73" s="288">
        <f t="shared" ref="G73" si="19">ROUND(F73*1.2,2)</f>
        <v>24899.77</v>
      </c>
      <c r="J73" s="438"/>
      <c r="K73" s="438">
        <f t="shared" si="17"/>
        <v>0</v>
      </c>
    </row>
    <row r="74" spans="1:11" ht="15.6" x14ac:dyDescent="0.3">
      <c r="A74" s="285">
        <f>A73+1</f>
        <v>62</v>
      </c>
      <c r="B74" s="290" t="s">
        <v>1171</v>
      </c>
      <c r="C74" s="285" t="s">
        <v>220</v>
      </c>
      <c r="D74" s="298">
        <v>2</v>
      </c>
      <c r="E74" s="170">
        <v>9571.1070333599982</v>
      </c>
      <c r="F74" s="288">
        <f t="shared" si="15"/>
        <v>19142.21</v>
      </c>
      <c r="G74" s="288">
        <f t="shared" ref="G74" si="20">ROUND(F74*1.2,2)</f>
        <v>22970.65</v>
      </c>
      <c r="J74" s="438"/>
      <c r="K74" s="438">
        <f t="shared" si="17"/>
        <v>0</v>
      </c>
    </row>
    <row r="75" spans="1:11" ht="41.4" x14ac:dyDescent="0.3">
      <c r="A75" s="86">
        <f>A74+1</f>
        <v>63</v>
      </c>
      <c r="B75" s="243" t="s">
        <v>880</v>
      </c>
      <c r="C75" s="86" t="s">
        <v>220</v>
      </c>
      <c r="D75" s="152">
        <v>2</v>
      </c>
      <c r="E75" s="170">
        <v>7401.5127000000002</v>
      </c>
      <c r="F75" s="102">
        <f t="shared" si="15"/>
        <v>14803.03</v>
      </c>
      <c r="G75" s="102">
        <f t="shared" ref="G75:G76" si="21">ROUND(F75*1.2,2)</f>
        <v>17763.64</v>
      </c>
      <c r="J75" s="438"/>
      <c r="K75" s="438">
        <f t="shared" si="17"/>
        <v>0</v>
      </c>
    </row>
    <row r="76" spans="1:11" ht="27.6" x14ac:dyDescent="0.3">
      <c r="A76" s="86">
        <f>A75+1</f>
        <v>64</v>
      </c>
      <c r="B76" s="243" t="s">
        <v>1162</v>
      </c>
      <c r="C76" s="86" t="s">
        <v>193</v>
      </c>
      <c r="D76" s="152">
        <v>1</v>
      </c>
      <c r="E76" s="170">
        <v>13196.947202639998</v>
      </c>
      <c r="F76" s="102">
        <f t="shared" si="15"/>
        <v>13196.95</v>
      </c>
      <c r="G76" s="102">
        <f t="shared" si="21"/>
        <v>15836.34</v>
      </c>
      <c r="J76" s="438"/>
      <c r="K76" s="438">
        <f t="shared" si="17"/>
        <v>0</v>
      </c>
    </row>
    <row r="77" spans="1:11" ht="27.6" x14ac:dyDescent="0.3">
      <c r="A77" s="153"/>
      <c r="B77" s="242" t="s">
        <v>1211</v>
      </c>
      <c r="C77" s="161"/>
      <c r="D77" s="161"/>
      <c r="E77" s="161"/>
      <c r="F77" s="161"/>
      <c r="G77" s="161"/>
      <c r="J77" s="438"/>
      <c r="K77" s="438">
        <f t="shared" si="17"/>
        <v>0</v>
      </c>
    </row>
    <row r="78" spans="1:11" ht="15.6" x14ac:dyDescent="0.3">
      <c r="A78" s="86"/>
      <c r="B78" s="84" t="s">
        <v>513</v>
      </c>
      <c r="C78" s="86"/>
      <c r="D78" s="268"/>
      <c r="E78" s="170">
        <v>0</v>
      </c>
      <c r="F78" s="160"/>
      <c r="G78" s="265"/>
      <c r="J78" s="438"/>
      <c r="K78" s="438">
        <f t="shared" si="17"/>
        <v>0</v>
      </c>
    </row>
    <row r="79" spans="1:11" ht="15.6" x14ac:dyDescent="0.3">
      <c r="A79" s="86">
        <f>A76+1</f>
        <v>65</v>
      </c>
      <c r="B79" s="243" t="s">
        <v>641</v>
      </c>
      <c r="C79" s="86" t="s">
        <v>193</v>
      </c>
      <c r="D79" s="152">
        <v>1888</v>
      </c>
      <c r="E79" s="170">
        <v>464.82929999999999</v>
      </c>
      <c r="F79" s="102">
        <f t="shared" ref="F79:F88" si="22">ROUND(E79*D79,2)</f>
        <v>877597.72</v>
      </c>
      <c r="G79" s="102">
        <f t="shared" ref="G79:G88" si="23">ROUND(F79*1.2,2)</f>
        <v>1053117.26</v>
      </c>
      <c r="J79" s="438"/>
      <c r="K79" s="438">
        <f t="shared" si="17"/>
        <v>0</v>
      </c>
    </row>
    <row r="80" spans="1:11" ht="15.6" x14ac:dyDescent="0.3">
      <c r="A80" s="86">
        <f>A79+1</f>
        <v>66</v>
      </c>
      <c r="B80" s="243" t="s">
        <v>515</v>
      </c>
      <c r="C80" s="86" t="s">
        <v>193</v>
      </c>
      <c r="D80" s="227">
        <v>57</v>
      </c>
      <c r="E80" s="170">
        <v>2541.5435879999995</v>
      </c>
      <c r="F80" s="102">
        <f t="shared" si="22"/>
        <v>144867.98000000001</v>
      </c>
      <c r="G80" s="102">
        <f t="shared" si="23"/>
        <v>173841.58</v>
      </c>
      <c r="J80" s="438"/>
      <c r="K80" s="438">
        <f t="shared" si="17"/>
        <v>0</v>
      </c>
    </row>
    <row r="81" spans="1:11" ht="15.6" x14ac:dyDescent="0.3">
      <c r="A81" s="86">
        <f t="shared" ref="A81:A88" si="24">A80+1</f>
        <v>67</v>
      </c>
      <c r="B81" s="243" t="s">
        <v>521</v>
      </c>
      <c r="C81" s="86" t="s">
        <v>193</v>
      </c>
      <c r="D81" s="227">
        <v>27.5</v>
      </c>
      <c r="E81" s="170">
        <v>1972.306476</v>
      </c>
      <c r="F81" s="102">
        <f t="shared" si="22"/>
        <v>54238.43</v>
      </c>
      <c r="G81" s="102">
        <f t="shared" si="23"/>
        <v>65086.12</v>
      </c>
      <c r="J81" s="438"/>
      <c r="K81" s="438">
        <f t="shared" si="17"/>
        <v>0</v>
      </c>
    </row>
    <row r="82" spans="1:11" ht="15.6" x14ac:dyDescent="0.3">
      <c r="A82" s="86">
        <f t="shared" si="24"/>
        <v>68</v>
      </c>
      <c r="B82" s="243" t="s">
        <v>522</v>
      </c>
      <c r="C82" s="86" t="s">
        <v>193</v>
      </c>
      <c r="D82" s="227">
        <v>609</v>
      </c>
      <c r="E82" s="170">
        <v>1972.306476</v>
      </c>
      <c r="F82" s="102">
        <f t="shared" si="22"/>
        <v>1201134.6399999999</v>
      </c>
      <c r="G82" s="102">
        <f t="shared" si="23"/>
        <v>1441361.57</v>
      </c>
      <c r="J82" s="438"/>
      <c r="K82" s="438">
        <f t="shared" si="17"/>
        <v>0</v>
      </c>
    </row>
    <row r="83" spans="1:11" ht="15.6" x14ac:dyDescent="0.3">
      <c r="A83" s="86">
        <f t="shared" si="24"/>
        <v>69</v>
      </c>
      <c r="B83" s="243" t="s">
        <v>516</v>
      </c>
      <c r="C83" s="86" t="s">
        <v>193</v>
      </c>
      <c r="D83" s="152">
        <v>1205</v>
      </c>
      <c r="E83" s="170">
        <v>178.78050000000002</v>
      </c>
      <c r="F83" s="102">
        <f t="shared" si="22"/>
        <v>215430.5</v>
      </c>
      <c r="G83" s="102">
        <f t="shared" si="23"/>
        <v>258516.6</v>
      </c>
      <c r="J83" s="438"/>
      <c r="K83" s="438">
        <f t="shared" si="17"/>
        <v>0</v>
      </c>
    </row>
    <row r="84" spans="1:11" ht="15.6" x14ac:dyDescent="0.3">
      <c r="A84" s="86">
        <f t="shared" si="24"/>
        <v>70</v>
      </c>
      <c r="B84" s="243" t="s">
        <v>643</v>
      </c>
      <c r="C84" s="86" t="s">
        <v>193</v>
      </c>
      <c r="D84" s="152">
        <v>63</v>
      </c>
      <c r="E84" s="170">
        <v>1285.789356</v>
      </c>
      <c r="F84" s="102">
        <f t="shared" si="22"/>
        <v>81004.73</v>
      </c>
      <c r="G84" s="102">
        <f t="shared" si="23"/>
        <v>97205.68</v>
      </c>
      <c r="J84" s="438"/>
      <c r="K84" s="438">
        <f t="shared" si="17"/>
        <v>0</v>
      </c>
    </row>
    <row r="85" spans="1:11" ht="15.6" x14ac:dyDescent="0.3">
      <c r="A85" s="86">
        <f t="shared" si="24"/>
        <v>71</v>
      </c>
      <c r="B85" s="243" t="s">
        <v>451</v>
      </c>
      <c r="C85" s="86" t="s">
        <v>193</v>
      </c>
      <c r="D85" s="152">
        <v>1205</v>
      </c>
      <c r="E85" s="170">
        <v>283.188312</v>
      </c>
      <c r="F85" s="102">
        <f t="shared" si="22"/>
        <v>341241.92</v>
      </c>
      <c r="G85" s="102">
        <f t="shared" si="23"/>
        <v>409490.3</v>
      </c>
      <c r="J85" s="438"/>
      <c r="K85" s="438">
        <f t="shared" si="17"/>
        <v>0</v>
      </c>
    </row>
    <row r="86" spans="1:11" ht="15.6" x14ac:dyDescent="0.3">
      <c r="A86" s="86">
        <f t="shared" si="24"/>
        <v>72</v>
      </c>
      <c r="B86" s="243" t="s">
        <v>644</v>
      </c>
      <c r="C86" s="86" t="s">
        <v>431</v>
      </c>
      <c r="D86" s="152">
        <v>2410</v>
      </c>
      <c r="E86" s="170">
        <v>178.78050000000002</v>
      </c>
      <c r="F86" s="102">
        <f t="shared" si="22"/>
        <v>430861.01</v>
      </c>
      <c r="G86" s="102">
        <f t="shared" si="23"/>
        <v>517033.21</v>
      </c>
      <c r="J86" s="438"/>
      <c r="K86" s="438">
        <f t="shared" si="17"/>
        <v>0</v>
      </c>
    </row>
    <row r="87" spans="1:11" ht="15.6" x14ac:dyDescent="0.3">
      <c r="A87" s="86">
        <f t="shared" si="24"/>
        <v>73</v>
      </c>
      <c r="B87" s="243" t="s">
        <v>518</v>
      </c>
      <c r="C87" s="86" t="s">
        <v>239</v>
      </c>
      <c r="D87" s="227">
        <v>1083.2</v>
      </c>
      <c r="E87" s="170">
        <v>464.82929999999999</v>
      </c>
      <c r="F87" s="102">
        <f t="shared" si="22"/>
        <v>503503.1</v>
      </c>
      <c r="G87" s="102">
        <f t="shared" si="23"/>
        <v>604203.72</v>
      </c>
      <c r="J87" s="438"/>
      <c r="K87" s="438">
        <f t="shared" si="17"/>
        <v>0</v>
      </c>
    </row>
    <row r="88" spans="1:11" ht="15.6" x14ac:dyDescent="0.3">
      <c r="A88" s="453">
        <f t="shared" si="24"/>
        <v>74</v>
      </c>
      <c r="B88" s="243" t="s">
        <v>503</v>
      </c>
      <c r="C88" s="86" t="s">
        <v>239</v>
      </c>
      <c r="D88" s="227">
        <v>1083.2</v>
      </c>
      <c r="E88" s="170">
        <f>'искл-свод'!B2</f>
        <v>1361.6</v>
      </c>
      <c r="F88" s="102">
        <f t="shared" si="22"/>
        <v>1474885.12</v>
      </c>
      <c r="G88" s="102">
        <f t="shared" si="23"/>
        <v>1769862.14</v>
      </c>
      <c r="J88" s="438"/>
      <c r="K88" s="438">
        <f t="shared" si="17"/>
        <v>0</v>
      </c>
    </row>
    <row r="89" spans="1:11" ht="15.6" x14ac:dyDescent="0.3">
      <c r="A89" s="86"/>
      <c r="B89" s="84" t="s">
        <v>523</v>
      </c>
      <c r="C89" s="86"/>
      <c r="D89" s="152"/>
      <c r="E89" s="170">
        <v>0</v>
      </c>
      <c r="F89" s="160"/>
      <c r="G89" s="265"/>
      <c r="J89" s="438"/>
      <c r="K89" s="438">
        <f t="shared" si="17"/>
        <v>0</v>
      </c>
    </row>
    <row r="90" spans="1:11" ht="27.6" x14ac:dyDescent="0.3">
      <c r="A90" s="285">
        <f>A88+1</f>
        <v>75</v>
      </c>
      <c r="B90" s="290" t="s">
        <v>1169</v>
      </c>
      <c r="C90" s="285" t="s">
        <v>194</v>
      </c>
      <c r="D90" s="291">
        <v>238</v>
      </c>
      <c r="E90" s="170">
        <v>2137.0848872399997</v>
      </c>
      <c r="F90" s="288">
        <f t="shared" ref="F90:F108" si="25">ROUND(E90*D90,2)</f>
        <v>508626.2</v>
      </c>
      <c r="G90" s="288">
        <f t="shared" ref="G90" si="26">ROUND(F90*1.2,2)</f>
        <v>610351.43999999994</v>
      </c>
      <c r="J90" s="438"/>
      <c r="K90" s="438">
        <f t="shared" si="17"/>
        <v>0</v>
      </c>
    </row>
    <row r="91" spans="1:11" ht="27.6" x14ac:dyDescent="0.3">
      <c r="A91" s="285">
        <f>A90+1</f>
        <v>76</v>
      </c>
      <c r="B91" s="290" t="s">
        <v>1174</v>
      </c>
      <c r="C91" s="285" t="s">
        <v>194</v>
      </c>
      <c r="D91" s="291">
        <v>23</v>
      </c>
      <c r="E91" s="170">
        <v>1730.5952400000001</v>
      </c>
      <c r="F91" s="288">
        <f t="shared" si="25"/>
        <v>39803.69</v>
      </c>
      <c r="G91" s="288">
        <f t="shared" ref="G91:G95" si="27">ROUND(F91*1.2,2)</f>
        <v>47764.43</v>
      </c>
      <c r="J91" s="438"/>
      <c r="K91" s="438">
        <f t="shared" si="17"/>
        <v>0</v>
      </c>
    </row>
    <row r="92" spans="1:11" ht="41.4" x14ac:dyDescent="0.3">
      <c r="A92" s="86">
        <f>A91+1</f>
        <v>77</v>
      </c>
      <c r="B92" s="243" t="s">
        <v>1175</v>
      </c>
      <c r="C92" s="86" t="s">
        <v>194</v>
      </c>
      <c r="D92" s="152">
        <v>99</v>
      </c>
      <c r="E92" s="170">
        <v>8003.6454240000003</v>
      </c>
      <c r="F92" s="102">
        <f t="shared" si="25"/>
        <v>792360.9</v>
      </c>
      <c r="G92" s="102">
        <f t="shared" si="27"/>
        <v>950833.08</v>
      </c>
      <c r="J92" s="438"/>
      <c r="K92" s="438">
        <f t="shared" si="17"/>
        <v>0</v>
      </c>
    </row>
    <row r="93" spans="1:11" s="244" customFormat="1" ht="15.6" x14ac:dyDescent="0.3">
      <c r="A93" s="86">
        <f t="shared" ref="A93:A108" si="28">A92+1</f>
        <v>78</v>
      </c>
      <c r="B93" s="243" t="s">
        <v>1176</v>
      </c>
      <c r="C93" s="86" t="s">
        <v>650</v>
      </c>
      <c r="D93" s="152">
        <v>1</v>
      </c>
      <c r="E93" s="170">
        <v>9604.088459999999</v>
      </c>
      <c r="F93" s="102">
        <f t="shared" si="25"/>
        <v>9604.09</v>
      </c>
      <c r="G93" s="102">
        <f t="shared" si="27"/>
        <v>11524.91</v>
      </c>
      <c r="J93" s="438"/>
      <c r="K93" s="438">
        <f t="shared" si="17"/>
        <v>0</v>
      </c>
    </row>
    <row r="94" spans="1:11" ht="53.25" customHeight="1" x14ac:dyDescent="0.3">
      <c r="A94" s="86">
        <f t="shared" si="28"/>
        <v>79</v>
      </c>
      <c r="B94" s="243" t="s">
        <v>1178</v>
      </c>
      <c r="C94" s="86" t="s">
        <v>194</v>
      </c>
      <c r="D94" s="227">
        <v>10.5</v>
      </c>
      <c r="E94" s="170">
        <v>6930.9624239999994</v>
      </c>
      <c r="F94" s="102">
        <f t="shared" si="25"/>
        <v>72775.11</v>
      </c>
      <c r="G94" s="102">
        <f t="shared" si="27"/>
        <v>87330.13</v>
      </c>
      <c r="J94" s="438"/>
      <c r="K94" s="438">
        <f t="shared" si="17"/>
        <v>0</v>
      </c>
    </row>
    <row r="95" spans="1:11" ht="15.6" x14ac:dyDescent="0.3">
      <c r="A95" s="86">
        <f t="shared" si="28"/>
        <v>80</v>
      </c>
      <c r="B95" s="243" t="s">
        <v>1177</v>
      </c>
      <c r="C95" s="86" t="s">
        <v>650</v>
      </c>
      <c r="D95" s="152">
        <v>1</v>
      </c>
      <c r="E95" s="170">
        <v>6441.8189760000005</v>
      </c>
      <c r="F95" s="102">
        <f t="shared" si="25"/>
        <v>6441.82</v>
      </c>
      <c r="G95" s="102">
        <f t="shared" si="27"/>
        <v>7730.18</v>
      </c>
      <c r="J95" s="438"/>
      <c r="K95" s="438">
        <f t="shared" si="17"/>
        <v>0</v>
      </c>
    </row>
    <row r="96" spans="1:11" ht="41.4" x14ac:dyDescent="0.3">
      <c r="A96" s="86">
        <f t="shared" si="28"/>
        <v>81</v>
      </c>
      <c r="B96" s="243" t="s">
        <v>1179</v>
      </c>
      <c r="C96" s="86" t="s">
        <v>220</v>
      </c>
      <c r="D96" s="152">
        <v>1</v>
      </c>
      <c r="E96" s="170">
        <v>22682.239595999999</v>
      </c>
      <c r="F96" s="102">
        <f t="shared" si="25"/>
        <v>22682.240000000002</v>
      </c>
      <c r="G96" s="102">
        <f t="shared" ref="G96" si="29">ROUND(F96*1.2,2)</f>
        <v>27218.69</v>
      </c>
      <c r="J96" s="438"/>
      <c r="K96" s="438">
        <f t="shared" si="17"/>
        <v>0</v>
      </c>
    </row>
    <row r="97" spans="1:11" ht="41.4" x14ac:dyDescent="0.3">
      <c r="A97" s="86">
        <f t="shared" si="28"/>
        <v>82</v>
      </c>
      <c r="B97" s="243" t="s">
        <v>1180</v>
      </c>
      <c r="C97" s="86" t="s">
        <v>220</v>
      </c>
      <c r="D97" s="152">
        <v>2</v>
      </c>
      <c r="E97" s="170">
        <v>8507.0913119999987</v>
      </c>
      <c r="F97" s="102">
        <f t="shared" si="25"/>
        <v>17014.18</v>
      </c>
      <c r="G97" s="102">
        <f t="shared" ref="G97:G98" si="30">ROUND(F97*1.2,2)</f>
        <v>20417.02</v>
      </c>
      <c r="J97" s="438"/>
      <c r="K97" s="438">
        <f t="shared" si="17"/>
        <v>0</v>
      </c>
    </row>
    <row r="98" spans="1:11" ht="20.25" customHeight="1" x14ac:dyDescent="0.3">
      <c r="A98" s="285">
        <f t="shared" si="28"/>
        <v>83</v>
      </c>
      <c r="B98" s="290" t="s">
        <v>1181</v>
      </c>
      <c r="C98" s="285" t="s">
        <v>220</v>
      </c>
      <c r="D98" s="298">
        <v>2</v>
      </c>
      <c r="E98" s="170">
        <v>11150.182224</v>
      </c>
      <c r="F98" s="288">
        <f t="shared" si="25"/>
        <v>22300.36</v>
      </c>
      <c r="G98" s="288">
        <f t="shared" si="30"/>
        <v>26760.43</v>
      </c>
      <c r="J98" s="438"/>
      <c r="K98" s="438">
        <f t="shared" si="17"/>
        <v>0</v>
      </c>
    </row>
    <row r="99" spans="1:11" ht="27.6" x14ac:dyDescent="0.3">
      <c r="A99" s="285">
        <f t="shared" si="28"/>
        <v>84</v>
      </c>
      <c r="B99" s="290" t="s">
        <v>1170</v>
      </c>
      <c r="C99" s="285" t="s">
        <v>220</v>
      </c>
      <c r="D99" s="298">
        <v>14</v>
      </c>
      <c r="E99" s="170">
        <v>10374.904161359998</v>
      </c>
      <c r="F99" s="288">
        <f t="shared" si="25"/>
        <v>145248.66</v>
      </c>
      <c r="G99" s="288">
        <f t="shared" ref="G99:G102" si="31">ROUND(F99*1.2,2)</f>
        <v>174298.39</v>
      </c>
      <c r="J99" s="438"/>
      <c r="K99" s="438">
        <f t="shared" si="17"/>
        <v>0</v>
      </c>
    </row>
    <row r="100" spans="1:11" ht="15.6" x14ac:dyDescent="0.3">
      <c r="A100" s="285">
        <f t="shared" si="28"/>
        <v>85</v>
      </c>
      <c r="B100" s="290" t="s">
        <v>1171</v>
      </c>
      <c r="C100" s="285" t="s">
        <v>220</v>
      </c>
      <c r="D100" s="298">
        <v>14</v>
      </c>
      <c r="E100" s="170">
        <v>9571.1070333599982</v>
      </c>
      <c r="F100" s="288">
        <f t="shared" si="25"/>
        <v>133995.5</v>
      </c>
      <c r="G100" s="288">
        <f t="shared" si="31"/>
        <v>160794.6</v>
      </c>
      <c r="J100" s="438"/>
      <c r="K100" s="438">
        <f t="shared" si="17"/>
        <v>0</v>
      </c>
    </row>
    <row r="101" spans="1:11" ht="27.6" x14ac:dyDescent="0.3">
      <c r="A101" s="86">
        <f t="shared" si="28"/>
        <v>86</v>
      </c>
      <c r="B101" s="243" t="s">
        <v>664</v>
      </c>
      <c r="C101" s="86" t="s">
        <v>220</v>
      </c>
      <c r="D101" s="152">
        <v>2</v>
      </c>
      <c r="E101" s="170">
        <v>9717.0777359999993</v>
      </c>
      <c r="F101" s="102">
        <f t="shared" si="25"/>
        <v>19434.16</v>
      </c>
      <c r="G101" s="102">
        <f t="shared" si="31"/>
        <v>23320.99</v>
      </c>
      <c r="J101" s="438"/>
      <c r="K101" s="438">
        <f t="shared" si="17"/>
        <v>0</v>
      </c>
    </row>
    <row r="102" spans="1:11" ht="15.6" x14ac:dyDescent="0.3">
      <c r="A102" s="86">
        <f t="shared" si="28"/>
        <v>87</v>
      </c>
      <c r="B102" s="243" t="s">
        <v>1182</v>
      </c>
      <c r="C102" s="86" t="s">
        <v>220</v>
      </c>
      <c r="D102" s="152">
        <v>2</v>
      </c>
      <c r="E102" s="170">
        <v>2092.4469720000002</v>
      </c>
      <c r="F102" s="102">
        <f t="shared" si="25"/>
        <v>4184.8900000000003</v>
      </c>
      <c r="G102" s="102">
        <f t="shared" si="31"/>
        <v>5021.87</v>
      </c>
      <c r="J102" s="438"/>
      <c r="K102" s="438">
        <f t="shared" si="17"/>
        <v>0</v>
      </c>
    </row>
    <row r="103" spans="1:11" ht="27.6" x14ac:dyDescent="0.3">
      <c r="A103" s="285">
        <f t="shared" si="28"/>
        <v>88</v>
      </c>
      <c r="B103" s="290" t="s">
        <v>1183</v>
      </c>
      <c r="C103" s="285" t="s">
        <v>220</v>
      </c>
      <c r="D103" s="298">
        <v>1</v>
      </c>
      <c r="E103" s="170">
        <v>10374.904161359998</v>
      </c>
      <c r="F103" s="288">
        <f t="shared" si="25"/>
        <v>10374.9</v>
      </c>
      <c r="G103" s="288">
        <f t="shared" ref="G103:G105" si="32">ROUND(F103*1.2,2)</f>
        <v>12449.88</v>
      </c>
      <c r="J103" s="438"/>
      <c r="K103" s="438">
        <f t="shared" si="17"/>
        <v>0</v>
      </c>
    </row>
    <row r="104" spans="1:11" ht="41.4" x14ac:dyDescent="0.3">
      <c r="A104" s="285">
        <f t="shared" si="28"/>
        <v>89</v>
      </c>
      <c r="B104" s="290" t="s">
        <v>676</v>
      </c>
      <c r="C104" s="285" t="s">
        <v>220</v>
      </c>
      <c r="D104" s="298">
        <v>14</v>
      </c>
      <c r="E104" s="170">
        <v>7401.5127000000002</v>
      </c>
      <c r="F104" s="288">
        <f t="shared" si="25"/>
        <v>103621.18</v>
      </c>
      <c r="G104" s="288">
        <f t="shared" si="32"/>
        <v>124345.42</v>
      </c>
      <c r="J104" s="438"/>
      <c r="K104" s="438">
        <f t="shared" si="17"/>
        <v>0</v>
      </c>
    </row>
    <row r="105" spans="1:11" ht="41.4" x14ac:dyDescent="0.3">
      <c r="A105" s="285">
        <f t="shared" si="28"/>
        <v>90</v>
      </c>
      <c r="B105" s="290" t="s">
        <v>1184</v>
      </c>
      <c r="C105" s="285" t="s">
        <v>220</v>
      </c>
      <c r="D105" s="298">
        <v>2</v>
      </c>
      <c r="E105" s="170">
        <v>4884.2832600000002</v>
      </c>
      <c r="F105" s="288">
        <f t="shared" si="25"/>
        <v>9768.57</v>
      </c>
      <c r="G105" s="288">
        <f t="shared" si="32"/>
        <v>11722.28</v>
      </c>
      <c r="J105" s="438"/>
      <c r="K105" s="438">
        <f t="shared" si="17"/>
        <v>0</v>
      </c>
    </row>
    <row r="106" spans="1:11" ht="15.6" x14ac:dyDescent="0.3">
      <c r="A106" s="285">
        <f t="shared" si="28"/>
        <v>91</v>
      </c>
      <c r="B106" s="290" t="s">
        <v>1185</v>
      </c>
      <c r="C106" s="285" t="s">
        <v>220</v>
      </c>
      <c r="D106" s="298">
        <v>2</v>
      </c>
      <c r="E106" s="170">
        <v>2182.5523440000002</v>
      </c>
      <c r="F106" s="288">
        <f t="shared" si="25"/>
        <v>4365.1000000000004</v>
      </c>
      <c r="G106" s="288">
        <f t="shared" ref="G106:G108" si="33">ROUND(F106*1.2,2)</f>
        <v>5238.12</v>
      </c>
      <c r="J106" s="438"/>
      <c r="K106" s="438">
        <f t="shared" si="17"/>
        <v>0</v>
      </c>
    </row>
    <row r="107" spans="1:11" ht="15.6" x14ac:dyDescent="0.3">
      <c r="A107" s="285">
        <f t="shared" si="28"/>
        <v>92</v>
      </c>
      <c r="B107" s="290" t="s">
        <v>1186</v>
      </c>
      <c r="C107" s="285" t="s">
        <v>220</v>
      </c>
      <c r="D107" s="298">
        <v>2</v>
      </c>
      <c r="E107" s="170">
        <v>2182.5523440000002</v>
      </c>
      <c r="F107" s="288">
        <f t="shared" si="25"/>
        <v>4365.1000000000004</v>
      </c>
      <c r="G107" s="288">
        <f t="shared" si="33"/>
        <v>5238.12</v>
      </c>
      <c r="J107" s="438"/>
      <c r="K107" s="438">
        <f t="shared" si="17"/>
        <v>0</v>
      </c>
    </row>
    <row r="108" spans="1:11" ht="27.6" x14ac:dyDescent="0.3">
      <c r="A108" s="285">
        <f t="shared" si="28"/>
        <v>93</v>
      </c>
      <c r="B108" s="290" t="s">
        <v>1162</v>
      </c>
      <c r="C108" s="285" t="s">
        <v>193</v>
      </c>
      <c r="D108" s="298">
        <v>14</v>
      </c>
      <c r="E108" s="170">
        <v>13196.947202639998</v>
      </c>
      <c r="F108" s="288">
        <f t="shared" si="25"/>
        <v>184757.26</v>
      </c>
      <c r="G108" s="288">
        <f t="shared" si="33"/>
        <v>221708.71</v>
      </c>
      <c r="J108" s="438"/>
      <c r="K108" s="438">
        <f t="shared" si="17"/>
        <v>0</v>
      </c>
    </row>
    <row r="109" spans="1:11" ht="15.6" x14ac:dyDescent="0.3">
      <c r="A109" s="285"/>
      <c r="B109" s="302" t="s">
        <v>1187</v>
      </c>
      <c r="C109" s="285"/>
      <c r="D109" s="298"/>
      <c r="E109" s="170">
        <v>0</v>
      </c>
      <c r="F109" s="312"/>
      <c r="G109" s="313"/>
      <c r="J109" s="438"/>
      <c r="K109" s="438">
        <f t="shared" si="17"/>
        <v>0</v>
      </c>
    </row>
    <row r="110" spans="1:11" ht="27.6" x14ac:dyDescent="0.3">
      <c r="A110" s="285">
        <f>A108+1</f>
        <v>94</v>
      </c>
      <c r="B110" s="290" t="s">
        <v>526</v>
      </c>
      <c r="C110" s="285" t="s">
        <v>193</v>
      </c>
      <c r="D110" s="291">
        <f>3*0.38+3*0.283+4*0.4+4*0.265+4*0.03</f>
        <v>4.769000000000001</v>
      </c>
      <c r="E110" s="170">
        <v>25993.823904999994</v>
      </c>
      <c r="F110" s="288">
        <f>ROUND(E110*D110,2)</f>
        <v>123964.55</v>
      </c>
      <c r="G110" s="288">
        <f t="shared" ref="G110" si="34">ROUND(F110*1.2,2)</f>
        <v>148757.46</v>
      </c>
      <c r="J110" s="438"/>
      <c r="K110" s="438">
        <f t="shared" si="17"/>
        <v>0</v>
      </c>
    </row>
    <row r="111" spans="1:11" ht="27.6" x14ac:dyDescent="0.3">
      <c r="A111" s="285">
        <f>A110+1</f>
        <v>95</v>
      </c>
      <c r="B111" s="290" t="s">
        <v>1188</v>
      </c>
      <c r="C111" s="285" t="s">
        <v>431</v>
      </c>
      <c r="D111" s="298">
        <v>150</v>
      </c>
      <c r="E111" s="170">
        <v>687.94736399999988</v>
      </c>
      <c r="F111" s="288">
        <f>ROUND(E111*D111,2)</f>
        <v>103192.1</v>
      </c>
      <c r="G111" s="288">
        <f t="shared" ref="G111" si="35">ROUND(F111*1.2,2)</f>
        <v>123830.52</v>
      </c>
      <c r="J111" s="438"/>
      <c r="K111" s="438">
        <f t="shared" si="17"/>
        <v>0</v>
      </c>
    </row>
    <row r="112" spans="1:11" s="209" customFormat="1" ht="27.6" x14ac:dyDescent="0.3">
      <c r="A112" s="457"/>
      <c r="B112" s="458" t="s">
        <v>1160</v>
      </c>
      <c r="C112" s="459"/>
      <c r="D112" s="459"/>
      <c r="E112" s="459"/>
      <c r="F112" s="459"/>
      <c r="G112" s="459"/>
      <c r="H112" s="210"/>
      <c r="J112" s="439"/>
      <c r="K112" s="439">
        <f t="shared" si="17"/>
        <v>0</v>
      </c>
    </row>
    <row r="113" spans="1:11" s="209" customFormat="1" ht="15.6" x14ac:dyDescent="0.3">
      <c r="A113" s="429"/>
      <c r="B113" s="430" t="s">
        <v>513</v>
      </c>
      <c r="C113" s="429"/>
      <c r="D113" s="460"/>
      <c r="E113" s="461">
        <v>0</v>
      </c>
      <c r="F113" s="462"/>
      <c r="G113" s="463"/>
      <c r="J113" s="439"/>
      <c r="K113" s="439">
        <f t="shared" si="17"/>
        <v>0</v>
      </c>
    </row>
    <row r="114" spans="1:11" s="209" customFormat="1" ht="15.6" x14ac:dyDescent="0.3">
      <c r="A114" s="429">
        <f>A35+1</f>
        <v>30</v>
      </c>
      <c r="B114" s="208" t="s">
        <v>641</v>
      </c>
      <c r="C114" s="429" t="s">
        <v>193</v>
      </c>
      <c r="D114" s="248">
        <v>465</v>
      </c>
      <c r="E114" s="461">
        <v>464.82929999999999</v>
      </c>
      <c r="F114" s="434">
        <f t="shared" ref="F114:F123" si="36">ROUND(E114*D114,2)</f>
        <v>216145.62</v>
      </c>
      <c r="G114" s="434">
        <f t="shared" ref="G114:G132" si="37">ROUND(F114*1.2,2)</f>
        <v>259374.74</v>
      </c>
      <c r="J114" s="439">
        <f>D114</f>
        <v>465</v>
      </c>
      <c r="K114" s="439">
        <f t="shared" si="17"/>
        <v>259374.7494</v>
      </c>
    </row>
    <row r="115" spans="1:11" s="209" customFormat="1" ht="15.6" x14ac:dyDescent="0.3">
      <c r="A115" s="429">
        <f t="shared" ref="A115:A132" si="38">A114+1</f>
        <v>31</v>
      </c>
      <c r="B115" s="208" t="s">
        <v>515</v>
      </c>
      <c r="C115" s="429" t="s">
        <v>193</v>
      </c>
      <c r="D115" s="248">
        <v>14</v>
      </c>
      <c r="E115" s="461">
        <v>2541.5435879999995</v>
      </c>
      <c r="F115" s="434">
        <f t="shared" si="36"/>
        <v>35581.61</v>
      </c>
      <c r="G115" s="434">
        <f t="shared" si="37"/>
        <v>42697.93</v>
      </c>
      <c r="J115" s="439">
        <f t="shared" ref="J115:J132" si="39">D115</f>
        <v>14</v>
      </c>
      <c r="K115" s="439">
        <f t="shared" si="17"/>
        <v>42697.932278399989</v>
      </c>
    </row>
    <row r="116" spans="1:11" s="209" customFormat="1" ht="15.6" x14ac:dyDescent="0.3">
      <c r="A116" s="429">
        <f t="shared" si="38"/>
        <v>32</v>
      </c>
      <c r="B116" s="208" t="s">
        <v>521</v>
      </c>
      <c r="C116" s="429" t="s">
        <v>193</v>
      </c>
      <c r="D116" s="248">
        <v>2</v>
      </c>
      <c r="E116" s="461">
        <v>1972.306476</v>
      </c>
      <c r="F116" s="434">
        <f t="shared" si="36"/>
        <v>3944.61</v>
      </c>
      <c r="G116" s="434">
        <f t="shared" si="37"/>
        <v>4733.53</v>
      </c>
      <c r="J116" s="439">
        <f t="shared" si="39"/>
        <v>2</v>
      </c>
      <c r="K116" s="439">
        <f t="shared" si="17"/>
        <v>4733.5355423999999</v>
      </c>
    </row>
    <row r="117" spans="1:11" s="209" customFormat="1" ht="15.6" x14ac:dyDescent="0.3">
      <c r="A117" s="429">
        <f t="shared" si="38"/>
        <v>33</v>
      </c>
      <c r="B117" s="208" t="s">
        <v>522</v>
      </c>
      <c r="C117" s="429" t="s">
        <v>193</v>
      </c>
      <c r="D117" s="435">
        <v>9.5</v>
      </c>
      <c r="E117" s="461">
        <v>1972.306476</v>
      </c>
      <c r="F117" s="434">
        <f t="shared" si="36"/>
        <v>18736.91</v>
      </c>
      <c r="G117" s="434">
        <f t="shared" si="37"/>
        <v>22484.29</v>
      </c>
      <c r="J117" s="439">
        <f t="shared" si="39"/>
        <v>9.5</v>
      </c>
      <c r="K117" s="439">
        <f t="shared" si="17"/>
        <v>22484.293826399997</v>
      </c>
    </row>
    <row r="118" spans="1:11" s="209" customFormat="1" ht="15.6" x14ac:dyDescent="0.3">
      <c r="A118" s="429">
        <f t="shared" si="38"/>
        <v>34</v>
      </c>
      <c r="B118" s="208" t="s">
        <v>516</v>
      </c>
      <c r="C118" s="429" t="s">
        <v>193</v>
      </c>
      <c r="D118" s="248">
        <v>443</v>
      </c>
      <c r="E118" s="461">
        <v>178.78050000000002</v>
      </c>
      <c r="F118" s="434">
        <f t="shared" si="36"/>
        <v>79199.759999999995</v>
      </c>
      <c r="G118" s="434">
        <f t="shared" si="37"/>
        <v>95039.71</v>
      </c>
      <c r="J118" s="439">
        <f t="shared" si="39"/>
        <v>443</v>
      </c>
      <c r="K118" s="439">
        <f t="shared" si="17"/>
        <v>95039.713800000012</v>
      </c>
    </row>
    <row r="119" spans="1:11" s="209" customFormat="1" ht="15.6" x14ac:dyDescent="0.3">
      <c r="A119" s="429">
        <f t="shared" si="38"/>
        <v>35</v>
      </c>
      <c r="B119" s="208" t="s">
        <v>643</v>
      </c>
      <c r="C119" s="429" t="s">
        <v>193</v>
      </c>
      <c r="D119" s="248">
        <v>23</v>
      </c>
      <c r="E119" s="461">
        <v>1285.789356</v>
      </c>
      <c r="F119" s="434">
        <f t="shared" si="36"/>
        <v>29573.16</v>
      </c>
      <c r="G119" s="434">
        <f t="shared" si="37"/>
        <v>35487.79</v>
      </c>
      <c r="J119" s="439">
        <f t="shared" si="39"/>
        <v>23</v>
      </c>
      <c r="K119" s="439">
        <f t="shared" si="17"/>
        <v>35487.786225600001</v>
      </c>
    </row>
    <row r="120" spans="1:11" s="209" customFormat="1" ht="15.6" x14ac:dyDescent="0.3">
      <c r="A120" s="429">
        <f t="shared" si="38"/>
        <v>36</v>
      </c>
      <c r="B120" s="208" t="s">
        <v>451</v>
      </c>
      <c r="C120" s="429" t="s">
        <v>193</v>
      </c>
      <c r="D120" s="248">
        <v>443</v>
      </c>
      <c r="E120" s="461">
        <v>283.188312</v>
      </c>
      <c r="F120" s="434">
        <f t="shared" si="36"/>
        <v>125452.42</v>
      </c>
      <c r="G120" s="434">
        <f t="shared" si="37"/>
        <v>150542.9</v>
      </c>
      <c r="J120" s="439">
        <f t="shared" si="39"/>
        <v>443</v>
      </c>
      <c r="K120" s="439">
        <f t="shared" si="17"/>
        <v>150542.90665919997</v>
      </c>
    </row>
    <row r="121" spans="1:11" s="209" customFormat="1" ht="15.6" x14ac:dyDescent="0.3">
      <c r="A121" s="429">
        <f t="shared" si="38"/>
        <v>37</v>
      </c>
      <c r="B121" s="208" t="s">
        <v>644</v>
      </c>
      <c r="C121" s="429" t="s">
        <v>431</v>
      </c>
      <c r="D121" s="248">
        <v>1860</v>
      </c>
      <c r="E121" s="461">
        <v>178.78050000000002</v>
      </c>
      <c r="F121" s="434">
        <f t="shared" si="36"/>
        <v>332531.73</v>
      </c>
      <c r="G121" s="434">
        <f t="shared" si="37"/>
        <v>399038.08</v>
      </c>
      <c r="J121" s="439">
        <f t="shared" si="39"/>
        <v>1860</v>
      </c>
      <c r="K121" s="439">
        <f t="shared" si="17"/>
        <v>399038.07600000006</v>
      </c>
    </row>
    <row r="122" spans="1:11" s="209" customFormat="1" ht="15.6" x14ac:dyDescent="0.3">
      <c r="A122" s="429">
        <f t="shared" si="38"/>
        <v>38</v>
      </c>
      <c r="B122" s="208" t="s">
        <v>518</v>
      </c>
      <c r="C122" s="429" t="s">
        <v>239</v>
      </c>
      <c r="D122" s="435">
        <v>20.8</v>
      </c>
      <c r="E122" s="461">
        <v>464.82929999999999</v>
      </c>
      <c r="F122" s="434">
        <f t="shared" si="36"/>
        <v>9668.4500000000007</v>
      </c>
      <c r="G122" s="434">
        <f t="shared" si="37"/>
        <v>11602.14</v>
      </c>
      <c r="J122" s="439">
        <f t="shared" si="39"/>
        <v>20.8</v>
      </c>
      <c r="K122" s="439">
        <f t="shared" si="17"/>
        <v>11602.139327999999</v>
      </c>
    </row>
    <row r="123" spans="1:11" s="209" customFormat="1" ht="15.6" x14ac:dyDescent="0.3">
      <c r="A123" s="454">
        <f t="shared" si="38"/>
        <v>39</v>
      </c>
      <c r="B123" s="208" t="s">
        <v>503</v>
      </c>
      <c r="C123" s="429" t="s">
        <v>239</v>
      </c>
      <c r="D123" s="435">
        <v>20.8</v>
      </c>
      <c r="E123" s="461">
        <f>'искл-свод'!B2</f>
        <v>1361.6</v>
      </c>
      <c r="F123" s="434">
        <f t="shared" si="36"/>
        <v>28321.279999999999</v>
      </c>
      <c r="G123" s="434">
        <f t="shared" si="37"/>
        <v>33985.54</v>
      </c>
      <c r="J123" s="439">
        <f t="shared" si="39"/>
        <v>20.8</v>
      </c>
      <c r="K123" s="439">
        <f t="shared" si="17"/>
        <v>33985.536</v>
      </c>
    </row>
    <row r="124" spans="1:11" s="209" customFormat="1" ht="15.6" x14ac:dyDescent="0.3">
      <c r="A124" s="429"/>
      <c r="B124" s="430" t="s">
        <v>523</v>
      </c>
      <c r="C124" s="429"/>
      <c r="D124" s="442"/>
      <c r="E124" s="461">
        <v>0</v>
      </c>
      <c r="F124" s="434"/>
      <c r="G124" s="434"/>
      <c r="J124" s="439">
        <f t="shared" si="39"/>
        <v>0</v>
      </c>
      <c r="K124" s="439">
        <f t="shared" si="17"/>
        <v>0</v>
      </c>
    </row>
    <row r="125" spans="1:11" s="209" customFormat="1" ht="27.6" x14ac:dyDescent="0.3">
      <c r="A125" s="429">
        <f>A123+1</f>
        <v>40</v>
      </c>
      <c r="B125" s="208" t="s">
        <v>663</v>
      </c>
      <c r="C125" s="429" t="s">
        <v>194</v>
      </c>
      <c r="D125" s="248">
        <v>32</v>
      </c>
      <c r="E125" s="461">
        <v>1730.5952400000001</v>
      </c>
      <c r="F125" s="434">
        <f t="shared" ref="F125:F132" si="40">ROUND(E125*D125,2)</f>
        <v>55379.05</v>
      </c>
      <c r="G125" s="434">
        <f t="shared" si="37"/>
        <v>66454.86</v>
      </c>
      <c r="J125" s="439">
        <f t="shared" si="39"/>
        <v>32</v>
      </c>
      <c r="K125" s="439">
        <f t="shared" si="17"/>
        <v>66454.857216000004</v>
      </c>
    </row>
    <row r="126" spans="1:11" s="209" customFormat="1" ht="41.4" x14ac:dyDescent="0.3">
      <c r="A126" s="429">
        <f t="shared" si="38"/>
        <v>41</v>
      </c>
      <c r="B126" s="208" t="s">
        <v>1161</v>
      </c>
      <c r="C126" s="429" t="s">
        <v>194</v>
      </c>
      <c r="D126" s="435">
        <v>7.5</v>
      </c>
      <c r="E126" s="461">
        <v>2595.8928599999999</v>
      </c>
      <c r="F126" s="434">
        <f t="shared" si="40"/>
        <v>19469.2</v>
      </c>
      <c r="G126" s="434">
        <f t="shared" si="37"/>
        <v>23363.040000000001</v>
      </c>
      <c r="J126" s="439">
        <f t="shared" si="39"/>
        <v>7.5</v>
      </c>
      <c r="K126" s="439">
        <f t="shared" si="17"/>
        <v>23363.035739999999</v>
      </c>
    </row>
    <row r="127" spans="1:11" s="209" customFormat="1" ht="15.6" x14ac:dyDescent="0.3">
      <c r="A127" s="429">
        <f t="shared" si="38"/>
        <v>42</v>
      </c>
      <c r="B127" s="208" t="s">
        <v>648</v>
      </c>
      <c r="C127" s="429" t="s">
        <v>194</v>
      </c>
      <c r="D127" s="435">
        <v>7.5</v>
      </c>
      <c r="E127" s="461">
        <v>1732.025484</v>
      </c>
      <c r="F127" s="434">
        <f t="shared" si="40"/>
        <v>12990.19</v>
      </c>
      <c r="G127" s="434">
        <f t="shared" si="37"/>
        <v>15588.23</v>
      </c>
      <c r="J127" s="439">
        <f t="shared" si="39"/>
        <v>7.5</v>
      </c>
      <c r="K127" s="439">
        <f t="shared" si="17"/>
        <v>15588.229355999998</v>
      </c>
    </row>
    <row r="128" spans="1:11" s="209" customFormat="1" ht="15.6" x14ac:dyDescent="0.3">
      <c r="A128" s="429">
        <f t="shared" si="38"/>
        <v>43</v>
      </c>
      <c r="B128" s="208" t="s">
        <v>649</v>
      </c>
      <c r="C128" s="429" t="s">
        <v>650</v>
      </c>
      <c r="D128" s="248">
        <v>1</v>
      </c>
      <c r="E128" s="461">
        <v>4858.5388679999996</v>
      </c>
      <c r="F128" s="434">
        <f t="shared" si="40"/>
        <v>4858.54</v>
      </c>
      <c r="G128" s="434">
        <f t="shared" si="37"/>
        <v>5830.25</v>
      </c>
      <c r="J128" s="439">
        <f t="shared" si="39"/>
        <v>1</v>
      </c>
      <c r="K128" s="439">
        <f t="shared" si="17"/>
        <v>5830.2466415999997</v>
      </c>
    </row>
    <row r="129" spans="1:11" s="209" customFormat="1" ht="27.6" x14ac:dyDescent="0.3">
      <c r="A129" s="429">
        <f t="shared" si="38"/>
        <v>44</v>
      </c>
      <c r="B129" s="208" t="s">
        <v>664</v>
      </c>
      <c r="C129" s="429" t="s">
        <v>220</v>
      </c>
      <c r="D129" s="248">
        <v>2</v>
      </c>
      <c r="E129" s="461">
        <v>9717.0777359999993</v>
      </c>
      <c r="F129" s="434">
        <f t="shared" si="40"/>
        <v>19434.16</v>
      </c>
      <c r="G129" s="434">
        <f t="shared" si="37"/>
        <v>23320.99</v>
      </c>
      <c r="J129" s="439">
        <f t="shared" si="39"/>
        <v>2</v>
      </c>
      <c r="K129" s="439">
        <f t="shared" si="17"/>
        <v>23320.986566399999</v>
      </c>
    </row>
    <row r="130" spans="1:11" s="209" customFormat="1" ht="27.6" x14ac:dyDescent="0.3">
      <c r="A130" s="429">
        <f t="shared" si="38"/>
        <v>45</v>
      </c>
      <c r="B130" s="208" t="s">
        <v>665</v>
      </c>
      <c r="C130" s="429" t="s">
        <v>220</v>
      </c>
      <c r="D130" s="248">
        <v>2</v>
      </c>
      <c r="E130" s="461">
        <v>2092.4469720000002</v>
      </c>
      <c r="F130" s="434">
        <f t="shared" si="40"/>
        <v>4184.8900000000003</v>
      </c>
      <c r="G130" s="434">
        <f t="shared" si="37"/>
        <v>5021.87</v>
      </c>
      <c r="J130" s="439">
        <f t="shared" si="39"/>
        <v>2</v>
      </c>
      <c r="K130" s="439">
        <f t="shared" si="17"/>
        <v>5021.8727328000004</v>
      </c>
    </row>
    <row r="131" spans="1:11" s="209" customFormat="1" ht="41.4" x14ac:dyDescent="0.3">
      <c r="A131" s="429">
        <f t="shared" si="38"/>
        <v>46</v>
      </c>
      <c r="B131" s="208" t="s">
        <v>666</v>
      </c>
      <c r="C131" s="429" t="s">
        <v>220</v>
      </c>
      <c r="D131" s="248">
        <v>2</v>
      </c>
      <c r="E131" s="461">
        <v>5055.9125400000003</v>
      </c>
      <c r="F131" s="434">
        <f t="shared" si="40"/>
        <v>10111.83</v>
      </c>
      <c r="G131" s="434">
        <f t="shared" si="37"/>
        <v>12134.2</v>
      </c>
      <c r="J131" s="439">
        <f t="shared" si="39"/>
        <v>2</v>
      </c>
      <c r="K131" s="439">
        <f t="shared" si="17"/>
        <v>12134.190096</v>
      </c>
    </row>
    <row r="132" spans="1:11" s="209" customFormat="1" ht="27.6" x14ac:dyDescent="0.3">
      <c r="A132" s="464">
        <f t="shared" si="38"/>
        <v>47</v>
      </c>
      <c r="B132" s="465" t="s">
        <v>1162</v>
      </c>
      <c r="C132" s="464" t="s">
        <v>193</v>
      </c>
      <c r="D132" s="466">
        <v>0.7</v>
      </c>
      <c r="E132" s="461">
        <v>13196.947202639998</v>
      </c>
      <c r="F132" s="467">
        <f t="shared" si="40"/>
        <v>9237.86</v>
      </c>
      <c r="G132" s="467">
        <f t="shared" si="37"/>
        <v>11085.43</v>
      </c>
      <c r="J132" s="439">
        <f t="shared" si="39"/>
        <v>0.7</v>
      </c>
      <c r="K132" s="439">
        <f t="shared" si="17"/>
        <v>11085.435650217598</v>
      </c>
    </row>
    <row r="133" spans="1:11" ht="27.6" x14ac:dyDescent="0.3">
      <c r="A133" s="153"/>
      <c r="B133" s="242" t="s">
        <v>1163</v>
      </c>
      <c r="C133" s="161"/>
      <c r="D133" s="165"/>
      <c r="E133" s="165"/>
      <c r="F133" s="165"/>
      <c r="G133" s="165"/>
      <c r="H133" s="210"/>
      <c r="J133" s="438"/>
      <c r="K133" s="438">
        <f t="shared" si="17"/>
        <v>0</v>
      </c>
    </row>
    <row r="134" spans="1:11" ht="15.6" x14ac:dyDescent="0.3">
      <c r="A134" s="65"/>
      <c r="B134" s="61" t="s">
        <v>513</v>
      </c>
      <c r="C134" s="65"/>
      <c r="D134" s="169"/>
      <c r="E134" s="170">
        <v>0</v>
      </c>
      <c r="F134" s="160"/>
      <c r="G134" s="168"/>
      <c r="J134" s="438"/>
      <c r="K134" s="438">
        <f t="shared" ref="K134:K197" si="41">E134*J134*1.2</f>
        <v>0</v>
      </c>
    </row>
    <row r="135" spans="1:11" ht="15.6" x14ac:dyDescent="0.3">
      <c r="A135" s="65">
        <f>A132+1</f>
        <v>48</v>
      </c>
      <c r="B135" s="66" t="s">
        <v>641</v>
      </c>
      <c r="C135" s="65" t="s">
        <v>193</v>
      </c>
      <c r="D135" s="70">
        <v>310</v>
      </c>
      <c r="E135" s="170">
        <v>464.82929999999999</v>
      </c>
      <c r="F135" s="101">
        <f t="shared" ref="F135:F144" si="42">ROUND(E135*D135,2)</f>
        <v>144097.07999999999</v>
      </c>
      <c r="G135" s="101">
        <f t="shared" ref="G135:G153" si="43">ROUND(F135*1.2,2)</f>
        <v>172916.5</v>
      </c>
      <c r="J135" s="438"/>
      <c r="K135" s="438">
        <f t="shared" si="41"/>
        <v>0</v>
      </c>
    </row>
    <row r="136" spans="1:11" ht="15.6" x14ac:dyDescent="0.3">
      <c r="A136" s="65">
        <f>A135+1</f>
        <v>49</v>
      </c>
      <c r="B136" s="66" t="s">
        <v>515</v>
      </c>
      <c r="C136" s="65" t="s">
        <v>193</v>
      </c>
      <c r="D136" s="70">
        <v>9</v>
      </c>
      <c r="E136" s="170">
        <v>2541.5435879999995</v>
      </c>
      <c r="F136" s="101">
        <f t="shared" si="42"/>
        <v>22873.89</v>
      </c>
      <c r="G136" s="101">
        <f t="shared" si="43"/>
        <v>27448.67</v>
      </c>
      <c r="J136" s="438"/>
      <c r="K136" s="438">
        <f t="shared" si="41"/>
        <v>0</v>
      </c>
    </row>
    <row r="137" spans="1:11" ht="15.6" x14ac:dyDescent="0.3">
      <c r="A137" s="65">
        <f t="shared" ref="A137:A144" si="44">A136+1</f>
        <v>50</v>
      </c>
      <c r="B137" s="66" t="s">
        <v>521</v>
      </c>
      <c r="C137" s="65" t="s">
        <v>193</v>
      </c>
      <c r="D137" s="70">
        <v>3</v>
      </c>
      <c r="E137" s="170">
        <v>1972.306476</v>
      </c>
      <c r="F137" s="101">
        <f t="shared" si="42"/>
        <v>5916.92</v>
      </c>
      <c r="G137" s="101">
        <f t="shared" si="43"/>
        <v>7100.3</v>
      </c>
      <c r="J137" s="438"/>
      <c r="K137" s="438">
        <f t="shared" si="41"/>
        <v>0</v>
      </c>
    </row>
    <row r="138" spans="1:11" ht="15.6" x14ac:dyDescent="0.3">
      <c r="A138" s="65">
        <f t="shared" si="44"/>
        <v>51</v>
      </c>
      <c r="B138" s="66" t="s">
        <v>522</v>
      </c>
      <c r="C138" s="65" t="s">
        <v>193</v>
      </c>
      <c r="D138" s="71">
        <v>12</v>
      </c>
      <c r="E138" s="170">
        <v>1972.306476</v>
      </c>
      <c r="F138" s="101">
        <f t="shared" si="42"/>
        <v>23667.68</v>
      </c>
      <c r="G138" s="101">
        <f t="shared" si="43"/>
        <v>28401.22</v>
      </c>
      <c r="J138" s="438"/>
      <c r="K138" s="438">
        <f t="shared" si="41"/>
        <v>0</v>
      </c>
    </row>
    <row r="139" spans="1:11" ht="15.6" x14ac:dyDescent="0.3">
      <c r="A139" s="65">
        <f t="shared" si="44"/>
        <v>52</v>
      </c>
      <c r="B139" s="66" t="s">
        <v>516</v>
      </c>
      <c r="C139" s="65" t="s">
        <v>193</v>
      </c>
      <c r="D139" s="70">
        <v>287</v>
      </c>
      <c r="E139" s="170">
        <v>178.78050000000002</v>
      </c>
      <c r="F139" s="101">
        <f t="shared" si="42"/>
        <v>51310</v>
      </c>
      <c r="G139" s="101">
        <f t="shared" si="43"/>
        <v>61572</v>
      </c>
      <c r="J139" s="438"/>
      <c r="K139" s="438">
        <f t="shared" si="41"/>
        <v>0</v>
      </c>
    </row>
    <row r="140" spans="1:11" ht="15.6" x14ac:dyDescent="0.3">
      <c r="A140" s="65">
        <f t="shared" si="44"/>
        <v>53</v>
      </c>
      <c r="B140" s="66" t="s">
        <v>643</v>
      </c>
      <c r="C140" s="65" t="s">
        <v>193</v>
      </c>
      <c r="D140" s="70">
        <v>15</v>
      </c>
      <c r="E140" s="170">
        <v>1285.789356</v>
      </c>
      <c r="F140" s="101">
        <f t="shared" si="42"/>
        <v>19286.84</v>
      </c>
      <c r="G140" s="101">
        <f t="shared" si="43"/>
        <v>23144.21</v>
      </c>
      <c r="J140" s="438"/>
      <c r="K140" s="438">
        <f t="shared" si="41"/>
        <v>0</v>
      </c>
    </row>
    <row r="141" spans="1:11" ht="15.6" x14ac:dyDescent="0.3">
      <c r="A141" s="65">
        <f t="shared" si="44"/>
        <v>54</v>
      </c>
      <c r="B141" s="66" t="s">
        <v>451</v>
      </c>
      <c r="C141" s="65" t="s">
        <v>193</v>
      </c>
      <c r="D141" s="70">
        <v>287</v>
      </c>
      <c r="E141" s="170">
        <v>283.188312</v>
      </c>
      <c r="F141" s="101">
        <f t="shared" si="42"/>
        <v>81275.05</v>
      </c>
      <c r="G141" s="101">
        <f t="shared" si="43"/>
        <v>97530.06</v>
      </c>
      <c r="J141" s="438"/>
      <c r="K141" s="438">
        <f t="shared" si="41"/>
        <v>0</v>
      </c>
    </row>
    <row r="142" spans="1:11" ht="15.6" x14ac:dyDescent="0.3">
      <c r="A142" s="65">
        <f t="shared" si="44"/>
        <v>55</v>
      </c>
      <c r="B142" s="66" t="s">
        <v>644</v>
      </c>
      <c r="C142" s="65" t="s">
        <v>431</v>
      </c>
      <c r="D142" s="70">
        <v>9240</v>
      </c>
      <c r="E142" s="170">
        <v>178.78050000000002</v>
      </c>
      <c r="F142" s="101">
        <f t="shared" si="42"/>
        <v>1651931.82</v>
      </c>
      <c r="G142" s="101">
        <f t="shared" si="43"/>
        <v>1982318.18</v>
      </c>
      <c r="J142" s="438"/>
      <c r="K142" s="438">
        <f t="shared" si="41"/>
        <v>0</v>
      </c>
    </row>
    <row r="143" spans="1:11" ht="15.6" x14ac:dyDescent="0.3">
      <c r="A143" s="65">
        <f t="shared" si="44"/>
        <v>56</v>
      </c>
      <c r="B143" s="66" t="s">
        <v>518</v>
      </c>
      <c r="C143" s="65" t="s">
        <v>239</v>
      </c>
      <c r="D143" s="71">
        <v>27.2</v>
      </c>
      <c r="E143" s="170">
        <v>464.82929999999999</v>
      </c>
      <c r="F143" s="101">
        <f t="shared" si="42"/>
        <v>12643.36</v>
      </c>
      <c r="G143" s="101">
        <f t="shared" si="43"/>
        <v>15172.03</v>
      </c>
      <c r="J143" s="438"/>
      <c r="K143" s="438">
        <f t="shared" si="41"/>
        <v>0</v>
      </c>
    </row>
    <row r="144" spans="1:11" ht="15.6" x14ac:dyDescent="0.3">
      <c r="A144" s="453">
        <f t="shared" si="44"/>
        <v>57</v>
      </c>
      <c r="B144" s="66" t="s">
        <v>503</v>
      </c>
      <c r="C144" s="65" t="s">
        <v>239</v>
      </c>
      <c r="D144" s="71">
        <v>27.2</v>
      </c>
      <c r="E144" s="170">
        <f>'искл-свод'!B2</f>
        <v>1361.6</v>
      </c>
      <c r="F144" s="101">
        <f t="shared" si="42"/>
        <v>37035.519999999997</v>
      </c>
      <c r="G144" s="101">
        <f t="shared" si="43"/>
        <v>44442.62</v>
      </c>
      <c r="J144" s="438"/>
      <c r="K144" s="438">
        <f t="shared" si="41"/>
        <v>0</v>
      </c>
    </row>
    <row r="145" spans="1:11" ht="15.6" x14ac:dyDescent="0.3">
      <c r="A145" s="65"/>
      <c r="B145" s="61" t="s">
        <v>523</v>
      </c>
      <c r="C145" s="65"/>
      <c r="D145" s="67"/>
      <c r="E145" s="170">
        <v>0</v>
      </c>
      <c r="F145" s="101"/>
      <c r="G145" s="101"/>
      <c r="J145" s="438"/>
      <c r="K145" s="438">
        <f t="shared" si="41"/>
        <v>0</v>
      </c>
    </row>
    <row r="146" spans="1:11" ht="27.6" x14ac:dyDescent="0.3">
      <c r="A146" s="65">
        <f>A144+1</f>
        <v>58</v>
      </c>
      <c r="B146" s="66" t="s">
        <v>645</v>
      </c>
      <c r="C146" s="65" t="s">
        <v>194</v>
      </c>
      <c r="D146" s="70">
        <v>50</v>
      </c>
      <c r="E146" s="170">
        <v>1454.5581479999998</v>
      </c>
      <c r="F146" s="101">
        <f t="shared" ref="F146:F153" si="45">ROUND(E146*D146,2)</f>
        <v>72727.91</v>
      </c>
      <c r="G146" s="101">
        <f t="shared" si="43"/>
        <v>87273.49</v>
      </c>
      <c r="J146" s="438"/>
      <c r="K146" s="438">
        <f t="shared" si="41"/>
        <v>0</v>
      </c>
    </row>
    <row r="147" spans="1:11" ht="41.4" x14ac:dyDescent="0.3">
      <c r="A147" s="65">
        <f>A146+1</f>
        <v>59</v>
      </c>
      <c r="B147" s="66" t="s">
        <v>1165</v>
      </c>
      <c r="C147" s="65" t="s">
        <v>194</v>
      </c>
      <c r="D147" s="70">
        <v>17</v>
      </c>
      <c r="E147" s="170">
        <v>2183.9825879999994</v>
      </c>
      <c r="F147" s="101">
        <f t="shared" si="45"/>
        <v>37127.699999999997</v>
      </c>
      <c r="G147" s="101">
        <f t="shared" si="43"/>
        <v>44553.24</v>
      </c>
      <c r="J147" s="438"/>
      <c r="K147" s="438">
        <f t="shared" si="41"/>
        <v>0</v>
      </c>
    </row>
    <row r="148" spans="1:11" ht="15.6" x14ac:dyDescent="0.3">
      <c r="A148" s="65">
        <f t="shared" ref="A148:A153" si="46">A147+1</f>
        <v>60</v>
      </c>
      <c r="B148" s="66" t="s">
        <v>648</v>
      </c>
      <c r="C148" s="65" t="s">
        <v>194</v>
      </c>
      <c r="D148" s="70">
        <v>17</v>
      </c>
      <c r="E148" s="170">
        <v>1633.3386479999999</v>
      </c>
      <c r="F148" s="101">
        <f t="shared" si="45"/>
        <v>27766.76</v>
      </c>
      <c r="G148" s="101">
        <f t="shared" si="43"/>
        <v>33320.11</v>
      </c>
      <c r="J148" s="438"/>
      <c r="K148" s="438">
        <f t="shared" si="41"/>
        <v>0</v>
      </c>
    </row>
    <row r="149" spans="1:11" ht="15.6" x14ac:dyDescent="0.3">
      <c r="A149" s="65">
        <f t="shared" si="46"/>
        <v>61</v>
      </c>
      <c r="B149" s="66" t="s">
        <v>649</v>
      </c>
      <c r="C149" s="65" t="s">
        <v>650</v>
      </c>
      <c r="D149" s="70">
        <v>1</v>
      </c>
      <c r="E149" s="170">
        <v>4858.5388679999996</v>
      </c>
      <c r="F149" s="101">
        <f t="shared" si="45"/>
        <v>4858.54</v>
      </c>
      <c r="G149" s="101">
        <f t="shared" si="43"/>
        <v>5830.25</v>
      </c>
      <c r="J149" s="438"/>
      <c r="K149" s="438">
        <f t="shared" si="41"/>
        <v>0</v>
      </c>
    </row>
    <row r="150" spans="1:11" ht="27.6" x14ac:dyDescent="0.3">
      <c r="A150" s="65">
        <f t="shared" si="46"/>
        <v>62</v>
      </c>
      <c r="B150" s="66" t="s">
        <v>667</v>
      </c>
      <c r="C150" s="65" t="s">
        <v>220</v>
      </c>
      <c r="D150" s="70">
        <v>2</v>
      </c>
      <c r="E150" s="170">
        <v>5708.1038040000003</v>
      </c>
      <c r="F150" s="101">
        <f t="shared" si="45"/>
        <v>11416.21</v>
      </c>
      <c r="G150" s="101">
        <f t="shared" si="43"/>
        <v>13699.45</v>
      </c>
      <c r="J150" s="438"/>
      <c r="K150" s="438">
        <f t="shared" si="41"/>
        <v>0</v>
      </c>
    </row>
    <row r="151" spans="1:11" ht="27.6" x14ac:dyDescent="0.3">
      <c r="A151" s="65">
        <f t="shared" si="46"/>
        <v>63</v>
      </c>
      <c r="B151" s="66" t="s">
        <v>668</v>
      </c>
      <c r="C151" s="65" t="s">
        <v>220</v>
      </c>
      <c r="D151" s="70">
        <v>2</v>
      </c>
      <c r="E151" s="170">
        <v>2092.4469720000002</v>
      </c>
      <c r="F151" s="101">
        <f t="shared" si="45"/>
        <v>4184.8900000000003</v>
      </c>
      <c r="G151" s="101">
        <f t="shared" si="43"/>
        <v>5021.87</v>
      </c>
      <c r="J151" s="438"/>
      <c r="K151" s="438">
        <f t="shared" si="41"/>
        <v>0</v>
      </c>
    </row>
    <row r="152" spans="1:11" ht="41.4" x14ac:dyDescent="0.3">
      <c r="A152" s="65">
        <f t="shared" si="46"/>
        <v>64</v>
      </c>
      <c r="B152" s="66" t="s">
        <v>657</v>
      </c>
      <c r="C152" s="65" t="s">
        <v>220</v>
      </c>
      <c r="D152" s="70">
        <v>2</v>
      </c>
      <c r="E152" s="170">
        <v>5055.9125400000003</v>
      </c>
      <c r="F152" s="101">
        <f t="shared" si="45"/>
        <v>10111.83</v>
      </c>
      <c r="G152" s="101">
        <f t="shared" si="43"/>
        <v>12134.2</v>
      </c>
      <c r="J152" s="438"/>
      <c r="K152" s="438">
        <f t="shared" si="41"/>
        <v>0</v>
      </c>
    </row>
    <row r="153" spans="1:11" ht="27.6" x14ac:dyDescent="0.3">
      <c r="A153" s="86">
        <f t="shared" si="46"/>
        <v>65</v>
      </c>
      <c r="B153" s="264" t="s">
        <v>1162</v>
      </c>
      <c r="C153" s="86" t="s">
        <v>193</v>
      </c>
      <c r="D153" s="266">
        <v>1.3</v>
      </c>
      <c r="E153" s="170">
        <v>13196.947202639998</v>
      </c>
      <c r="F153" s="102">
        <f t="shared" si="45"/>
        <v>17156.03</v>
      </c>
      <c r="G153" s="102">
        <f t="shared" si="43"/>
        <v>20587.240000000002</v>
      </c>
      <c r="J153" s="438"/>
      <c r="K153" s="438">
        <f t="shared" si="41"/>
        <v>0</v>
      </c>
    </row>
    <row r="154" spans="1:11" ht="25.5" customHeight="1" x14ac:dyDescent="0.3">
      <c r="A154" s="153"/>
      <c r="B154" s="242" t="s">
        <v>580</v>
      </c>
      <c r="C154" s="161"/>
      <c r="D154" s="161"/>
      <c r="E154" s="161"/>
      <c r="F154" s="161"/>
      <c r="G154" s="161"/>
      <c r="J154" s="438"/>
      <c r="K154" s="438">
        <f t="shared" si="41"/>
        <v>0</v>
      </c>
    </row>
    <row r="155" spans="1:11" ht="15.6" x14ac:dyDescent="0.3">
      <c r="A155" s="86"/>
      <c r="B155" s="84" t="s">
        <v>1084</v>
      </c>
      <c r="C155" s="86"/>
      <c r="D155" s="152"/>
      <c r="E155" s="170">
        <v>0</v>
      </c>
      <c r="F155" s="160"/>
      <c r="G155" s="265"/>
      <c r="J155" s="438"/>
      <c r="K155" s="438">
        <f t="shared" si="41"/>
        <v>0</v>
      </c>
    </row>
    <row r="156" spans="1:11" ht="15.6" x14ac:dyDescent="0.3">
      <c r="A156" s="86"/>
      <c r="B156" s="84" t="s">
        <v>513</v>
      </c>
      <c r="C156" s="86"/>
      <c r="D156" s="152"/>
      <c r="E156" s="170">
        <v>0</v>
      </c>
      <c r="F156" s="160"/>
      <c r="G156" s="265"/>
      <c r="J156" s="438"/>
      <c r="K156" s="438">
        <f t="shared" si="41"/>
        <v>0</v>
      </c>
    </row>
    <row r="157" spans="1:11" ht="15.6" x14ac:dyDescent="0.3">
      <c r="A157" s="86">
        <f>A153+1</f>
        <v>66</v>
      </c>
      <c r="B157" s="243" t="s">
        <v>669</v>
      </c>
      <c r="C157" s="86" t="s">
        <v>193</v>
      </c>
      <c r="D157" s="226">
        <v>9.8800000000000008</v>
      </c>
      <c r="E157" s="170">
        <v>534.91125600000009</v>
      </c>
      <c r="F157" s="102">
        <f t="shared" ref="F157:F162" si="47">ROUND(E157*D157,2)</f>
        <v>5284.92</v>
      </c>
      <c r="G157" s="102">
        <f t="shared" ref="G157" si="48">ROUND(F157*1.2,2)</f>
        <v>6341.9</v>
      </c>
      <c r="J157" s="438"/>
      <c r="K157" s="438">
        <f t="shared" si="41"/>
        <v>0</v>
      </c>
    </row>
    <row r="158" spans="1:11" ht="15.6" x14ac:dyDescent="0.3">
      <c r="A158" s="86">
        <f>A157+1</f>
        <v>67</v>
      </c>
      <c r="B158" s="243" t="s">
        <v>671</v>
      </c>
      <c r="C158" s="86" t="s">
        <v>193</v>
      </c>
      <c r="D158" s="227">
        <v>0.4</v>
      </c>
      <c r="E158" s="170">
        <v>2033.8069679999999</v>
      </c>
      <c r="F158" s="102">
        <f t="shared" si="47"/>
        <v>813.52</v>
      </c>
      <c r="G158" s="102">
        <f t="shared" ref="G158:G162" si="49">ROUND(F158*1.2,2)</f>
        <v>976.22</v>
      </c>
      <c r="J158" s="438"/>
      <c r="K158" s="438">
        <f t="shared" si="41"/>
        <v>0</v>
      </c>
    </row>
    <row r="159" spans="1:11" ht="15.6" x14ac:dyDescent="0.3">
      <c r="A159" s="86">
        <f t="shared" ref="A159:A162" si="50">A158+1</f>
        <v>68</v>
      </c>
      <c r="B159" s="243" t="s">
        <v>672</v>
      </c>
      <c r="C159" s="86" t="s">
        <v>193</v>
      </c>
      <c r="D159" s="226">
        <v>7.54</v>
      </c>
      <c r="E159" s="170">
        <v>178.78050000000002</v>
      </c>
      <c r="F159" s="102">
        <f t="shared" si="47"/>
        <v>1348</v>
      </c>
      <c r="G159" s="102">
        <f t="shared" si="49"/>
        <v>1617.6</v>
      </c>
      <c r="J159" s="438"/>
      <c r="K159" s="438">
        <f t="shared" si="41"/>
        <v>0</v>
      </c>
    </row>
    <row r="160" spans="1:11" ht="15.6" x14ac:dyDescent="0.3">
      <c r="A160" s="86">
        <f t="shared" si="50"/>
        <v>69</v>
      </c>
      <c r="B160" s="243" t="s">
        <v>451</v>
      </c>
      <c r="C160" s="86" t="s">
        <v>193</v>
      </c>
      <c r="D160" s="226">
        <v>7.54</v>
      </c>
      <c r="E160" s="170">
        <v>283.188312</v>
      </c>
      <c r="F160" s="102">
        <f t="shared" si="47"/>
        <v>2135.2399999999998</v>
      </c>
      <c r="G160" s="102">
        <f t="shared" si="49"/>
        <v>2562.29</v>
      </c>
      <c r="J160" s="438"/>
      <c r="K160" s="438">
        <f t="shared" si="41"/>
        <v>0</v>
      </c>
    </row>
    <row r="161" spans="1:11" ht="15.6" x14ac:dyDescent="0.3">
      <c r="A161" s="86">
        <f t="shared" si="50"/>
        <v>70</v>
      </c>
      <c r="B161" s="243" t="s">
        <v>518</v>
      </c>
      <c r="C161" s="86" t="s">
        <v>239</v>
      </c>
      <c r="D161" s="226">
        <v>4.4400000000000004</v>
      </c>
      <c r="E161" s="170">
        <v>464.82929999999999</v>
      </c>
      <c r="F161" s="102">
        <f t="shared" si="47"/>
        <v>2063.84</v>
      </c>
      <c r="G161" s="102">
        <f t="shared" si="49"/>
        <v>2476.61</v>
      </c>
      <c r="J161" s="438"/>
      <c r="K161" s="438">
        <f t="shared" si="41"/>
        <v>0</v>
      </c>
    </row>
    <row r="162" spans="1:11" ht="15.6" x14ac:dyDescent="0.3">
      <c r="A162" s="453">
        <f t="shared" si="50"/>
        <v>71</v>
      </c>
      <c r="B162" s="243" t="s">
        <v>503</v>
      </c>
      <c r="C162" s="86" t="s">
        <v>239</v>
      </c>
      <c r="D162" s="226">
        <v>4.4400000000000004</v>
      </c>
      <c r="E162" s="170">
        <f>'искл-свод'!B2</f>
        <v>1361.6</v>
      </c>
      <c r="F162" s="102">
        <f t="shared" si="47"/>
        <v>6045.5</v>
      </c>
      <c r="G162" s="102">
        <f t="shared" si="49"/>
        <v>7254.6</v>
      </c>
      <c r="J162" s="438"/>
      <c r="K162" s="438">
        <f t="shared" si="41"/>
        <v>0</v>
      </c>
    </row>
    <row r="163" spans="1:11" ht="15.6" x14ac:dyDescent="0.3">
      <c r="A163" s="86"/>
      <c r="B163" s="84" t="s">
        <v>525</v>
      </c>
      <c r="C163" s="86"/>
      <c r="D163" s="152"/>
      <c r="E163" s="170">
        <v>0</v>
      </c>
      <c r="F163" s="160"/>
      <c r="G163" s="265"/>
      <c r="J163" s="438"/>
      <c r="K163" s="438">
        <f t="shared" si="41"/>
        <v>0</v>
      </c>
    </row>
    <row r="164" spans="1:11" ht="27.6" x14ac:dyDescent="0.3">
      <c r="A164" s="86">
        <f>A162+1</f>
        <v>72</v>
      </c>
      <c r="B164" s="243" t="s">
        <v>526</v>
      </c>
      <c r="C164" s="86" t="s">
        <v>193</v>
      </c>
      <c r="D164" s="227">
        <f>0.18+0.1+0.242+0.16*2+0.03+0.05</f>
        <v>0.92200000000000015</v>
      </c>
      <c r="E164" s="170">
        <v>25993.823904999994</v>
      </c>
      <c r="F164" s="102">
        <f>ROUND(E164*D164,2)</f>
        <v>23966.31</v>
      </c>
      <c r="G164" s="102">
        <f t="shared" ref="G164:G165" si="51">ROUND(F164*1.2,2)</f>
        <v>28759.57</v>
      </c>
      <c r="J164" s="438"/>
      <c r="K164" s="438">
        <f t="shared" si="41"/>
        <v>0</v>
      </c>
    </row>
    <row r="165" spans="1:11" ht="41.4" x14ac:dyDescent="0.3">
      <c r="A165" s="323">
        <f>A164+1</f>
        <v>73</v>
      </c>
      <c r="B165" s="324" t="s">
        <v>1085</v>
      </c>
      <c r="C165" s="323" t="s">
        <v>220</v>
      </c>
      <c r="D165" s="327">
        <v>1</v>
      </c>
      <c r="E165" s="295">
        <v>17893.782683999998</v>
      </c>
      <c r="F165" s="288">
        <f>ROUND(E165*D165,2)</f>
        <v>17893.78</v>
      </c>
      <c r="G165" s="288">
        <f t="shared" si="51"/>
        <v>21472.54</v>
      </c>
      <c r="J165" s="438"/>
      <c r="K165" s="438">
        <f t="shared" si="41"/>
        <v>0</v>
      </c>
    </row>
    <row r="166" spans="1:11" ht="15.6" x14ac:dyDescent="0.3">
      <c r="A166" s="323">
        <f>A165+1</f>
        <v>74</v>
      </c>
      <c r="B166" s="324" t="s">
        <v>1086</v>
      </c>
      <c r="C166" s="323" t="s">
        <v>220</v>
      </c>
      <c r="D166" s="327">
        <v>1</v>
      </c>
      <c r="E166" s="295">
        <v>20795.747760000002</v>
      </c>
      <c r="F166" s="288">
        <f>ROUND(E166*D166,2)</f>
        <v>20795.75</v>
      </c>
      <c r="G166" s="288">
        <f t="shared" ref="G166:G168" si="52">ROUND(F166*1.2,2)</f>
        <v>24954.9</v>
      </c>
      <c r="J166" s="438"/>
      <c r="K166" s="438">
        <f t="shared" si="41"/>
        <v>0</v>
      </c>
    </row>
    <row r="167" spans="1:11" ht="15.6" x14ac:dyDescent="0.3">
      <c r="A167" s="323">
        <f t="shared" ref="A167:A168" si="53">A166+1</f>
        <v>75</v>
      </c>
      <c r="B167" s="324" t="s">
        <v>921</v>
      </c>
      <c r="C167" s="323" t="s">
        <v>239</v>
      </c>
      <c r="D167" s="382">
        <f>0.45+0.25+0.6+0.4+0.2+0.492+0.48+16.2</f>
        <v>19.071999999999999</v>
      </c>
      <c r="E167" s="295">
        <v>649.42916526845636</v>
      </c>
      <c r="F167" s="288">
        <f>ROUND(E167*D167,2)</f>
        <v>12385.91</v>
      </c>
      <c r="G167" s="288">
        <f t="shared" si="52"/>
        <v>14863.09</v>
      </c>
      <c r="H167" s="209" t="s">
        <v>1624</v>
      </c>
      <c r="J167" s="438"/>
      <c r="K167" s="438">
        <f t="shared" si="41"/>
        <v>0</v>
      </c>
    </row>
    <row r="168" spans="1:11" ht="27.6" x14ac:dyDescent="0.3">
      <c r="A168" s="323">
        <f t="shared" si="53"/>
        <v>76</v>
      </c>
      <c r="B168" s="324" t="s">
        <v>855</v>
      </c>
      <c r="C168" s="323" t="s">
        <v>239</v>
      </c>
      <c r="D168" s="382">
        <f>0.45+0.25+0.6+0.4+0.2+0.492+0.48+16.2</f>
        <v>19.071999999999999</v>
      </c>
      <c r="E168" s="295">
        <v>4948.6442400000005</v>
      </c>
      <c r="F168" s="288">
        <f>ROUND(E168*D168,2)</f>
        <v>94380.54</v>
      </c>
      <c r="G168" s="288">
        <f t="shared" si="52"/>
        <v>113256.65</v>
      </c>
      <c r="H168" s="209" t="s">
        <v>1624</v>
      </c>
      <c r="J168" s="438"/>
      <c r="K168" s="438">
        <f t="shared" si="41"/>
        <v>0</v>
      </c>
    </row>
    <row r="169" spans="1:11" ht="41.4" x14ac:dyDescent="0.3">
      <c r="A169" s="323"/>
      <c r="B169" s="383" t="s">
        <v>1087</v>
      </c>
      <c r="C169" s="323"/>
      <c r="D169" s="327"/>
      <c r="E169" s="295">
        <v>0</v>
      </c>
      <c r="F169" s="311"/>
      <c r="G169" s="313"/>
      <c r="J169" s="438"/>
      <c r="K169" s="438">
        <f t="shared" si="41"/>
        <v>0</v>
      </c>
    </row>
    <row r="170" spans="1:11" ht="15.6" x14ac:dyDescent="0.3">
      <c r="A170" s="323"/>
      <c r="B170" s="383" t="s">
        <v>1088</v>
      </c>
      <c r="C170" s="323"/>
      <c r="D170" s="327"/>
      <c r="E170" s="295">
        <v>0</v>
      </c>
      <c r="F170" s="311"/>
      <c r="G170" s="313"/>
      <c r="J170" s="438"/>
      <c r="K170" s="438">
        <f t="shared" si="41"/>
        <v>0</v>
      </c>
    </row>
    <row r="171" spans="1:11" ht="15.6" x14ac:dyDescent="0.3">
      <c r="A171" s="323"/>
      <c r="B171" s="383" t="s">
        <v>513</v>
      </c>
      <c r="C171" s="323"/>
      <c r="D171" s="327"/>
      <c r="E171" s="295">
        <v>0</v>
      </c>
      <c r="F171" s="311"/>
      <c r="G171" s="313"/>
      <c r="J171" s="438"/>
      <c r="K171" s="438">
        <f t="shared" si="41"/>
        <v>0</v>
      </c>
    </row>
    <row r="172" spans="1:11" ht="27.6" x14ac:dyDescent="0.3">
      <c r="A172" s="323">
        <f>A168+1</f>
        <v>77</v>
      </c>
      <c r="B172" s="324" t="s">
        <v>1090</v>
      </c>
      <c r="C172" s="323" t="s">
        <v>193</v>
      </c>
      <c r="D172" s="325">
        <v>2612.46</v>
      </c>
      <c r="E172" s="295">
        <v>534.91125600000009</v>
      </c>
      <c r="F172" s="288">
        <f t="shared" ref="F172:F186" si="54">ROUND(E172*D172,2)</f>
        <v>1397434.26</v>
      </c>
      <c r="G172" s="288">
        <f t="shared" ref="G172:G186" si="55">ROUND(F172*1.2,2)</f>
        <v>1676921.11</v>
      </c>
      <c r="J172" s="438"/>
      <c r="K172" s="438">
        <f t="shared" si="41"/>
        <v>0</v>
      </c>
    </row>
    <row r="173" spans="1:11" ht="15.6" x14ac:dyDescent="0.3">
      <c r="A173" s="323">
        <f>A172+1</f>
        <v>78</v>
      </c>
      <c r="B173" s="324" t="s">
        <v>515</v>
      </c>
      <c r="C173" s="323" t="s">
        <v>193</v>
      </c>
      <c r="D173" s="325">
        <v>80.8</v>
      </c>
      <c r="E173" s="295">
        <v>2541.5435879999995</v>
      </c>
      <c r="F173" s="288">
        <f t="shared" si="54"/>
        <v>205356.72</v>
      </c>
      <c r="G173" s="288">
        <f t="shared" si="55"/>
        <v>246428.06</v>
      </c>
      <c r="J173" s="438"/>
      <c r="K173" s="438">
        <f t="shared" si="41"/>
        <v>0</v>
      </c>
    </row>
    <row r="174" spans="1:11" ht="15.6" x14ac:dyDescent="0.3">
      <c r="A174" s="323">
        <f t="shared" ref="A174:A186" si="56">A173+1</f>
        <v>79</v>
      </c>
      <c r="B174" s="324" t="s">
        <v>1089</v>
      </c>
      <c r="C174" s="323" t="s">
        <v>193</v>
      </c>
      <c r="D174" s="325">
        <v>30.99</v>
      </c>
      <c r="E174" s="295">
        <v>1972.306476</v>
      </c>
      <c r="F174" s="288">
        <f t="shared" si="54"/>
        <v>61121.78</v>
      </c>
      <c r="G174" s="288">
        <f t="shared" si="55"/>
        <v>73346.14</v>
      </c>
      <c r="J174" s="438"/>
      <c r="K174" s="438">
        <f t="shared" si="41"/>
        <v>0</v>
      </c>
    </row>
    <row r="175" spans="1:11" ht="15.6" x14ac:dyDescent="0.3">
      <c r="A175" s="323">
        <f t="shared" si="56"/>
        <v>80</v>
      </c>
      <c r="B175" s="324" t="s">
        <v>1117</v>
      </c>
      <c r="C175" s="323" t="s">
        <v>193</v>
      </c>
      <c r="D175" s="325">
        <v>660.24</v>
      </c>
      <c r="E175" s="295">
        <v>1972.306476</v>
      </c>
      <c r="F175" s="288">
        <f t="shared" si="54"/>
        <v>1302195.6299999999</v>
      </c>
      <c r="G175" s="288">
        <f t="shared" si="55"/>
        <v>1562634.76</v>
      </c>
      <c r="J175" s="438"/>
      <c r="K175" s="438">
        <f t="shared" si="41"/>
        <v>0</v>
      </c>
    </row>
    <row r="176" spans="1:11" ht="27.6" x14ac:dyDescent="0.3">
      <c r="A176" s="323">
        <f t="shared" si="56"/>
        <v>81</v>
      </c>
      <c r="B176" s="324" t="s">
        <v>1091</v>
      </c>
      <c r="C176" s="323" t="s">
        <v>193</v>
      </c>
      <c r="D176" s="325">
        <v>196.21</v>
      </c>
      <c r="E176" s="295">
        <v>534.91125600000009</v>
      </c>
      <c r="F176" s="288">
        <f t="shared" si="54"/>
        <v>104954.94</v>
      </c>
      <c r="G176" s="288">
        <f t="shared" ref="G176" si="57">ROUND(F176*1.2,2)</f>
        <v>125945.93</v>
      </c>
      <c r="J176" s="438"/>
      <c r="K176" s="438">
        <f t="shared" si="41"/>
        <v>0</v>
      </c>
    </row>
    <row r="177" spans="1:11" ht="15.6" x14ac:dyDescent="0.3">
      <c r="A177" s="86">
        <f t="shared" si="56"/>
        <v>82</v>
      </c>
      <c r="B177" s="243" t="s">
        <v>671</v>
      </c>
      <c r="C177" s="86" t="s">
        <v>193</v>
      </c>
      <c r="D177" s="226">
        <v>4.7300000000000004</v>
      </c>
      <c r="E177" s="170">
        <v>2033.8069679999999</v>
      </c>
      <c r="F177" s="102">
        <f t="shared" si="54"/>
        <v>9619.91</v>
      </c>
      <c r="G177" s="102">
        <f t="shared" si="55"/>
        <v>11543.89</v>
      </c>
      <c r="J177" s="438"/>
      <c r="K177" s="438">
        <f t="shared" si="41"/>
        <v>0</v>
      </c>
    </row>
    <row r="178" spans="1:11" ht="27.6" x14ac:dyDescent="0.3">
      <c r="A178" s="86">
        <f t="shared" si="56"/>
        <v>83</v>
      </c>
      <c r="B178" s="243" t="s">
        <v>1092</v>
      </c>
      <c r="C178" s="86" t="s">
        <v>194</v>
      </c>
      <c r="D178" s="152">
        <v>35</v>
      </c>
      <c r="E178" s="170">
        <v>6930.9624239999994</v>
      </c>
      <c r="F178" s="102">
        <f t="shared" si="54"/>
        <v>242583.67999999999</v>
      </c>
      <c r="G178" s="102">
        <f t="shared" ref="G178:G182" si="58">ROUND(F178*1.2,2)</f>
        <v>291100.42</v>
      </c>
      <c r="J178" s="438"/>
      <c r="K178" s="438">
        <f t="shared" si="41"/>
        <v>0</v>
      </c>
    </row>
    <row r="179" spans="1:11" ht="27.6" x14ac:dyDescent="0.3">
      <c r="A179" s="86">
        <f t="shared" si="56"/>
        <v>84</v>
      </c>
      <c r="B179" s="243" t="s">
        <v>1093</v>
      </c>
      <c r="C179" s="86" t="s">
        <v>194</v>
      </c>
      <c r="D179" s="152">
        <v>35</v>
      </c>
      <c r="E179" s="170">
        <v>592.12101599999994</v>
      </c>
      <c r="F179" s="102">
        <f t="shared" si="54"/>
        <v>20724.240000000002</v>
      </c>
      <c r="G179" s="102">
        <f t="shared" si="58"/>
        <v>24869.09</v>
      </c>
      <c r="J179" s="438"/>
      <c r="K179" s="438">
        <f t="shared" si="41"/>
        <v>0</v>
      </c>
    </row>
    <row r="180" spans="1:11" ht="15.6" x14ac:dyDescent="0.3">
      <c r="A180" s="86">
        <f t="shared" si="56"/>
        <v>85</v>
      </c>
      <c r="B180" s="243" t="s">
        <v>683</v>
      </c>
      <c r="C180" s="86" t="s">
        <v>650</v>
      </c>
      <c r="D180" s="152">
        <v>1</v>
      </c>
      <c r="E180" s="170">
        <v>9604.088459999999</v>
      </c>
      <c r="F180" s="102">
        <f t="shared" si="54"/>
        <v>9604.09</v>
      </c>
      <c r="G180" s="102">
        <f t="shared" si="58"/>
        <v>11524.91</v>
      </c>
      <c r="J180" s="438"/>
      <c r="K180" s="438">
        <f t="shared" si="41"/>
        <v>0</v>
      </c>
    </row>
    <row r="181" spans="1:11" ht="27.6" x14ac:dyDescent="0.3">
      <c r="A181" s="86">
        <f t="shared" si="56"/>
        <v>86</v>
      </c>
      <c r="B181" s="243" t="s">
        <v>1094</v>
      </c>
      <c r="C181" s="86" t="s">
        <v>193</v>
      </c>
      <c r="D181" s="226">
        <v>4.62</v>
      </c>
      <c r="E181" s="170">
        <v>13196.947202639998</v>
      </c>
      <c r="F181" s="102">
        <f t="shared" si="54"/>
        <v>60969.9</v>
      </c>
      <c r="G181" s="102">
        <f t="shared" si="58"/>
        <v>73163.88</v>
      </c>
      <c r="J181" s="438"/>
      <c r="K181" s="438">
        <f t="shared" si="41"/>
        <v>0</v>
      </c>
    </row>
    <row r="182" spans="1:11" ht="15.6" x14ac:dyDescent="0.3">
      <c r="A182" s="86">
        <f t="shared" si="56"/>
        <v>87</v>
      </c>
      <c r="B182" s="243" t="s">
        <v>1095</v>
      </c>
      <c r="C182" s="86" t="s">
        <v>194</v>
      </c>
      <c r="D182" s="152">
        <v>35</v>
      </c>
      <c r="E182" s="170">
        <v>5296.1935320000002</v>
      </c>
      <c r="F182" s="102">
        <f t="shared" si="54"/>
        <v>185366.77</v>
      </c>
      <c r="G182" s="102">
        <f t="shared" si="58"/>
        <v>222440.12</v>
      </c>
      <c r="J182" s="438"/>
      <c r="K182" s="438">
        <f t="shared" si="41"/>
        <v>0</v>
      </c>
    </row>
    <row r="183" spans="1:11" ht="15.6" x14ac:dyDescent="0.3">
      <c r="A183" s="86">
        <f t="shared" si="56"/>
        <v>88</v>
      </c>
      <c r="B183" s="243" t="s">
        <v>672</v>
      </c>
      <c r="C183" s="86" t="s">
        <v>193</v>
      </c>
      <c r="D183" s="226">
        <v>2101.14</v>
      </c>
      <c r="E183" s="170">
        <v>178.78050000000002</v>
      </c>
      <c r="F183" s="102">
        <f t="shared" si="54"/>
        <v>375642.86</v>
      </c>
      <c r="G183" s="102">
        <f t="shared" si="55"/>
        <v>450771.43</v>
      </c>
      <c r="J183" s="438"/>
      <c r="K183" s="438">
        <f t="shared" si="41"/>
        <v>0</v>
      </c>
    </row>
    <row r="184" spans="1:11" ht="15.6" x14ac:dyDescent="0.3">
      <c r="A184" s="86">
        <f t="shared" si="56"/>
        <v>89</v>
      </c>
      <c r="B184" s="243" t="s">
        <v>451</v>
      </c>
      <c r="C184" s="86" t="s">
        <v>193</v>
      </c>
      <c r="D184" s="226">
        <v>2101.14</v>
      </c>
      <c r="E184" s="170">
        <v>283.188312</v>
      </c>
      <c r="F184" s="102">
        <f t="shared" si="54"/>
        <v>595018.29</v>
      </c>
      <c r="G184" s="102">
        <f t="shared" si="55"/>
        <v>714021.95</v>
      </c>
      <c r="J184" s="438"/>
      <c r="K184" s="438">
        <f t="shared" si="41"/>
        <v>0</v>
      </c>
    </row>
    <row r="185" spans="1:11" ht="15.6" x14ac:dyDescent="0.3">
      <c r="A185" s="86">
        <f t="shared" si="56"/>
        <v>90</v>
      </c>
      <c r="B185" s="243" t="s">
        <v>518</v>
      </c>
      <c r="C185" s="86" t="s">
        <v>239</v>
      </c>
      <c r="D185" s="226">
        <v>1437.07</v>
      </c>
      <c r="E185" s="170">
        <v>464.82929999999999</v>
      </c>
      <c r="F185" s="102">
        <f t="shared" si="54"/>
        <v>667992.24</v>
      </c>
      <c r="G185" s="102">
        <f t="shared" si="55"/>
        <v>801590.69</v>
      </c>
      <c r="J185" s="438"/>
      <c r="K185" s="438">
        <f t="shared" si="41"/>
        <v>0</v>
      </c>
    </row>
    <row r="186" spans="1:11" ht="15.6" x14ac:dyDescent="0.3">
      <c r="A186" s="453">
        <f t="shared" si="56"/>
        <v>91</v>
      </c>
      <c r="B186" s="243" t="s">
        <v>503</v>
      </c>
      <c r="C186" s="86" t="s">
        <v>239</v>
      </c>
      <c r="D186" s="226">
        <v>1437.07</v>
      </c>
      <c r="E186" s="170">
        <f>'искл-свод'!B2</f>
        <v>1361.6</v>
      </c>
      <c r="F186" s="102">
        <f t="shared" si="54"/>
        <v>1956714.51</v>
      </c>
      <c r="G186" s="102">
        <f t="shared" si="55"/>
        <v>2348057.41</v>
      </c>
      <c r="J186" s="438"/>
      <c r="K186" s="438">
        <f t="shared" si="41"/>
        <v>0</v>
      </c>
    </row>
    <row r="187" spans="1:11" ht="15.6" x14ac:dyDescent="0.3">
      <c r="A187" s="86"/>
      <c r="B187" s="84" t="s">
        <v>523</v>
      </c>
      <c r="C187" s="86"/>
      <c r="D187" s="152"/>
      <c r="E187" s="170">
        <v>0</v>
      </c>
      <c r="F187" s="160"/>
      <c r="G187" s="265"/>
      <c r="J187" s="438"/>
      <c r="K187" s="438">
        <f t="shared" si="41"/>
        <v>0</v>
      </c>
    </row>
    <row r="188" spans="1:11" ht="15.6" x14ac:dyDescent="0.3">
      <c r="A188" s="86">
        <f>A186+1</f>
        <v>92</v>
      </c>
      <c r="B188" s="243" t="s">
        <v>1096</v>
      </c>
      <c r="C188" s="86" t="s">
        <v>194</v>
      </c>
      <c r="D188" s="152">
        <v>215</v>
      </c>
      <c r="E188" s="170">
        <v>2081.0050200000001</v>
      </c>
      <c r="F188" s="102">
        <f>ROUND(E188*D188,2)</f>
        <v>447416.08</v>
      </c>
      <c r="G188" s="102">
        <f t="shared" ref="G188" si="59">ROUND(F188*1.2,2)</f>
        <v>536899.30000000005</v>
      </c>
      <c r="J188" s="438"/>
      <c r="K188" s="438">
        <f t="shared" si="41"/>
        <v>0</v>
      </c>
    </row>
    <row r="189" spans="1:11" ht="15.6" x14ac:dyDescent="0.3">
      <c r="A189" s="86"/>
      <c r="B189" s="84" t="s">
        <v>525</v>
      </c>
      <c r="C189" s="86"/>
      <c r="D189" s="152"/>
      <c r="E189" s="170">
        <v>0</v>
      </c>
      <c r="F189" s="160"/>
      <c r="G189" s="265"/>
      <c r="J189" s="438"/>
      <c r="K189" s="438">
        <f t="shared" si="41"/>
        <v>0</v>
      </c>
    </row>
    <row r="190" spans="1:11" ht="27.6" x14ac:dyDescent="0.3">
      <c r="A190" s="86">
        <f>A188+1</f>
        <v>93</v>
      </c>
      <c r="B190" s="243" t="s">
        <v>526</v>
      </c>
      <c r="C190" s="86" t="s">
        <v>193</v>
      </c>
      <c r="D190" s="227">
        <f>0.18*4+0.1*5+0.242*7+0.16*1+0.03*19+0.05*1+0.38*10+0.283*5+0.4*15+0.265*2</f>
        <v>15.438999999999998</v>
      </c>
      <c r="E190" s="170">
        <v>25993.823904999994</v>
      </c>
      <c r="F190" s="102">
        <f>ROUND(E190*D190,2)</f>
        <v>401318.65</v>
      </c>
      <c r="G190" s="102">
        <f t="shared" ref="G190:G191" si="60">ROUND(F190*1.2,2)</f>
        <v>481582.38</v>
      </c>
      <c r="J190" s="438"/>
      <c r="K190" s="438">
        <f t="shared" si="41"/>
        <v>0</v>
      </c>
    </row>
    <row r="191" spans="1:11" ht="41.4" x14ac:dyDescent="0.3">
      <c r="A191" s="86">
        <f t="shared" ref="A191" si="61">A190+1</f>
        <v>94</v>
      </c>
      <c r="B191" s="243" t="s">
        <v>1097</v>
      </c>
      <c r="C191" s="86" t="s">
        <v>220</v>
      </c>
      <c r="D191" s="152">
        <v>15</v>
      </c>
      <c r="E191" s="170">
        <v>12767.788187999999</v>
      </c>
      <c r="F191" s="102">
        <f>ROUND(E191*D191,2)</f>
        <v>191516.82</v>
      </c>
      <c r="G191" s="102">
        <f t="shared" si="60"/>
        <v>229820.18</v>
      </c>
      <c r="J191" s="438"/>
      <c r="K191" s="438">
        <f t="shared" si="41"/>
        <v>0</v>
      </c>
    </row>
    <row r="192" spans="1:11" ht="15.6" x14ac:dyDescent="0.3">
      <c r="A192" s="285"/>
      <c r="B192" s="302" t="s">
        <v>1098</v>
      </c>
      <c r="C192" s="285"/>
      <c r="D192" s="298"/>
      <c r="E192" s="170">
        <v>0</v>
      </c>
      <c r="F192" s="312"/>
      <c r="G192" s="313"/>
      <c r="J192" s="438"/>
      <c r="K192" s="438">
        <f t="shared" si="41"/>
        <v>0</v>
      </c>
    </row>
    <row r="193" spans="1:11" ht="20.25" customHeight="1" x14ac:dyDescent="0.3">
      <c r="A193" s="323">
        <f>A191+1</f>
        <v>95</v>
      </c>
      <c r="B193" s="324" t="s">
        <v>1099</v>
      </c>
      <c r="C193" s="323" t="s">
        <v>220</v>
      </c>
      <c r="D193" s="327">
        <v>10</v>
      </c>
      <c r="E193" s="295">
        <v>20795.747760000002</v>
      </c>
      <c r="F193" s="288">
        <f>ROUND(E193*D193,2)</f>
        <v>207957.48</v>
      </c>
      <c r="G193" s="288">
        <f t="shared" ref="G193:G195" si="62">ROUND(F193*1.2,2)</f>
        <v>249548.98</v>
      </c>
      <c r="J193" s="438"/>
      <c r="K193" s="438">
        <f t="shared" si="41"/>
        <v>0</v>
      </c>
    </row>
    <row r="194" spans="1:11" ht="15.6" x14ac:dyDescent="0.3">
      <c r="A194" s="323">
        <f t="shared" ref="A194:A197" si="63">A193+1</f>
        <v>96</v>
      </c>
      <c r="B194" s="324" t="s">
        <v>921</v>
      </c>
      <c r="C194" s="323" t="s">
        <v>239</v>
      </c>
      <c r="D194" s="382">
        <f>1.8+1.25+4.2+0.4+4.75+0.4+4.75+3.45+15+1.32+0.75+0.492+1.2+0.0324+0.039+0.0078+0.117</f>
        <v>39.958200000000005</v>
      </c>
      <c r="E194" s="295">
        <v>309.97174647506642</v>
      </c>
      <c r="F194" s="288">
        <f>ROUND(E194*D194,2)</f>
        <v>12385.91</v>
      </c>
      <c r="G194" s="288">
        <f t="shared" si="62"/>
        <v>14863.09</v>
      </c>
      <c r="H194" s="209" t="s">
        <v>1624</v>
      </c>
      <c r="J194" s="438"/>
      <c r="K194" s="438">
        <f t="shared" si="41"/>
        <v>0</v>
      </c>
    </row>
    <row r="195" spans="1:11" ht="27.6" x14ac:dyDescent="0.3">
      <c r="A195" s="323">
        <f t="shared" si="63"/>
        <v>97</v>
      </c>
      <c r="B195" s="324" t="s">
        <v>855</v>
      </c>
      <c r="C195" s="323" t="s">
        <v>239</v>
      </c>
      <c r="D195" s="382">
        <f>1.8+1.25+4.2+0.4+4.75+0.4+4.75+3.45+15+1.32+0.75+0.492+1.2+0.0324+0.039+0.0078+0.117</f>
        <v>39.958200000000005</v>
      </c>
      <c r="E195" s="295">
        <v>4948.6442400000005</v>
      </c>
      <c r="F195" s="288">
        <f>ROUND(E195*D195,2)</f>
        <v>197738.92</v>
      </c>
      <c r="G195" s="288">
        <f t="shared" si="62"/>
        <v>237286.7</v>
      </c>
      <c r="H195" s="209" t="s">
        <v>1624</v>
      </c>
      <c r="J195" s="438"/>
      <c r="K195" s="438">
        <f t="shared" si="41"/>
        <v>0</v>
      </c>
    </row>
    <row r="196" spans="1:11" ht="15.6" x14ac:dyDescent="0.3">
      <c r="A196" s="323">
        <f t="shared" si="63"/>
        <v>98</v>
      </c>
      <c r="B196" s="324" t="s">
        <v>1100</v>
      </c>
      <c r="C196" s="323" t="s">
        <v>194</v>
      </c>
      <c r="D196" s="327">
        <v>230</v>
      </c>
      <c r="E196" s="295">
        <v>1312.963992</v>
      </c>
      <c r="F196" s="288">
        <f>ROUND(E196*D196,2)</f>
        <v>301981.71999999997</v>
      </c>
      <c r="G196" s="288">
        <f t="shared" ref="G196:G197" si="64">ROUND(F196*1.2,2)</f>
        <v>362378.06</v>
      </c>
      <c r="J196" s="438"/>
      <c r="K196" s="438">
        <f t="shared" si="41"/>
        <v>0</v>
      </c>
    </row>
    <row r="197" spans="1:11" ht="15.6" x14ac:dyDescent="0.3">
      <c r="A197" s="323">
        <f t="shared" si="63"/>
        <v>99</v>
      </c>
      <c r="B197" s="324" t="s">
        <v>1101</v>
      </c>
      <c r="C197" s="323" t="s">
        <v>220</v>
      </c>
      <c r="D197" s="327">
        <v>2</v>
      </c>
      <c r="E197" s="295">
        <v>20795.747760000002</v>
      </c>
      <c r="F197" s="288">
        <f>ROUND(E197*D197,2)</f>
        <v>41591.5</v>
      </c>
      <c r="G197" s="288">
        <f t="shared" si="64"/>
        <v>49909.8</v>
      </c>
      <c r="J197" s="438"/>
      <c r="K197" s="438">
        <f t="shared" si="41"/>
        <v>0</v>
      </c>
    </row>
    <row r="198" spans="1:11" ht="19.5" customHeight="1" x14ac:dyDescent="0.3">
      <c r="A198" s="323"/>
      <c r="B198" s="383" t="s">
        <v>1102</v>
      </c>
      <c r="C198" s="323"/>
      <c r="D198" s="327"/>
      <c r="E198" s="295">
        <v>0</v>
      </c>
      <c r="F198" s="311"/>
      <c r="G198" s="313"/>
      <c r="J198" s="438"/>
      <c r="K198" s="438">
        <f t="shared" ref="K198:K261" si="65">E198*J198*1.2</f>
        <v>0</v>
      </c>
    </row>
    <row r="199" spans="1:11" ht="21.75" customHeight="1" x14ac:dyDescent="0.3">
      <c r="A199" s="323"/>
      <c r="B199" s="383" t="s">
        <v>513</v>
      </c>
      <c r="C199" s="323"/>
      <c r="D199" s="327"/>
      <c r="E199" s="295">
        <v>0</v>
      </c>
      <c r="F199" s="311"/>
      <c r="G199" s="313"/>
      <c r="J199" s="438"/>
      <c r="K199" s="438">
        <f t="shared" si="65"/>
        <v>0</v>
      </c>
    </row>
    <row r="200" spans="1:11" ht="27.6" x14ac:dyDescent="0.3">
      <c r="A200" s="323">
        <v>100</v>
      </c>
      <c r="B200" s="324" t="s">
        <v>1090</v>
      </c>
      <c r="C200" s="323" t="s">
        <v>193</v>
      </c>
      <c r="D200" s="325">
        <v>279.94</v>
      </c>
      <c r="E200" s="295">
        <v>534.91125600000009</v>
      </c>
      <c r="F200" s="288">
        <f t="shared" ref="F200:F209" si="66">ROUND(E200*D200,2)</f>
        <v>149743.06</v>
      </c>
      <c r="G200" s="288">
        <f t="shared" ref="G200:G209" si="67">ROUND(F200*1.2,2)</f>
        <v>179691.67</v>
      </c>
      <c r="J200" s="438"/>
      <c r="K200" s="438">
        <f t="shared" si="65"/>
        <v>0</v>
      </c>
    </row>
    <row r="201" spans="1:11" ht="15.6" x14ac:dyDescent="0.3">
      <c r="A201" s="323">
        <f t="shared" ref="A201:A211" si="68">A200+1</f>
        <v>101</v>
      </c>
      <c r="B201" s="324" t="s">
        <v>515</v>
      </c>
      <c r="C201" s="323" t="s">
        <v>193</v>
      </c>
      <c r="D201" s="325">
        <v>8.6999999999999993</v>
      </c>
      <c r="E201" s="295">
        <v>2541.5435879999995</v>
      </c>
      <c r="F201" s="288">
        <f t="shared" si="66"/>
        <v>22111.43</v>
      </c>
      <c r="G201" s="288">
        <f t="shared" si="67"/>
        <v>26533.72</v>
      </c>
      <c r="J201" s="438"/>
      <c r="K201" s="438">
        <f t="shared" si="65"/>
        <v>0</v>
      </c>
    </row>
    <row r="202" spans="1:11" ht="15.6" x14ac:dyDescent="0.3">
      <c r="A202" s="323">
        <f t="shared" si="68"/>
        <v>102</v>
      </c>
      <c r="B202" s="324" t="s">
        <v>1089</v>
      </c>
      <c r="C202" s="323" t="s">
        <v>193</v>
      </c>
      <c r="D202" s="325">
        <v>7.1</v>
      </c>
      <c r="E202" s="295">
        <v>1972.306476</v>
      </c>
      <c r="F202" s="288">
        <f t="shared" si="66"/>
        <v>14003.38</v>
      </c>
      <c r="G202" s="288">
        <f t="shared" si="67"/>
        <v>16804.060000000001</v>
      </c>
      <c r="J202" s="438"/>
      <c r="K202" s="438">
        <f t="shared" si="65"/>
        <v>0</v>
      </c>
    </row>
    <row r="203" spans="1:11" ht="15.6" x14ac:dyDescent="0.3">
      <c r="A203" s="323">
        <f t="shared" si="68"/>
        <v>103</v>
      </c>
      <c r="B203" s="324" t="s">
        <v>1117</v>
      </c>
      <c r="C203" s="323" t="s">
        <v>193</v>
      </c>
      <c r="D203" s="325">
        <v>103.41</v>
      </c>
      <c r="E203" s="295">
        <v>1972.306476</v>
      </c>
      <c r="F203" s="288">
        <f t="shared" si="66"/>
        <v>203956.21</v>
      </c>
      <c r="G203" s="288">
        <f t="shared" si="67"/>
        <v>244747.45</v>
      </c>
      <c r="J203" s="438"/>
      <c r="K203" s="438">
        <f t="shared" si="65"/>
        <v>0</v>
      </c>
    </row>
    <row r="204" spans="1:11" ht="27.6" x14ac:dyDescent="0.3">
      <c r="A204" s="323">
        <f t="shared" si="68"/>
        <v>104</v>
      </c>
      <c r="B204" s="324" t="s">
        <v>1091</v>
      </c>
      <c r="C204" s="323" t="s">
        <v>193</v>
      </c>
      <c r="D204" s="325">
        <v>18.72</v>
      </c>
      <c r="E204" s="295">
        <v>534.91125600000009</v>
      </c>
      <c r="F204" s="288">
        <f t="shared" si="66"/>
        <v>10013.540000000001</v>
      </c>
      <c r="G204" s="288">
        <f t="shared" si="67"/>
        <v>12016.25</v>
      </c>
      <c r="J204" s="438"/>
      <c r="K204" s="438">
        <f t="shared" si="65"/>
        <v>0</v>
      </c>
    </row>
    <row r="205" spans="1:11" ht="15.6" x14ac:dyDescent="0.3">
      <c r="A205" s="285">
        <f t="shared" si="68"/>
        <v>105</v>
      </c>
      <c r="B205" s="290" t="s">
        <v>671</v>
      </c>
      <c r="C205" s="86" t="s">
        <v>193</v>
      </c>
      <c r="D205" s="226">
        <v>0.8</v>
      </c>
      <c r="E205" s="170">
        <v>2033.8069679999999</v>
      </c>
      <c r="F205" s="102">
        <f t="shared" si="66"/>
        <v>1627.05</v>
      </c>
      <c r="G205" s="102">
        <f t="shared" si="67"/>
        <v>1952.46</v>
      </c>
      <c r="J205" s="438"/>
      <c r="K205" s="438">
        <f t="shared" si="65"/>
        <v>0</v>
      </c>
    </row>
    <row r="206" spans="1:11" ht="15.6" x14ac:dyDescent="0.3">
      <c r="A206" s="285">
        <f t="shared" si="68"/>
        <v>106</v>
      </c>
      <c r="B206" s="290" t="s">
        <v>672</v>
      </c>
      <c r="C206" s="86" t="s">
        <v>193</v>
      </c>
      <c r="D206" s="226">
        <v>189.59</v>
      </c>
      <c r="E206" s="170">
        <v>178.78050000000002</v>
      </c>
      <c r="F206" s="102">
        <f t="shared" si="66"/>
        <v>33894.99</v>
      </c>
      <c r="G206" s="102">
        <f t="shared" si="67"/>
        <v>40673.99</v>
      </c>
      <c r="J206" s="438"/>
      <c r="K206" s="438">
        <f t="shared" si="65"/>
        <v>0</v>
      </c>
    </row>
    <row r="207" spans="1:11" ht="15.6" x14ac:dyDescent="0.3">
      <c r="A207" s="285">
        <f t="shared" si="68"/>
        <v>107</v>
      </c>
      <c r="B207" s="290" t="s">
        <v>451</v>
      </c>
      <c r="C207" s="86" t="s">
        <v>193</v>
      </c>
      <c r="D207" s="226">
        <v>189.59</v>
      </c>
      <c r="E207" s="170">
        <v>283.188312</v>
      </c>
      <c r="F207" s="102">
        <f t="shared" si="66"/>
        <v>53689.67</v>
      </c>
      <c r="G207" s="102">
        <f t="shared" si="67"/>
        <v>64427.6</v>
      </c>
      <c r="J207" s="438"/>
      <c r="K207" s="438">
        <f t="shared" si="65"/>
        <v>0</v>
      </c>
    </row>
    <row r="208" spans="1:11" ht="15.6" x14ac:dyDescent="0.3">
      <c r="A208" s="285">
        <f t="shared" si="68"/>
        <v>108</v>
      </c>
      <c r="B208" s="290" t="s">
        <v>518</v>
      </c>
      <c r="C208" s="86" t="s">
        <v>239</v>
      </c>
      <c r="D208" s="226">
        <v>221.55</v>
      </c>
      <c r="E208" s="170">
        <v>464.82929999999999</v>
      </c>
      <c r="F208" s="102">
        <f t="shared" si="66"/>
        <v>102982.93</v>
      </c>
      <c r="G208" s="102">
        <f t="shared" si="67"/>
        <v>123579.52</v>
      </c>
      <c r="J208" s="438"/>
      <c r="K208" s="438">
        <f t="shared" si="65"/>
        <v>0</v>
      </c>
    </row>
    <row r="209" spans="1:11" ht="15.6" x14ac:dyDescent="0.3">
      <c r="A209" s="453">
        <f t="shared" si="68"/>
        <v>109</v>
      </c>
      <c r="B209" s="290" t="s">
        <v>503</v>
      </c>
      <c r="C209" s="86" t="s">
        <v>239</v>
      </c>
      <c r="D209" s="226">
        <v>221.55</v>
      </c>
      <c r="E209" s="170">
        <f>'искл-свод'!B2</f>
        <v>1361.6</v>
      </c>
      <c r="F209" s="102">
        <f t="shared" si="66"/>
        <v>301662.48</v>
      </c>
      <c r="G209" s="102">
        <f t="shared" si="67"/>
        <v>361994.98</v>
      </c>
      <c r="J209" s="438"/>
      <c r="K209" s="438">
        <f t="shared" si="65"/>
        <v>0</v>
      </c>
    </row>
    <row r="210" spans="1:11" ht="21" customHeight="1" x14ac:dyDescent="0.3">
      <c r="A210" s="285">
        <f t="shared" si="68"/>
        <v>110</v>
      </c>
      <c r="B210" s="302" t="s">
        <v>523</v>
      </c>
      <c r="C210" s="86"/>
      <c r="D210" s="152"/>
      <c r="E210" s="170">
        <v>0</v>
      </c>
      <c r="F210" s="160"/>
      <c r="G210" s="265"/>
      <c r="J210" s="438"/>
      <c r="K210" s="438">
        <f t="shared" si="65"/>
        <v>0</v>
      </c>
    </row>
    <row r="211" spans="1:11" ht="18.75" customHeight="1" x14ac:dyDescent="0.3">
      <c r="A211" s="285">
        <f t="shared" si="68"/>
        <v>111</v>
      </c>
      <c r="B211" s="290" t="s">
        <v>1096</v>
      </c>
      <c r="C211" s="86" t="s">
        <v>194</v>
      </c>
      <c r="D211" s="152">
        <v>27</v>
      </c>
      <c r="E211" s="170">
        <v>2081.0050200000001</v>
      </c>
      <c r="F211" s="102">
        <f>ROUND(E211*D211,2)</f>
        <v>56187.14</v>
      </c>
      <c r="G211" s="102">
        <f t="shared" ref="G211" si="69">ROUND(F211*1.2,2)</f>
        <v>67424.570000000007</v>
      </c>
      <c r="J211" s="438"/>
      <c r="K211" s="438">
        <f t="shared" si="65"/>
        <v>0</v>
      </c>
    </row>
    <row r="212" spans="1:11" ht="33" customHeight="1" x14ac:dyDescent="0.3">
      <c r="A212" s="86"/>
      <c r="B212" s="84" t="s">
        <v>1103</v>
      </c>
      <c r="C212" s="86"/>
      <c r="D212" s="152"/>
      <c r="E212" s="170">
        <v>0</v>
      </c>
      <c r="F212" s="160"/>
      <c r="G212" s="265"/>
      <c r="J212" s="438"/>
      <c r="K212" s="438">
        <f t="shared" si="65"/>
        <v>0</v>
      </c>
    </row>
    <row r="213" spans="1:11" ht="27.6" x14ac:dyDescent="0.3">
      <c r="A213" s="86">
        <f>A211+1</f>
        <v>112</v>
      </c>
      <c r="B213" s="243" t="s">
        <v>526</v>
      </c>
      <c r="C213" s="86" t="s">
        <v>193</v>
      </c>
      <c r="D213" s="227">
        <f>2*0.18+2*0.1+2*0.242</f>
        <v>1.044</v>
      </c>
      <c r="E213" s="170">
        <v>25993.823904999994</v>
      </c>
      <c r="F213" s="102">
        <f>ROUND(E213*D213,2)</f>
        <v>27137.55</v>
      </c>
      <c r="G213" s="102">
        <f t="shared" ref="G213" si="70">ROUND(F213*1.2,2)</f>
        <v>32565.06</v>
      </c>
      <c r="J213" s="438"/>
      <c r="K213" s="438">
        <f t="shared" si="65"/>
        <v>0</v>
      </c>
    </row>
    <row r="214" spans="1:11" ht="15.6" x14ac:dyDescent="0.3">
      <c r="A214" s="285">
        <f>A213+1</f>
        <v>113</v>
      </c>
      <c r="B214" s="290" t="s">
        <v>1104</v>
      </c>
      <c r="C214" s="285" t="s">
        <v>220</v>
      </c>
      <c r="D214" s="298">
        <v>2</v>
      </c>
      <c r="E214" s="170">
        <v>3268.10754</v>
      </c>
      <c r="F214" s="288">
        <f>ROUND(E214*D214,2)</f>
        <v>6536.22</v>
      </c>
      <c r="G214" s="288">
        <f t="shared" ref="G214" si="71">ROUND(F214*1.2,2)</f>
        <v>7843.46</v>
      </c>
      <c r="J214" s="438"/>
      <c r="K214" s="438">
        <f t="shared" si="65"/>
        <v>0</v>
      </c>
    </row>
    <row r="215" spans="1:11" s="209" customFormat="1" ht="21" customHeight="1" x14ac:dyDescent="0.3">
      <c r="A215" s="464"/>
      <c r="B215" s="468" t="s">
        <v>1105</v>
      </c>
      <c r="C215" s="464"/>
      <c r="D215" s="469"/>
      <c r="E215" s="461">
        <v>0</v>
      </c>
      <c r="F215" s="462"/>
      <c r="G215" s="470"/>
      <c r="J215" s="439">
        <f>D215</f>
        <v>0</v>
      </c>
      <c r="K215" s="439">
        <f t="shared" si="65"/>
        <v>0</v>
      </c>
    </row>
    <row r="216" spans="1:11" s="209" customFormat="1" ht="15.6" x14ac:dyDescent="0.3">
      <c r="A216" s="464"/>
      <c r="B216" s="468" t="s">
        <v>513</v>
      </c>
      <c r="C216" s="464"/>
      <c r="D216" s="469"/>
      <c r="E216" s="461">
        <v>0</v>
      </c>
      <c r="F216" s="462"/>
      <c r="G216" s="470"/>
      <c r="J216" s="439">
        <f t="shared" ref="J216:J241" si="72">D216</f>
        <v>0</v>
      </c>
      <c r="K216" s="439">
        <f t="shared" si="65"/>
        <v>0</v>
      </c>
    </row>
    <row r="217" spans="1:11" s="209" customFormat="1" ht="27.6" x14ac:dyDescent="0.3">
      <c r="A217" s="464">
        <f>A214+1</f>
        <v>114</v>
      </c>
      <c r="B217" s="471" t="s">
        <v>1090</v>
      </c>
      <c r="C217" s="464" t="s">
        <v>193</v>
      </c>
      <c r="D217" s="472">
        <v>1686.55</v>
      </c>
      <c r="E217" s="461">
        <v>534.91125600000009</v>
      </c>
      <c r="F217" s="467">
        <f t="shared" ref="F217:F231" si="73">ROUND(E217*D217,2)</f>
        <v>902154.58</v>
      </c>
      <c r="G217" s="467">
        <f t="shared" ref="G217:G231" si="74">ROUND(F217*1.2,2)</f>
        <v>1082585.5</v>
      </c>
      <c r="J217" s="439">
        <f t="shared" si="72"/>
        <v>1686.55</v>
      </c>
      <c r="K217" s="439">
        <f t="shared" si="65"/>
        <v>1082585.4945681603</v>
      </c>
    </row>
    <row r="218" spans="1:11" s="209" customFormat="1" ht="15.6" x14ac:dyDescent="0.3">
      <c r="A218" s="464">
        <f>A217+1</f>
        <v>115</v>
      </c>
      <c r="B218" s="471" t="s">
        <v>515</v>
      </c>
      <c r="C218" s="464" t="s">
        <v>193</v>
      </c>
      <c r="D218" s="472">
        <v>52.41</v>
      </c>
      <c r="E218" s="461">
        <v>2541.5435879999995</v>
      </c>
      <c r="F218" s="467">
        <f t="shared" si="73"/>
        <v>133202.29999999999</v>
      </c>
      <c r="G218" s="467">
        <f t="shared" si="74"/>
        <v>159842.76</v>
      </c>
      <c r="J218" s="439">
        <f t="shared" si="72"/>
        <v>52.41</v>
      </c>
      <c r="K218" s="439">
        <f t="shared" si="65"/>
        <v>159842.75933649598</v>
      </c>
    </row>
    <row r="219" spans="1:11" s="209" customFormat="1" ht="15.6" x14ac:dyDescent="0.3">
      <c r="A219" s="464">
        <f t="shared" ref="A219:A231" si="75">A218+1</f>
        <v>116</v>
      </c>
      <c r="B219" s="471" t="s">
        <v>1089</v>
      </c>
      <c r="C219" s="464" t="s">
        <v>193</v>
      </c>
      <c r="D219" s="472">
        <v>61.32</v>
      </c>
      <c r="E219" s="461">
        <v>1972.306476</v>
      </c>
      <c r="F219" s="467">
        <f t="shared" si="73"/>
        <v>120941.83</v>
      </c>
      <c r="G219" s="467">
        <f t="shared" si="74"/>
        <v>145130.20000000001</v>
      </c>
      <c r="J219" s="439">
        <f t="shared" si="72"/>
        <v>61.32</v>
      </c>
      <c r="K219" s="439">
        <f t="shared" si="65"/>
        <v>145130.19972998399</v>
      </c>
    </row>
    <row r="220" spans="1:11" s="209" customFormat="1" ht="15.6" x14ac:dyDescent="0.3">
      <c r="A220" s="464">
        <f t="shared" si="75"/>
        <v>117</v>
      </c>
      <c r="B220" s="471" t="s">
        <v>1117</v>
      </c>
      <c r="C220" s="464" t="s">
        <v>193</v>
      </c>
      <c r="D220" s="472">
        <v>1048.56</v>
      </c>
      <c r="E220" s="461">
        <v>1972.306476</v>
      </c>
      <c r="F220" s="467">
        <f t="shared" si="73"/>
        <v>2068081.68</v>
      </c>
      <c r="G220" s="467">
        <f t="shared" si="74"/>
        <v>2481698.02</v>
      </c>
      <c r="J220" s="439">
        <f t="shared" si="72"/>
        <v>1048.56</v>
      </c>
      <c r="K220" s="439">
        <f t="shared" si="65"/>
        <v>2481698.0141694718</v>
      </c>
    </row>
    <row r="221" spans="1:11" s="209" customFormat="1" ht="27.6" x14ac:dyDescent="0.3">
      <c r="A221" s="464">
        <f t="shared" si="75"/>
        <v>118</v>
      </c>
      <c r="B221" s="471" t="s">
        <v>1091</v>
      </c>
      <c r="C221" s="464" t="s">
        <v>193</v>
      </c>
      <c r="D221" s="472">
        <v>62.19</v>
      </c>
      <c r="E221" s="461">
        <v>534.91125600000009</v>
      </c>
      <c r="F221" s="467">
        <f t="shared" si="73"/>
        <v>33266.129999999997</v>
      </c>
      <c r="G221" s="467">
        <f t="shared" si="74"/>
        <v>39919.360000000001</v>
      </c>
      <c r="J221" s="439">
        <f t="shared" si="72"/>
        <v>62.19</v>
      </c>
      <c r="K221" s="439">
        <f t="shared" si="65"/>
        <v>39919.357212768002</v>
      </c>
    </row>
    <row r="222" spans="1:11" s="209" customFormat="1" ht="15.6" x14ac:dyDescent="0.3">
      <c r="A222" s="464">
        <f t="shared" si="75"/>
        <v>119</v>
      </c>
      <c r="B222" s="471" t="s">
        <v>671</v>
      </c>
      <c r="C222" s="464" t="s">
        <v>193</v>
      </c>
      <c r="D222" s="472">
        <v>1.8</v>
      </c>
      <c r="E222" s="461">
        <v>2033.8069679999999</v>
      </c>
      <c r="F222" s="467">
        <f t="shared" si="73"/>
        <v>3660.85</v>
      </c>
      <c r="G222" s="467">
        <f t="shared" si="74"/>
        <v>4393.0200000000004</v>
      </c>
      <c r="J222" s="439">
        <f t="shared" si="72"/>
        <v>1.8</v>
      </c>
      <c r="K222" s="439">
        <f t="shared" si="65"/>
        <v>4393.0230508799996</v>
      </c>
    </row>
    <row r="223" spans="1:11" s="209" customFormat="1" ht="27.6" x14ac:dyDescent="0.3">
      <c r="A223" s="464">
        <f t="shared" si="75"/>
        <v>120</v>
      </c>
      <c r="B223" s="471" t="s">
        <v>1106</v>
      </c>
      <c r="C223" s="464" t="s">
        <v>194</v>
      </c>
      <c r="D223" s="469">
        <v>14</v>
      </c>
      <c r="E223" s="461">
        <v>17850.875364</v>
      </c>
      <c r="F223" s="467">
        <f t="shared" si="73"/>
        <v>249912.26</v>
      </c>
      <c r="G223" s="467">
        <f t="shared" si="74"/>
        <v>299894.71000000002</v>
      </c>
      <c r="J223" s="439">
        <f t="shared" si="72"/>
        <v>14</v>
      </c>
      <c r="K223" s="439">
        <f t="shared" si="65"/>
        <v>299894.70611519995</v>
      </c>
    </row>
    <row r="224" spans="1:11" s="209" customFormat="1" ht="27.6" x14ac:dyDescent="0.3">
      <c r="A224" s="464">
        <f t="shared" si="75"/>
        <v>121</v>
      </c>
      <c r="B224" s="471" t="s">
        <v>673</v>
      </c>
      <c r="C224" s="464" t="s">
        <v>194</v>
      </c>
      <c r="D224" s="469">
        <v>14</v>
      </c>
      <c r="E224" s="461">
        <v>592.12101599999994</v>
      </c>
      <c r="F224" s="467">
        <f t="shared" si="73"/>
        <v>8289.69</v>
      </c>
      <c r="G224" s="467">
        <f t="shared" si="74"/>
        <v>9947.6299999999992</v>
      </c>
      <c r="J224" s="439">
        <f t="shared" si="72"/>
        <v>14</v>
      </c>
      <c r="K224" s="439">
        <f t="shared" si="65"/>
        <v>9947.633068799998</v>
      </c>
    </row>
    <row r="225" spans="1:11" s="209" customFormat="1" ht="15.6" x14ac:dyDescent="0.3">
      <c r="A225" s="464">
        <f t="shared" si="75"/>
        <v>122</v>
      </c>
      <c r="B225" s="471" t="s">
        <v>1107</v>
      </c>
      <c r="C225" s="464" t="s">
        <v>650</v>
      </c>
      <c r="D225" s="469">
        <v>1</v>
      </c>
      <c r="E225" s="461">
        <v>27535.057487999995</v>
      </c>
      <c r="F225" s="467">
        <f t="shared" si="73"/>
        <v>27535.06</v>
      </c>
      <c r="G225" s="467">
        <f t="shared" si="74"/>
        <v>33042.07</v>
      </c>
      <c r="J225" s="439">
        <f t="shared" si="72"/>
        <v>1</v>
      </c>
      <c r="K225" s="439">
        <f t="shared" si="65"/>
        <v>33042.068985599995</v>
      </c>
    </row>
    <row r="226" spans="1:11" s="209" customFormat="1" ht="27.6" x14ac:dyDescent="0.3">
      <c r="A226" s="464">
        <f t="shared" si="75"/>
        <v>123</v>
      </c>
      <c r="B226" s="471" t="s">
        <v>1109</v>
      </c>
      <c r="C226" s="464" t="s">
        <v>194</v>
      </c>
      <c r="D226" s="469">
        <v>14</v>
      </c>
      <c r="E226" s="461">
        <v>5296.1935320000002</v>
      </c>
      <c r="F226" s="467">
        <f t="shared" si="73"/>
        <v>74146.710000000006</v>
      </c>
      <c r="G226" s="467">
        <f t="shared" ref="G226" si="76">ROUND(F226*1.2,2)</f>
        <v>88976.05</v>
      </c>
      <c r="J226" s="439">
        <f t="shared" si="72"/>
        <v>14</v>
      </c>
      <c r="K226" s="439">
        <f t="shared" si="65"/>
        <v>88976.051337600002</v>
      </c>
    </row>
    <row r="227" spans="1:11" s="209" customFormat="1" ht="27.6" x14ac:dyDescent="0.3">
      <c r="A227" s="464">
        <f>A225+1</f>
        <v>123</v>
      </c>
      <c r="B227" s="471" t="s">
        <v>1108</v>
      </c>
      <c r="C227" s="464" t="s">
        <v>193</v>
      </c>
      <c r="D227" s="472">
        <v>6.33</v>
      </c>
      <c r="E227" s="461">
        <v>13196.947202639998</v>
      </c>
      <c r="F227" s="467">
        <f t="shared" si="73"/>
        <v>83536.679999999993</v>
      </c>
      <c r="G227" s="467">
        <f t="shared" si="74"/>
        <v>100244.02</v>
      </c>
      <c r="J227" s="439">
        <f t="shared" si="72"/>
        <v>6.33</v>
      </c>
      <c r="K227" s="439">
        <f t="shared" si="65"/>
        <v>100244.01095125343</v>
      </c>
    </row>
    <row r="228" spans="1:11" s="209" customFormat="1" ht="15.6" x14ac:dyDescent="0.3">
      <c r="A228" s="464">
        <f>A226+1</f>
        <v>124</v>
      </c>
      <c r="B228" s="471" t="s">
        <v>672</v>
      </c>
      <c r="C228" s="464" t="s">
        <v>193</v>
      </c>
      <c r="D228" s="472">
        <v>513.4</v>
      </c>
      <c r="E228" s="461">
        <v>178.78050000000002</v>
      </c>
      <c r="F228" s="467">
        <f t="shared" si="73"/>
        <v>91785.91</v>
      </c>
      <c r="G228" s="467">
        <f t="shared" si="74"/>
        <v>110143.09</v>
      </c>
      <c r="J228" s="439">
        <f t="shared" si="72"/>
        <v>513.4</v>
      </c>
      <c r="K228" s="439">
        <f t="shared" si="65"/>
        <v>110143.09044</v>
      </c>
    </row>
    <row r="229" spans="1:11" s="209" customFormat="1" ht="15.6" x14ac:dyDescent="0.3">
      <c r="A229" s="464">
        <f t="shared" si="75"/>
        <v>125</v>
      </c>
      <c r="B229" s="471" t="s">
        <v>451</v>
      </c>
      <c r="C229" s="464" t="s">
        <v>193</v>
      </c>
      <c r="D229" s="472">
        <v>513.4</v>
      </c>
      <c r="E229" s="461">
        <v>283.188312</v>
      </c>
      <c r="F229" s="467">
        <f t="shared" si="73"/>
        <v>145388.88</v>
      </c>
      <c r="G229" s="467">
        <f t="shared" si="74"/>
        <v>174466.66</v>
      </c>
      <c r="J229" s="439">
        <f t="shared" si="72"/>
        <v>513.4</v>
      </c>
      <c r="K229" s="439">
        <f t="shared" si="65"/>
        <v>174466.65525695999</v>
      </c>
    </row>
    <row r="230" spans="1:11" s="209" customFormat="1" ht="15.6" x14ac:dyDescent="0.3">
      <c r="A230" s="464">
        <f t="shared" si="75"/>
        <v>126</v>
      </c>
      <c r="B230" s="471" t="s">
        <v>518</v>
      </c>
      <c r="C230" s="464" t="s">
        <v>239</v>
      </c>
      <c r="D230" s="472">
        <v>2343.96</v>
      </c>
      <c r="E230" s="461">
        <v>464.82929999999999</v>
      </c>
      <c r="F230" s="467">
        <f t="shared" si="73"/>
        <v>1089541.29</v>
      </c>
      <c r="G230" s="467">
        <f t="shared" si="74"/>
        <v>1307449.55</v>
      </c>
      <c r="J230" s="439">
        <f t="shared" si="72"/>
        <v>2343.96</v>
      </c>
      <c r="K230" s="439">
        <f t="shared" si="65"/>
        <v>1307449.5432336</v>
      </c>
    </row>
    <row r="231" spans="1:11" s="209" customFormat="1" ht="18" customHeight="1" x14ac:dyDescent="0.3">
      <c r="A231" s="454">
        <f t="shared" si="75"/>
        <v>127</v>
      </c>
      <c r="B231" s="471" t="s">
        <v>503</v>
      </c>
      <c r="C231" s="464" t="s">
        <v>239</v>
      </c>
      <c r="D231" s="472">
        <v>2343.96</v>
      </c>
      <c r="E231" s="461">
        <f>'искл-свод'!B2</f>
        <v>1361.6</v>
      </c>
      <c r="F231" s="467">
        <f t="shared" si="73"/>
        <v>3191535.94</v>
      </c>
      <c r="G231" s="467">
        <f t="shared" si="74"/>
        <v>3829843.13</v>
      </c>
      <c r="J231" s="439">
        <f t="shared" si="72"/>
        <v>2343.96</v>
      </c>
      <c r="K231" s="439">
        <f t="shared" si="65"/>
        <v>3829843.1231999993</v>
      </c>
    </row>
    <row r="232" spans="1:11" s="209" customFormat="1" ht="19.5" customHeight="1" x14ac:dyDescent="0.3">
      <c r="A232" s="464"/>
      <c r="B232" s="468" t="s">
        <v>523</v>
      </c>
      <c r="C232" s="464"/>
      <c r="D232" s="469"/>
      <c r="E232" s="461">
        <v>0</v>
      </c>
      <c r="F232" s="462"/>
      <c r="G232" s="470"/>
      <c r="J232" s="439">
        <f t="shared" si="72"/>
        <v>0</v>
      </c>
      <c r="K232" s="439">
        <f t="shared" si="65"/>
        <v>0</v>
      </c>
    </row>
    <row r="233" spans="1:11" s="209" customFormat="1" ht="18.75" customHeight="1" x14ac:dyDescent="0.3">
      <c r="A233" s="464">
        <f>A231+1</f>
        <v>128</v>
      </c>
      <c r="B233" s="471" t="s">
        <v>674</v>
      </c>
      <c r="C233" s="464" t="s">
        <v>194</v>
      </c>
      <c r="D233" s="469">
        <v>132</v>
      </c>
      <c r="E233" s="461">
        <v>6620.5994760000003</v>
      </c>
      <c r="F233" s="467">
        <f>ROUND(E233*D233,2)</f>
        <v>873919.13</v>
      </c>
      <c r="G233" s="467">
        <f t="shared" ref="G233" si="77">ROUND(F233*1.2,2)</f>
        <v>1048702.96</v>
      </c>
      <c r="J233" s="439">
        <f t="shared" si="72"/>
        <v>132</v>
      </c>
      <c r="K233" s="439">
        <f t="shared" si="65"/>
        <v>1048702.9569983999</v>
      </c>
    </row>
    <row r="234" spans="1:11" s="209" customFormat="1" ht="21.75" customHeight="1" x14ac:dyDescent="0.3">
      <c r="A234" s="464"/>
      <c r="B234" s="468" t="s">
        <v>525</v>
      </c>
      <c r="C234" s="464"/>
      <c r="D234" s="469"/>
      <c r="E234" s="461">
        <v>0</v>
      </c>
      <c r="F234" s="462"/>
      <c r="G234" s="470"/>
      <c r="J234" s="439">
        <f t="shared" si="72"/>
        <v>0</v>
      </c>
      <c r="K234" s="439">
        <f t="shared" si="65"/>
        <v>0</v>
      </c>
    </row>
    <row r="235" spans="1:11" s="209" customFormat="1" ht="27.6" x14ac:dyDescent="0.3">
      <c r="A235" s="464">
        <f>A233+1</f>
        <v>129</v>
      </c>
      <c r="B235" s="471" t="s">
        <v>526</v>
      </c>
      <c r="C235" s="464" t="s">
        <v>193</v>
      </c>
      <c r="D235" s="473">
        <f>2*0.59+4*0.53+3*0.587+1*0.389+0.03*6</f>
        <v>5.63</v>
      </c>
      <c r="E235" s="461">
        <v>25993.823904999994</v>
      </c>
      <c r="F235" s="467">
        <f>ROUND(E235*D235,2)</f>
        <v>146345.23000000001</v>
      </c>
      <c r="G235" s="467">
        <f t="shared" ref="G235" si="78">ROUND(F235*1.2,2)</f>
        <v>175614.28</v>
      </c>
      <c r="J235" s="439">
        <f t="shared" si="72"/>
        <v>5.63</v>
      </c>
      <c r="K235" s="439">
        <f t="shared" si="65"/>
        <v>175614.27430217995</v>
      </c>
    </row>
    <row r="236" spans="1:11" s="209" customFormat="1" ht="41.4" x14ac:dyDescent="0.3">
      <c r="A236" s="464">
        <f>A235+1</f>
        <v>130</v>
      </c>
      <c r="B236" s="471" t="s">
        <v>1110</v>
      </c>
      <c r="C236" s="464" t="s">
        <v>220</v>
      </c>
      <c r="D236" s="469">
        <v>6</v>
      </c>
      <c r="E236" s="461">
        <v>27535.057487999995</v>
      </c>
      <c r="F236" s="467">
        <f>ROUND(E236*D236,2)</f>
        <v>165210.34</v>
      </c>
      <c r="G236" s="467">
        <f t="shared" ref="G236" si="79">ROUND(F236*1.2,2)</f>
        <v>198252.41</v>
      </c>
      <c r="J236" s="439">
        <f t="shared" si="72"/>
        <v>6</v>
      </c>
      <c r="K236" s="439">
        <f t="shared" si="65"/>
        <v>198252.41391359997</v>
      </c>
    </row>
    <row r="237" spans="1:11" s="209" customFormat="1" ht="22.5" customHeight="1" x14ac:dyDescent="0.3">
      <c r="A237" s="464"/>
      <c r="B237" s="468" t="s">
        <v>713</v>
      </c>
      <c r="C237" s="464"/>
      <c r="D237" s="469"/>
      <c r="E237" s="461">
        <v>0</v>
      </c>
      <c r="F237" s="462"/>
      <c r="G237" s="470"/>
      <c r="J237" s="439">
        <f t="shared" si="72"/>
        <v>0</v>
      </c>
      <c r="K237" s="439">
        <f t="shared" si="65"/>
        <v>0</v>
      </c>
    </row>
    <row r="238" spans="1:11" s="209" customFormat="1" ht="14.4" customHeight="1" x14ac:dyDescent="0.3">
      <c r="A238" s="474">
        <f>A236+1</f>
        <v>131</v>
      </c>
      <c r="B238" s="475" t="s">
        <v>1114</v>
      </c>
      <c r="C238" s="474" t="s">
        <v>220</v>
      </c>
      <c r="D238" s="476">
        <v>2</v>
      </c>
      <c r="E238" s="461">
        <v>20795.747760000002</v>
      </c>
      <c r="F238" s="579">
        <f>ROUND(E238*D238,2)</f>
        <v>41591.5</v>
      </c>
      <c r="G238" s="579">
        <f t="shared" ref="G238:G241" si="80">ROUND(F238*1.2,2)</f>
        <v>49909.8</v>
      </c>
      <c r="J238" s="439">
        <f t="shared" si="72"/>
        <v>2</v>
      </c>
      <c r="K238" s="439">
        <f t="shared" si="65"/>
        <v>49909.794624000002</v>
      </c>
    </row>
    <row r="239" spans="1:11" s="209" customFormat="1" ht="15.75" customHeight="1" x14ac:dyDescent="0.3">
      <c r="A239" s="474">
        <f>A238+1</f>
        <v>132</v>
      </c>
      <c r="B239" s="475" t="s">
        <v>1113</v>
      </c>
      <c r="C239" s="474" t="s">
        <v>220</v>
      </c>
      <c r="D239" s="476">
        <v>2</v>
      </c>
      <c r="E239" s="461">
        <v>0</v>
      </c>
      <c r="F239" s="580">
        <f>ROUND(E239*D239,2)</f>
        <v>0</v>
      </c>
      <c r="G239" s="580">
        <f t="shared" si="80"/>
        <v>0</v>
      </c>
      <c r="J239" s="439">
        <f t="shared" si="72"/>
        <v>2</v>
      </c>
      <c r="K239" s="439">
        <f t="shared" si="65"/>
        <v>0</v>
      </c>
    </row>
    <row r="240" spans="1:11" s="209" customFormat="1" ht="15.75" customHeight="1" x14ac:dyDescent="0.3">
      <c r="A240" s="474">
        <f>A239+1</f>
        <v>133</v>
      </c>
      <c r="B240" s="475" t="s">
        <v>1111</v>
      </c>
      <c r="C240" s="474" t="s">
        <v>220</v>
      </c>
      <c r="D240" s="476">
        <v>2</v>
      </c>
      <c r="E240" s="461">
        <v>0</v>
      </c>
      <c r="F240" s="581">
        <f>ROUND(E240*D240,2)</f>
        <v>0</v>
      </c>
      <c r="G240" s="581">
        <f t="shared" si="80"/>
        <v>0</v>
      </c>
      <c r="J240" s="439">
        <f t="shared" si="72"/>
        <v>2</v>
      </c>
      <c r="K240" s="439">
        <f t="shared" si="65"/>
        <v>0</v>
      </c>
    </row>
    <row r="241" spans="1:12" s="209" customFormat="1" ht="15.6" x14ac:dyDescent="0.3">
      <c r="A241" s="474">
        <f>A240+1</f>
        <v>134</v>
      </c>
      <c r="B241" s="475" t="s">
        <v>1112</v>
      </c>
      <c r="C241" s="474" t="s">
        <v>194</v>
      </c>
      <c r="D241" s="476">
        <v>132</v>
      </c>
      <c r="E241" s="461">
        <v>2937.7211759999996</v>
      </c>
      <c r="F241" s="477">
        <f>ROUND(E241*D241,2)</f>
        <v>387779.2</v>
      </c>
      <c r="G241" s="477">
        <f t="shared" si="80"/>
        <v>465335.03999999998</v>
      </c>
      <c r="J241" s="439">
        <f t="shared" si="72"/>
        <v>132</v>
      </c>
      <c r="K241" s="439">
        <f t="shared" si="65"/>
        <v>465335.03427839995</v>
      </c>
    </row>
    <row r="242" spans="1:12" s="209" customFormat="1" ht="20.25" customHeight="1" x14ac:dyDescent="0.3">
      <c r="A242" s="464"/>
      <c r="B242" s="468" t="s">
        <v>1115</v>
      </c>
      <c r="C242" s="464"/>
      <c r="D242" s="469"/>
      <c r="E242" s="461">
        <v>0</v>
      </c>
      <c r="F242" s="462"/>
      <c r="G242" s="470"/>
      <c r="J242" s="439"/>
      <c r="K242" s="439">
        <f t="shared" si="65"/>
        <v>0</v>
      </c>
    </row>
    <row r="243" spans="1:12" s="209" customFormat="1" ht="21" customHeight="1" x14ac:dyDescent="0.3">
      <c r="A243" s="464"/>
      <c r="B243" s="468" t="s">
        <v>513</v>
      </c>
      <c r="C243" s="464"/>
      <c r="D243" s="469"/>
      <c r="E243" s="461">
        <v>0</v>
      </c>
      <c r="F243" s="462"/>
      <c r="G243" s="470"/>
      <c r="J243" s="439"/>
      <c r="K243" s="439">
        <f t="shared" si="65"/>
        <v>0</v>
      </c>
    </row>
    <row r="244" spans="1:12" s="209" customFormat="1" ht="27.6" x14ac:dyDescent="0.3">
      <c r="A244" s="464">
        <f>A241+1</f>
        <v>135</v>
      </c>
      <c r="B244" s="471" t="s">
        <v>1090</v>
      </c>
      <c r="C244" s="464" t="s">
        <v>193</v>
      </c>
      <c r="D244" s="472">
        <v>216.6</v>
      </c>
      <c r="E244" s="461">
        <v>534.91125600000009</v>
      </c>
      <c r="F244" s="467">
        <f t="shared" ref="F244:F254" si="81">ROUND(E244*D244,2)</f>
        <v>115861.78</v>
      </c>
      <c r="G244" s="467">
        <f t="shared" ref="G244:G247" si="82">ROUND(F244*1.2,2)</f>
        <v>139034.14000000001</v>
      </c>
      <c r="J244" s="439">
        <f>D244/3</f>
        <v>72.2</v>
      </c>
      <c r="K244" s="439">
        <f t="shared" si="65"/>
        <v>46344.711219840014</v>
      </c>
      <c r="L244" s="209" t="s">
        <v>1666</v>
      </c>
    </row>
    <row r="245" spans="1:12" s="209" customFormat="1" ht="15.6" x14ac:dyDescent="0.3">
      <c r="A245" s="464">
        <f>A244+1</f>
        <v>136</v>
      </c>
      <c r="B245" s="471" t="s">
        <v>515</v>
      </c>
      <c r="C245" s="464" t="s">
        <v>193</v>
      </c>
      <c r="D245" s="472">
        <v>6.7</v>
      </c>
      <c r="E245" s="461">
        <v>2541.5435879999995</v>
      </c>
      <c r="F245" s="467">
        <f t="shared" si="81"/>
        <v>17028.34</v>
      </c>
      <c r="G245" s="467">
        <f t="shared" si="82"/>
        <v>20434.009999999998</v>
      </c>
      <c r="J245" s="439">
        <f t="shared" ref="J245:J247" si="83">D245/3</f>
        <v>2.2333333333333334</v>
      </c>
      <c r="K245" s="439">
        <f t="shared" si="65"/>
        <v>6811.336815839999</v>
      </c>
    </row>
    <row r="246" spans="1:12" s="209" customFormat="1" ht="15.6" x14ac:dyDescent="0.3">
      <c r="A246" s="464">
        <f>A245+1</f>
        <v>137</v>
      </c>
      <c r="B246" s="471" t="s">
        <v>1089</v>
      </c>
      <c r="C246" s="464" t="s">
        <v>193</v>
      </c>
      <c r="D246" s="472">
        <v>7.58</v>
      </c>
      <c r="E246" s="461">
        <v>1972.306476</v>
      </c>
      <c r="F246" s="467">
        <f t="shared" si="81"/>
        <v>14950.08</v>
      </c>
      <c r="G246" s="467">
        <f t="shared" si="82"/>
        <v>17940.099999999999</v>
      </c>
      <c r="J246" s="439">
        <f t="shared" si="83"/>
        <v>2.5266666666666668</v>
      </c>
      <c r="K246" s="439">
        <f t="shared" si="65"/>
        <v>5980.0332352320002</v>
      </c>
    </row>
    <row r="247" spans="1:12" s="209" customFormat="1" ht="15.6" x14ac:dyDescent="0.3">
      <c r="A247" s="464">
        <f>A246+1</f>
        <v>138</v>
      </c>
      <c r="B247" s="471" t="s">
        <v>1116</v>
      </c>
      <c r="C247" s="464" t="s">
        <v>193</v>
      </c>
      <c r="D247" s="472">
        <v>155.19999999999999</v>
      </c>
      <c r="E247" s="461">
        <v>1972.306476</v>
      </c>
      <c r="F247" s="467">
        <f t="shared" si="81"/>
        <v>306101.96999999997</v>
      </c>
      <c r="G247" s="467">
        <f t="shared" si="82"/>
        <v>367322.36</v>
      </c>
      <c r="J247" s="439">
        <f t="shared" si="83"/>
        <v>51.733333333333327</v>
      </c>
      <c r="K247" s="439">
        <f t="shared" si="65"/>
        <v>122440.78603007998</v>
      </c>
    </row>
    <row r="248" spans="1:12" ht="27.6" x14ac:dyDescent="0.3">
      <c r="A248" s="285">
        <f t="shared" ref="A248:A254" si="84">A247+1</f>
        <v>139</v>
      </c>
      <c r="B248" s="314" t="s">
        <v>1120</v>
      </c>
      <c r="C248" s="285" t="s">
        <v>194</v>
      </c>
      <c r="D248" s="287">
        <v>6</v>
      </c>
      <c r="E248" s="170">
        <v>9702.7752959999998</v>
      </c>
      <c r="F248" s="288">
        <f t="shared" si="81"/>
        <v>58216.65</v>
      </c>
      <c r="G248" s="288">
        <f t="shared" ref="G248:G254" si="85">ROUND(F248*1.2,2)</f>
        <v>69859.98</v>
      </c>
      <c r="J248" s="438">
        <v>0</v>
      </c>
      <c r="K248" s="438">
        <f t="shared" si="65"/>
        <v>0</v>
      </c>
    </row>
    <row r="249" spans="1:12" ht="27.6" x14ac:dyDescent="0.3">
      <c r="A249" s="285">
        <f t="shared" si="84"/>
        <v>140</v>
      </c>
      <c r="B249" s="314" t="s">
        <v>1119</v>
      </c>
      <c r="C249" s="285" t="s">
        <v>194</v>
      </c>
      <c r="D249" s="287">
        <v>6</v>
      </c>
      <c r="E249" s="170">
        <v>829.54151999999999</v>
      </c>
      <c r="F249" s="288">
        <f t="shared" si="81"/>
        <v>4977.25</v>
      </c>
      <c r="G249" s="288">
        <f t="shared" si="85"/>
        <v>5972.7</v>
      </c>
      <c r="J249" s="438">
        <v>0</v>
      </c>
      <c r="K249" s="438">
        <f t="shared" si="65"/>
        <v>0</v>
      </c>
    </row>
    <row r="250" spans="1:12" ht="15.6" x14ac:dyDescent="0.3">
      <c r="A250" s="285">
        <f t="shared" si="84"/>
        <v>141</v>
      </c>
      <c r="B250" s="314" t="s">
        <v>1118</v>
      </c>
      <c r="C250" s="285" t="s">
        <v>194</v>
      </c>
      <c r="D250" s="287">
        <v>6</v>
      </c>
      <c r="E250" s="170">
        <v>7414.3848960000005</v>
      </c>
      <c r="F250" s="288">
        <f t="shared" si="81"/>
        <v>44486.31</v>
      </c>
      <c r="G250" s="288">
        <f t="shared" si="85"/>
        <v>53383.57</v>
      </c>
      <c r="J250" s="438">
        <v>0</v>
      </c>
      <c r="K250" s="438">
        <f t="shared" si="65"/>
        <v>0</v>
      </c>
    </row>
    <row r="251" spans="1:12" s="209" customFormat="1" ht="15.6" x14ac:dyDescent="0.3">
      <c r="A251" s="464">
        <f t="shared" si="84"/>
        <v>142</v>
      </c>
      <c r="B251" s="471" t="s">
        <v>672</v>
      </c>
      <c r="C251" s="464" t="s">
        <v>193</v>
      </c>
      <c r="D251" s="472">
        <v>50.81</v>
      </c>
      <c r="E251" s="461">
        <v>178.78050000000002</v>
      </c>
      <c r="F251" s="467">
        <f t="shared" si="81"/>
        <v>9083.84</v>
      </c>
      <c r="G251" s="467">
        <f t="shared" si="85"/>
        <v>10900.61</v>
      </c>
      <c r="J251" s="439">
        <f>D251/3</f>
        <v>16.936666666666667</v>
      </c>
      <c r="K251" s="439">
        <f t="shared" si="65"/>
        <v>3633.5348820000004</v>
      </c>
    </row>
    <row r="252" spans="1:12" s="209" customFormat="1" ht="15.6" x14ac:dyDescent="0.3">
      <c r="A252" s="464">
        <f t="shared" si="84"/>
        <v>143</v>
      </c>
      <c r="B252" s="471" t="s">
        <v>451</v>
      </c>
      <c r="C252" s="464" t="s">
        <v>193</v>
      </c>
      <c r="D252" s="472">
        <v>50.81</v>
      </c>
      <c r="E252" s="461">
        <v>283.188312</v>
      </c>
      <c r="F252" s="467">
        <f t="shared" si="81"/>
        <v>14388.8</v>
      </c>
      <c r="G252" s="467">
        <f t="shared" si="85"/>
        <v>17266.560000000001</v>
      </c>
      <c r="J252" s="439">
        <f t="shared" ref="J252:J254" si="86">D252/3</f>
        <v>16.936666666666667</v>
      </c>
      <c r="K252" s="439">
        <f t="shared" si="65"/>
        <v>5755.5192530880004</v>
      </c>
    </row>
    <row r="253" spans="1:12" s="209" customFormat="1" ht="15.6" x14ac:dyDescent="0.3">
      <c r="A253" s="464">
        <f t="shared" si="84"/>
        <v>144</v>
      </c>
      <c r="B253" s="471" t="s">
        <v>518</v>
      </c>
      <c r="C253" s="464" t="s">
        <v>239</v>
      </c>
      <c r="D253" s="472">
        <v>327.63</v>
      </c>
      <c r="E253" s="461">
        <v>464.82929999999999</v>
      </c>
      <c r="F253" s="467">
        <f t="shared" si="81"/>
        <v>152292.01999999999</v>
      </c>
      <c r="G253" s="467">
        <f t="shared" si="85"/>
        <v>182750.42</v>
      </c>
      <c r="J253" s="439">
        <f t="shared" si="86"/>
        <v>109.21</v>
      </c>
      <c r="K253" s="439">
        <f t="shared" si="65"/>
        <v>60916.809423599989</v>
      </c>
    </row>
    <row r="254" spans="1:12" s="209" customFormat="1" ht="15.6" x14ac:dyDescent="0.3">
      <c r="A254" s="454">
        <f t="shared" si="84"/>
        <v>145</v>
      </c>
      <c r="B254" s="471" t="s">
        <v>503</v>
      </c>
      <c r="C254" s="464" t="s">
        <v>239</v>
      </c>
      <c r="D254" s="472">
        <v>327.63</v>
      </c>
      <c r="E254" s="461">
        <f>'искл-свод'!B2</f>
        <v>1361.6</v>
      </c>
      <c r="F254" s="467">
        <f t="shared" si="81"/>
        <v>446101.01</v>
      </c>
      <c r="G254" s="467">
        <f t="shared" si="85"/>
        <v>535321.21</v>
      </c>
      <c r="J254" s="439">
        <f t="shared" si="86"/>
        <v>109.21</v>
      </c>
      <c r="K254" s="439">
        <f t="shared" si="65"/>
        <v>178440.40319999997</v>
      </c>
    </row>
    <row r="255" spans="1:12" s="209" customFormat="1" ht="15.6" x14ac:dyDescent="0.3">
      <c r="A255" s="464"/>
      <c r="B255" s="468" t="s">
        <v>523</v>
      </c>
      <c r="C255" s="464"/>
      <c r="D255" s="472"/>
      <c r="E255" s="461">
        <v>0</v>
      </c>
      <c r="F255" s="467"/>
      <c r="G255" s="467"/>
      <c r="J255" s="439"/>
      <c r="K255" s="439">
        <f t="shared" si="65"/>
        <v>0</v>
      </c>
    </row>
    <row r="256" spans="1:12" s="209" customFormat="1" ht="15.6" x14ac:dyDescent="0.3">
      <c r="A256" s="464">
        <f>A254+1</f>
        <v>146</v>
      </c>
      <c r="B256" s="465" t="s">
        <v>675</v>
      </c>
      <c r="C256" s="464" t="s">
        <v>194</v>
      </c>
      <c r="D256" s="469">
        <v>31</v>
      </c>
      <c r="E256" s="461">
        <v>3991.8110039999997</v>
      </c>
      <c r="F256" s="467">
        <f>ROUND(E256*D256,2)</f>
        <v>123746.14</v>
      </c>
      <c r="G256" s="467">
        <f t="shared" ref="G256" si="87">ROUND(F256*1.2,2)</f>
        <v>148495.37</v>
      </c>
      <c r="J256" s="439">
        <v>31</v>
      </c>
      <c r="K256" s="439">
        <f t="shared" si="65"/>
        <v>148495.36934879998</v>
      </c>
    </row>
    <row r="257" spans="1:11" ht="27.6" x14ac:dyDescent="0.3">
      <c r="A257" s="86"/>
      <c r="B257" s="84" t="s">
        <v>1121</v>
      </c>
      <c r="C257" s="86"/>
      <c r="D257" s="226"/>
      <c r="E257" s="170">
        <v>0</v>
      </c>
      <c r="F257" s="102"/>
      <c r="G257" s="102"/>
      <c r="J257" s="438"/>
      <c r="K257" s="438">
        <f t="shared" si="65"/>
        <v>0</v>
      </c>
    </row>
    <row r="258" spans="1:11" ht="27.6" x14ac:dyDescent="0.3">
      <c r="A258" s="86">
        <f>A256+1</f>
        <v>147</v>
      </c>
      <c r="B258" s="243" t="s">
        <v>526</v>
      </c>
      <c r="C258" s="86" t="s">
        <v>193</v>
      </c>
      <c r="D258" s="227">
        <f>2*0.59+0.03*2</f>
        <v>1.24</v>
      </c>
      <c r="E258" s="170">
        <v>25993.823904999994</v>
      </c>
      <c r="F258" s="102">
        <f>ROUND(E258*D258,2)</f>
        <v>32232.34</v>
      </c>
      <c r="G258" s="102">
        <f t="shared" ref="G258:G259" si="88">ROUND(F258*1.2,2)</f>
        <v>38678.81</v>
      </c>
      <c r="J258" s="438"/>
      <c r="K258" s="438">
        <f t="shared" si="65"/>
        <v>0</v>
      </c>
    </row>
    <row r="259" spans="1:11" ht="41.4" x14ac:dyDescent="0.3">
      <c r="A259" s="285">
        <f>A258+1</f>
        <v>148</v>
      </c>
      <c r="B259" s="290" t="s">
        <v>1122</v>
      </c>
      <c r="C259" s="285" t="s">
        <v>220</v>
      </c>
      <c r="D259" s="298">
        <v>2</v>
      </c>
      <c r="E259" s="170">
        <v>17893.782683999998</v>
      </c>
      <c r="F259" s="288">
        <f>ROUND(E259*D259,2)</f>
        <v>35787.57</v>
      </c>
      <c r="G259" s="288">
        <f t="shared" si="88"/>
        <v>42945.08</v>
      </c>
      <c r="J259" s="438"/>
      <c r="K259" s="438">
        <f t="shared" si="65"/>
        <v>0</v>
      </c>
    </row>
    <row r="260" spans="1:11" s="209" customFormat="1" ht="22.5" customHeight="1" x14ac:dyDescent="0.3">
      <c r="A260" s="457"/>
      <c r="B260" s="479" t="s">
        <v>604</v>
      </c>
      <c r="C260" s="459"/>
      <c r="D260" s="459"/>
      <c r="E260" s="459"/>
      <c r="F260" s="459"/>
      <c r="G260" s="459"/>
      <c r="J260" s="439"/>
      <c r="K260" s="439">
        <f t="shared" si="65"/>
        <v>0</v>
      </c>
    </row>
    <row r="261" spans="1:11" s="209" customFormat="1" ht="15.6" x14ac:dyDescent="0.3">
      <c r="A261" s="429"/>
      <c r="B261" s="430" t="s">
        <v>513</v>
      </c>
      <c r="C261" s="429"/>
      <c r="D261" s="248"/>
      <c r="E261" s="461">
        <v>0</v>
      </c>
      <c r="F261" s="462"/>
      <c r="G261" s="463"/>
      <c r="J261" s="439"/>
      <c r="K261" s="439">
        <f t="shared" si="65"/>
        <v>0</v>
      </c>
    </row>
    <row r="262" spans="1:11" s="209" customFormat="1" ht="15.6" x14ac:dyDescent="0.3">
      <c r="A262" s="429">
        <f>A259+1</f>
        <v>149</v>
      </c>
      <c r="B262" s="208" t="s">
        <v>669</v>
      </c>
      <c r="C262" s="429" t="s">
        <v>193</v>
      </c>
      <c r="D262" s="442">
        <v>1584.21</v>
      </c>
      <c r="E262" s="461">
        <v>534.91125600000009</v>
      </c>
      <c r="F262" s="434">
        <f t="shared" ref="F262:F271" si="89">ROUND(E262*D262,2)</f>
        <v>847411.76</v>
      </c>
      <c r="G262" s="434">
        <f t="shared" ref="G262:G289" si="90">ROUND(F262*1.2,2)</f>
        <v>1016894.11</v>
      </c>
      <c r="J262" s="439">
        <v>384.54</v>
      </c>
      <c r="K262" s="439">
        <f t="shared" ref="K262:K325" si="91">E262*J262*1.2</f>
        <v>246833.72925868805</v>
      </c>
    </row>
    <row r="263" spans="1:11" s="209" customFormat="1" ht="15.6" x14ac:dyDescent="0.3">
      <c r="A263" s="429">
        <f>A262+1</f>
        <v>150</v>
      </c>
      <c r="B263" s="208" t="s">
        <v>515</v>
      </c>
      <c r="C263" s="429" t="s">
        <v>193</v>
      </c>
      <c r="D263" s="442">
        <v>47.53</v>
      </c>
      <c r="E263" s="461">
        <v>2541.5435879999995</v>
      </c>
      <c r="F263" s="434">
        <f t="shared" si="89"/>
        <v>120799.57</v>
      </c>
      <c r="G263" s="434">
        <f t="shared" si="90"/>
        <v>144959.48000000001</v>
      </c>
      <c r="J263" s="439">
        <v>8.74</v>
      </c>
      <c r="K263" s="439">
        <f t="shared" si="91"/>
        <v>26655.709150943996</v>
      </c>
    </row>
    <row r="264" spans="1:11" s="209" customFormat="1" ht="15.6" x14ac:dyDescent="0.3">
      <c r="A264" s="429">
        <f>A263+1</f>
        <v>151</v>
      </c>
      <c r="B264" s="208" t="s">
        <v>521</v>
      </c>
      <c r="C264" s="429" t="s">
        <v>193</v>
      </c>
      <c r="D264" s="435">
        <v>27.43</v>
      </c>
      <c r="E264" s="461">
        <v>1972.306476</v>
      </c>
      <c r="F264" s="434">
        <f t="shared" si="89"/>
        <v>54100.37</v>
      </c>
      <c r="G264" s="434">
        <f t="shared" si="90"/>
        <v>64920.44</v>
      </c>
      <c r="J264" s="439">
        <v>4.16</v>
      </c>
      <c r="K264" s="439">
        <f t="shared" si="91"/>
        <v>9845.7539281919999</v>
      </c>
    </row>
    <row r="265" spans="1:11" s="209" customFormat="1" ht="15.6" x14ac:dyDescent="0.3">
      <c r="A265" s="429">
        <f t="shared" ref="A265:A271" si="92">A264+1</f>
        <v>152</v>
      </c>
      <c r="B265" s="208" t="s">
        <v>522</v>
      </c>
      <c r="C265" s="429" t="s">
        <v>193</v>
      </c>
      <c r="D265" s="442">
        <v>220.77</v>
      </c>
      <c r="E265" s="461">
        <v>1972.306476</v>
      </c>
      <c r="F265" s="434">
        <f t="shared" si="89"/>
        <v>435426.1</v>
      </c>
      <c r="G265" s="434">
        <f t="shared" si="90"/>
        <v>522511.32</v>
      </c>
      <c r="J265" s="439">
        <v>125.66</v>
      </c>
      <c r="K265" s="439">
        <f t="shared" si="91"/>
        <v>297408.03812899196</v>
      </c>
    </row>
    <row r="266" spans="1:11" s="209" customFormat="1" ht="27.6" x14ac:dyDescent="0.3">
      <c r="A266" s="429">
        <f t="shared" si="92"/>
        <v>153</v>
      </c>
      <c r="B266" s="208" t="s">
        <v>670</v>
      </c>
      <c r="C266" s="429" t="s">
        <v>193</v>
      </c>
      <c r="D266" s="442">
        <v>1396.26</v>
      </c>
      <c r="E266" s="461">
        <v>534.91125600000009</v>
      </c>
      <c r="F266" s="434">
        <f t="shared" si="89"/>
        <v>746875.19</v>
      </c>
      <c r="G266" s="434">
        <f t="shared" si="90"/>
        <v>896250.23</v>
      </c>
      <c r="J266" s="439">
        <v>69.84</v>
      </c>
      <c r="K266" s="439">
        <f t="shared" si="91"/>
        <v>44829.842542848011</v>
      </c>
    </row>
    <row r="267" spans="1:11" s="209" customFormat="1" ht="15.6" x14ac:dyDescent="0.3">
      <c r="A267" s="429">
        <f t="shared" si="92"/>
        <v>154</v>
      </c>
      <c r="B267" s="208" t="s">
        <v>671</v>
      </c>
      <c r="C267" s="429" t="s">
        <v>193</v>
      </c>
      <c r="D267" s="442">
        <v>30.73</v>
      </c>
      <c r="E267" s="461">
        <v>2033.8069679999999</v>
      </c>
      <c r="F267" s="434">
        <f t="shared" si="89"/>
        <v>62498.89</v>
      </c>
      <c r="G267" s="434">
        <f t="shared" si="90"/>
        <v>74998.67</v>
      </c>
      <c r="J267" s="439">
        <v>0.8</v>
      </c>
      <c r="K267" s="439">
        <f t="shared" si="91"/>
        <v>1952.4546892799999</v>
      </c>
    </row>
    <row r="268" spans="1:11" s="209" customFormat="1" ht="15.6" x14ac:dyDescent="0.3">
      <c r="A268" s="429">
        <f t="shared" si="92"/>
        <v>155</v>
      </c>
      <c r="B268" s="208" t="s">
        <v>672</v>
      </c>
      <c r="C268" s="429" t="s">
        <v>193</v>
      </c>
      <c r="D268" s="442">
        <v>1002.5</v>
      </c>
      <c r="E268" s="461">
        <v>178.78050000000002</v>
      </c>
      <c r="F268" s="434">
        <f t="shared" si="89"/>
        <v>179227.45</v>
      </c>
      <c r="G268" s="434">
        <f t="shared" si="90"/>
        <v>215072.94</v>
      </c>
      <c r="J268" s="439">
        <v>322.58999999999997</v>
      </c>
      <c r="K268" s="439">
        <f t="shared" si="91"/>
        <v>69207.361793999997</v>
      </c>
    </row>
    <row r="269" spans="1:11" s="209" customFormat="1" ht="15.6" x14ac:dyDescent="0.3">
      <c r="A269" s="429">
        <f t="shared" si="92"/>
        <v>156</v>
      </c>
      <c r="B269" s="208" t="s">
        <v>451</v>
      </c>
      <c r="C269" s="429" t="s">
        <v>193</v>
      </c>
      <c r="D269" s="442">
        <v>1002.5</v>
      </c>
      <c r="E269" s="461">
        <v>283.188312</v>
      </c>
      <c r="F269" s="434">
        <f t="shared" si="89"/>
        <v>283896.28000000003</v>
      </c>
      <c r="G269" s="434">
        <f t="shared" si="90"/>
        <v>340675.54</v>
      </c>
      <c r="J269" s="439">
        <v>322.58999999999997</v>
      </c>
      <c r="K269" s="439">
        <f t="shared" si="91"/>
        <v>109624.46108169598</v>
      </c>
    </row>
    <row r="270" spans="1:11" s="209" customFormat="1" ht="15.6" x14ac:dyDescent="0.3">
      <c r="A270" s="429">
        <f t="shared" si="92"/>
        <v>157</v>
      </c>
      <c r="B270" s="208" t="s">
        <v>518</v>
      </c>
      <c r="C270" s="429" t="s">
        <v>239</v>
      </c>
      <c r="D270" s="442">
        <v>1251.0999999999999</v>
      </c>
      <c r="E270" s="461">
        <v>464.82929999999999</v>
      </c>
      <c r="F270" s="434">
        <f t="shared" si="89"/>
        <v>581547.93999999994</v>
      </c>
      <c r="G270" s="434">
        <f t="shared" si="90"/>
        <v>697857.53</v>
      </c>
      <c r="J270" s="439">
        <v>136.36000000000001</v>
      </c>
      <c r="K270" s="439">
        <f t="shared" si="91"/>
        <v>76060.948017600007</v>
      </c>
    </row>
    <row r="271" spans="1:11" s="209" customFormat="1" ht="15.6" x14ac:dyDescent="0.3">
      <c r="A271" s="454">
        <f t="shared" si="92"/>
        <v>158</v>
      </c>
      <c r="B271" s="208" t="s">
        <v>503</v>
      </c>
      <c r="C271" s="429" t="s">
        <v>239</v>
      </c>
      <c r="D271" s="442">
        <v>1251.0999999999999</v>
      </c>
      <c r="E271" s="461">
        <f>'искл-свод'!B2</f>
        <v>1361.6</v>
      </c>
      <c r="F271" s="434">
        <f t="shared" si="89"/>
        <v>1703497.76</v>
      </c>
      <c r="G271" s="434">
        <f t="shared" si="90"/>
        <v>2044197.31</v>
      </c>
      <c r="J271" s="439">
        <v>136.36000000000001</v>
      </c>
      <c r="K271" s="439">
        <f t="shared" si="91"/>
        <v>222801.33120000002</v>
      </c>
    </row>
    <row r="272" spans="1:11" s="209" customFormat="1" ht="15.6" x14ac:dyDescent="0.3">
      <c r="A272" s="429"/>
      <c r="B272" s="430" t="s">
        <v>523</v>
      </c>
      <c r="C272" s="429"/>
      <c r="D272" s="248"/>
      <c r="E272" s="461">
        <v>0</v>
      </c>
      <c r="F272" s="434"/>
      <c r="G272" s="434"/>
      <c r="J272" s="439"/>
      <c r="K272" s="439">
        <f t="shared" si="91"/>
        <v>0</v>
      </c>
    </row>
    <row r="273" spans="1:11" s="209" customFormat="1" ht="15.6" x14ac:dyDescent="0.3">
      <c r="A273" s="429">
        <f>A271+1</f>
        <v>159</v>
      </c>
      <c r="B273" s="208" t="s">
        <v>677</v>
      </c>
      <c r="C273" s="429" t="s">
        <v>194</v>
      </c>
      <c r="D273" s="435">
        <v>29.8</v>
      </c>
      <c r="E273" s="461">
        <v>6930.9624239999994</v>
      </c>
      <c r="F273" s="434">
        <f t="shared" ref="F273:F285" si="93">ROUND(E273*D273,2)</f>
        <v>206542.68</v>
      </c>
      <c r="G273" s="434">
        <f t="shared" si="90"/>
        <v>247851.22</v>
      </c>
      <c r="H273" s="210"/>
      <c r="J273" s="439">
        <v>28</v>
      </c>
      <c r="K273" s="439">
        <f t="shared" si="91"/>
        <v>232880.33744639999</v>
      </c>
    </row>
    <row r="274" spans="1:11" s="209" customFormat="1" ht="27.6" x14ac:dyDescent="0.3">
      <c r="A274" s="429">
        <f t="shared" ref="A274:A285" si="94">A273+1</f>
        <v>160</v>
      </c>
      <c r="B274" s="208" t="s">
        <v>678</v>
      </c>
      <c r="C274" s="429" t="s">
        <v>194</v>
      </c>
      <c r="D274" s="435">
        <v>29.8</v>
      </c>
      <c r="E274" s="461">
        <v>592.12101599999994</v>
      </c>
      <c r="F274" s="434">
        <f t="shared" si="93"/>
        <v>17645.21</v>
      </c>
      <c r="G274" s="434">
        <f t="shared" si="90"/>
        <v>21174.25</v>
      </c>
      <c r="J274" s="439">
        <v>28</v>
      </c>
      <c r="K274" s="439">
        <f t="shared" si="91"/>
        <v>19895.266137599996</v>
      </c>
    </row>
    <row r="275" spans="1:11" s="209" customFormat="1" ht="15.6" x14ac:dyDescent="0.3">
      <c r="A275" s="429">
        <f t="shared" si="94"/>
        <v>161</v>
      </c>
      <c r="B275" s="208" t="s">
        <v>685</v>
      </c>
      <c r="C275" s="429" t="s">
        <v>194</v>
      </c>
      <c r="D275" s="435">
        <v>29.8</v>
      </c>
      <c r="E275" s="461">
        <v>5296.1935320000002</v>
      </c>
      <c r="F275" s="434">
        <f t="shared" si="93"/>
        <v>157826.57</v>
      </c>
      <c r="G275" s="434">
        <f t="shared" si="90"/>
        <v>189391.88</v>
      </c>
      <c r="J275" s="439">
        <v>28</v>
      </c>
      <c r="K275" s="439">
        <f t="shared" si="91"/>
        <v>177952.1026752</v>
      </c>
    </row>
    <row r="276" spans="1:11" s="209" customFormat="1" ht="15.6" x14ac:dyDescent="0.3">
      <c r="A276" s="429">
        <f t="shared" si="94"/>
        <v>162</v>
      </c>
      <c r="B276" s="208" t="s">
        <v>679</v>
      </c>
      <c r="C276" s="429" t="s">
        <v>650</v>
      </c>
      <c r="D276" s="248">
        <v>1</v>
      </c>
      <c r="E276" s="461">
        <v>6441.8189760000005</v>
      </c>
      <c r="F276" s="434">
        <f t="shared" si="93"/>
        <v>6441.82</v>
      </c>
      <c r="G276" s="434">
        <f t="shared" si="90"/>
        <v>7730.18</v>
      </c>
      <c r="J276" s="439">
        <v>1</v>
      </c>
      <c r="K276" s="439">
        <f t="shared" si="91"/>
        <v>7730.1827712000004</v>
      </c>
    </row>
    <row r="277" spans="1:11" ht="15.6" x14ac:dyDescent="0.3">
      <c r="A277" s="65">
        <f t="shared" si="94"/>
        <v>163</v>
      </c>
      <c r="B277" s="66" t="s">
        <v>680</v>
      </c>
      <c r="C277" s="65" t="s">
        <v>194</v>
      </c>
      <c r="D277" s="70">
        <v>29</v>
      </c>
      <c r="E277" s="170">
        <v>6930.9624239999994</v>
      </c>
      <c r="F277" s="101">
        <f t="shared" si="93"/>
        <v>200997.91</v>
      </c>
      <c r="G277" s="101">
        <f t="shared" si="90"/>
        <v>241197.49</v>
      </c>
      <c r="H277" s="210"/>
      <c r="J277" s="438"/>
      <c r="K277" s="438">
        <f t="shared" si="91"/>
        <v>0</v>
      </c>
    </row>
    <row r="278" spans="1:11" ht="27.6" x14ac:dyDescent="0.3">
      <c r="A278" s="65">
        <f t="shared" si="94"/>
        <v>164</v>
      </c>
      <c r="B278" s="66" t="s">
        <v>681</v>
      </c>
      <c r="C278" s="65" t="s">
        <v>194</v>
      </c>
      <c r="D278" s="70">
        <v>29</v>
      </c>
      <c r="E278" s="170">
        <v>592.12101599999994</v>
      </c>
      <c r="F278" s="101">
        <f t="shared" si="93"/>
        <v>17171.509999999998</v>
      </c>
      <c r="G278" s="101">
        <f t="shared" si="90"/>
        <v>20605.810000000001</v>
      </c>
      <c r="J278" s="438"/>
      <c r="K278" s="438">
        <f t="shared" si="91"/>
        <v>0</v>
      </c>
    </row>
    <row r="279" spans="1:11" ht="27.6" x14ac:dyDescent="0.3">
      <c r="A279" s="65">
        <f t="shared" si="94"/>
        <v>165</v>
      </c>
      <c r="B279" s="66" t="s">
        <v>682</v>
      </c>
      <c r="C279" s="65" t="s">
        <v>194</v>
      </c>
      <c r="D279" s="70">
        <v>29</v>
      </c>
      <c r="E279" s="170">
        <v>5296.1935320000002</v>
      </c>
      <c r="F279" s="101">
        <f t="shared" si="93"/>
        <v>153589.60999999999</v>
      </c>
      <c r="G279" s="101">
        <f t="shared" si="90"/>
        <v>184307.53</v>
      </c>
      <c r="J279" s="438"/>
      <c r="K279" s="438">
        <f t="shared" si="91"/>
        <v>0</v>
      </c>
    </row>
    <row r="280" spans="1:11" ht="15.6" x14ac:dyDescent="0.3">
      <c r="A280" s="65">
        <f t="shared" si="94"/>
        <v>166</v>
      </c>
      <c r="B280" s="66" t="s">
        <v>683</v>
      </c>
      <c r="C280" s="65" t="s">
        <v>650</v>
      </c>
      <c r="D280" s="70">
        <v>1</v>
      </c>
      <c r="E280" s="170">
        <v>9604.088459999999</v>
      </c>
      <c r="F280" s="101">
        <f t="shared" si="93"/>
        <v>9604.09</v>
      </c>
      <c r="G280" s="101">
        <f t="shared" si="90"/>
        <v>11524.91</v>
      </c>
      <c r="J280" s="438"/>
      <c r="K280" s="438">
        <f t="shared" si="91"/>
        <v>0</v>
      </c>
    </row>
    <row r="281" spans="1:11" s="209" customFormat="1" ht="15.6" x14ac:dyDescent="0.3">
      <c r="A281" s="429">
        <f t="shared" si="94"/>
        <v>167</v>
      </c>
      <c r="B281" s="208" t="s">
        <v>686</v>
      </c>
      <c r="C281" s="429" t="s">
        <v>194</v>
      </c>
      <c r="D281" s="248">
        <v>108</v>
      </c>
      <c r="E281" s="461">
        <v>1454.5581479999998</v>
      </c>
      <c r="F281" s="434">
        <f t="shared" si="93"/>
        <v>157092.28</v>
      </c>
      <c r="G281" s="434">
        <f t="shared" si="90"/>
        <v>188510.74</v>
      </c>
      <c r="H281" s="210"/>
      <c r="J281" s="439">
        <v>52</v>
      </c>
      <c r="K281" s="439">
        <f t="shared" si="91"/>
        <v>90764.428435199981</v>
      </c>
    </row>
    <row r="282" spans="1:11" ht="15.6" x14ac:dyDescent="0.3">
      <c r="A282" s="65">
        <f t="shared" si="94"/>
        <v>168</v>
      </c>
      <c r="B282" s="79" t="s">
        <v>687</v>
      </c>
      <c r="C282" s="65" t="s">
        <v>194</v>
      </c>
      <c r="D282" s="71">
        <v>223.3</v>
      </c>
      <c r="E282" s="170">
        <v>2081.0050200000001</v>
      </c>
      <c r="F282" s="101">
        <f t="shared" si="93"/>
        <v>464688.42</v>
      </c>
      <c r="G282" s="101">
        <f t="shared" si="90"/>
        <v>557626.1</v>
      </c>
      <c r="H282" s="210"/>
      <c r="J282" s="438"/>
      <c r="K282" s="438">
        <f t="shared" si="91"/>
        <v>0</v>
      </c>
    </row>
    <row r="283" spans="1:11" ht="15.6" x14ac:dyDescent="0.3">
      <c r="A283" s="285">
        <f t="shared" si="94"/>
        <v>169</v>
      </c>
      <c r="B283" s="290" t="s">
        <v>1254</v>
      </c>
      <c r="C283" s="285" t="s">
        <v>220</v>
      </c>
      <c r="D283" s="298">
        <v>1</v>
      </c>
      <c r="E283" s="170">
        <v>2182.5523440000002</v>
      </c>
      <c r="F283" s="288">
        <f t="shared" si="93"/>
        <v>2182.5500000000002</v>
      </c>
      <c r="G283" s="288">
        <f t="shared" si="90"/>
        <v>2619.06</v>
      </c>
      <c r="H283" s="210"/>
      <c r="J283" s="438"/>
      <c r="K283" s="438">
        <f t="shared" si="91"/>
        <v>0</v>
      </c>
    </row>
    <row r="284" spans="1:11" ht="15.6" x14ac:dyDescent="0.3">
      <c r="A284" s="285">
        <f t="shared" si="94"/>
        <v>170</v>
      </c>
      <c r="B284" s="290" t="s">
        <v>1255</v>
      </c>
      <c r="C284" s="285" t="s">
        <v>220</v>
      </c>
      <c r="D284" s="298">
        <v>1</v>
      </c>
      <c r="E284" s="170">
        <v>3218.049</v>
      </c>
      <c r="F284" s="288">
        <f t="shared" si="93"/>
        <v>3218.05</v>
      </c>
      <c r="G284" s="288">
        <f t="shared" si="90"/>
        <v>3861.66</v>
      </c>
      <c r="H284" s="210"/>
      <c r="J284" s="438"/>
      <c r="K284" s="438">
        <f t="shared" si="91"/>
        <v>0</v>
      </c>
    </row>
    <row r="285" spans="1:11" ht="15.6" x14ac:dyDescent="0.3">
      <c r="A285" s="285">
        <f t="shared" si="94"/>
        <v>171</v>
      </c>
      <c r="B285" s="290" t="s">
        <v>1256</v>
      </c>
      <c r="C285" s="285" t="s">
        <v>220</v>
      </c>
      <c r="D285" s="298">
        <v>1</v>
      </c>
      <c r="E285" s="170">
        <v>2182.5523440000002</v>
      </c>
      <c r="F285" s="288">
        <f t="shared" si="93"/>
        <v>2182.5500000000002</v>
      </c>
      <c r="G285" s="288">
        <f t="shared" si="90"/>
        <v>2619.06</v>
      </c>
      <c r="H285" s="210"/>
      <c r="J285" s="438"/>
      <c r="K285" s="438">
        <f t="shared" si="91"/>
        <v>0</v>
      </c>
    </row>
    <row r="286" spans="1:11" ht="15.6" x14ac:dyDescent="0.3">
      <c r="A286" s="65"/>
      <c r="B286" s="61" t="s">
        <v>525</v>
      </c>
      <c r="C286" s="65"/>
      <c r="D286" s="70"/>
      <c r="E286" s="170">
        <v>0</v>
      </c>
      <c r="F286" s="101"/>
      <c r="G286" s="101"/>
      <c r="J286" s="438"/>
      <c r="K286" s="438">
        <f t="shared" si="91"/>
        <v>0</v>
      </c>
    </row>
    <row r="287" spans="1:11" s="209" customFormat="1" ht="27.6" x14ac:dyDescent="0.3">
      <c r="A287" s="429">
        <f>A285+1</f>
        <v>172</v>
      </c>
      <c r="B287" s="208" t="s">
        <v>526</v>
      </c>
      <c r="C287" s="429" t="s">
        <v>193</v>
      </c>
      <c r="D287" s="442">
        <v>5.88</v>
      </c>
      <c r="E287" s="461">
        <v>25993.823904999994</v>
      </c>
      <c r="F287" s="434">
        <f>ROUND(E287*D287,2)</f>
        <v>152843.68</v>
      </c>
      <c r="G287" s="434">
        <f t="shared" si="90"/>
        <v>183412.42</v>
      </c>
      <c r="J287" s="439">
        <v>1.96</v>
      </c>
      <c r="K287" s="439">
        <f t="shared" si="91"/>
        <v>61137.473824559987</v>
      </c>
    </row>
    <row r="288" spans="1:11" ht="41.4" x14ac:dyDescent="0.3">
      <c r="A288" s="65">
        <f>A287+1</f>
        <v>173</v>
      </c>
      <c r="B288" s="66" t="s">
        <v>684</v>
      </c>
      <c r="C288" s="65" t="s">
        <v>220</v>
      </c>
      <c r="D288" s="70">
        <v>9</v>
      </c>
      <c r="E288" s="170">
        <v>4884.2832600000002</v>
      </c>
      <c r="F288" s="101">
        <f>ROUND(E288*D288,2)</f>
        <v>43958.55</v>
      </c>
      <c r="G288" s="101">
        <f t="shared" si="90"/>
        <v>52750.26</v>
      </c>
      <c r="H288" s="210"/>
      <c r="J288" s="438"/>
      <c r="K288" s="438">
        <f t="shared" si="91"/>
        <v>0</v>
      </c>
    </row>
    <row r="289" spans="1:11" ht="41.4" x14ac:dyDescent="0.3">
      <c r="A289" s="65">
        <f>A288+1</f>
        <v>174</v>
      </c>
      <c r="B289" s="66" t="s">
        <v>676</v>
      </c>
      <c r="C289" s="65" t="s">
        <v>220</v>
      </c>
      <c r="D289" s="70">
        <v>16</v>
      </c>
      <c r="E289" s="170">
        <v>7401.5127000000002</v>
      </c>
      <c r="F289" s="101">
        <f>ROUND(E289*D289,2)</f>
        <v>118424.2</v>
      </c>
      <c r="G289" s="101">
        <f t="shared" si="90"/>
        <v>142109.04</v>
      </c>
      <c r="H289" s="210"/>
      <c r="J289" s="438"/>
      <c r="K289" s="438">
        <f t="shared" si="91"/>
        <v>0</v>
      </c>
    </row>
    <row r="290" spans="1:11" ht="24.75" customHeight="1" x14ac:dyDescent="0.3">
      <c r="A290" s="153"/>
      <c r="B290" s="172" t="s">
        <v>615</v>
      </c>
      <c r="C290" s="161"/>
      <c r="D290" s="161"/>
      <c r="E290" s="161"/>
      <c r="F290" s="161"/>
      <c r="G290" s="161"/>
      <c r="J290" s="438"/>
      <c r="K290" s="438">
        <f t="shared" si="91"/>
        <v>0</v>
      </c>
    </row>
    <row r="291" spans="1:11" ht="15.6" x14ac:dyDescent="0.3">
      <c r="A291" s="65"/>
      <c r="B291" s="61" t="s">
        <v>688</v>
      </c>
      <c r="C291" s="65"/>
      <c r="D291" s="70"/>
      <c r="E291" s="170">
        <v>0</v>
      </c>
      <c r="F291" s="160"/>
      <c r="G291" s="168"/>
      <c r="J291" s="438"/>
      <c r="K291" s="438">
        <f t="shared" si="91"/>
        <v>0</v>
      </c>
    </row>
    <row r="292" spans="1:11" ht="15.6" x14ac:dyDescent="0.3">
      <c r="A292" s="65">
        <f>A289+1</f>
        <v>175</v>
      </c>
      <c r="B292" s="66" t="s">
        <v>689</v>
      </c>
      <c r="C292" s="65" t="s">
        <v>193</v>
      </c>
      <c r="D292" s="67">
        <v>2488.65</v>
      </c>
      <c r="E292" s="170">
        <v>464.82929999999999</v>
      </c>
      <c r="F292" s="101">
        <f t="shared" ref="F292:F298" si="95">ROUND(E292*D292,2)</f>
        <v>1156797.4399999999</v>
      </c>
      <c r="G292" s="101">
        <f t="shared" ref="G292" si="96">ROUND(F292*1.2,2)</f>
        <v>1388156.93</v>
      </c>
      <c r="J292" s="438"/>
      <c r="K292" s="438">
        <f t="shared" si="91"/>
        <v>0</v>
      </c>
    </row>
    <row r="293" spans="1:11" ht="27.6" x14ac:dyDescent="0.3">
      <c r="A293" s="65">
        <f>A292+1</f>
        <v>176</v>
      </c>
      <c r="B293" s="66" t="s">
        <v>690</v>
      </c>
      <c r="C293" s="65" t="s">
        <v>193</v>
      </c>
      <c r="D293" s="67">
        <v>2488.65</v>
      </c>
      <c r="E293" s="170">
        <v>464.82929999999999</v>
      </c>
      <c r="F293" s="101">
        <f t="shared" si="95"/>
        <v>1156797.4399999999</v>
      </c>
      <c r="G293" s="101">
        <f t="shared" ref="G293:G295" si="97">ROUND(F293*1.2,2)</f>
        <v>1388156.93</v>
      </c>
      <c r="J293" s="438"/>
      <c r="K293" s="438">
        <f t="shared" si="91"/>
        <v>0</v>
      </c>
    </row>
    <row r="294" spans="1:11" ht="15.6" x14ac:dyDescent="0.3">
      <c r="A294" s="65">
        <f t="shared" ref="A294:A298" si="98">A293+1</f>
        <v>177</v>
      </c>
      <c r="B294" s="66" t="s">
        <v>518</v>
      </c>
      <c r="C294" s="65" t="s">
        <v>239</v>
      </c>
      <c r="D294" s="67">
        <f>2488.65*1.75</f>
        <v>4355.1374999999998</v>
      </c>
      <c r="E294" s="170">
        <v>464.82929999999999</v>
      </c>
      <c r="F294" s="101">
        <f t="shared" si="95"/>
        <v>2024395.52</v>
      </c>
      <c r="G294" s="101">
        <f t="shared" si="97"/>
        <v>2429274.62</v>
      </c>
      <c r="J294" s="438"/>
      <c r="K294" s="438">
        <f t="shared" si="91"/>
        <v>0</v>
      </c>
    </row>
    <row r="295" spans="1:11" ht="15.6" x14ac:dyDescent="0.3">
      <c r="A295" s="456">
        <f t="shared" si="98"/>
        <v>178</v>
      </c>
      <c r="B295" s="324" t="s">
        <v>503</v>
      </c>
      <c r="C295" s="323" t="s">
        <v>239</v>
      </c>
      <c r="D295" s="325">
        <f>2488.65*1.75</f>
        <v>4355.1374999999998</v>
      </c>
      <c r="E295" s="170">
        <f>'искл-свод'!B2</f>
        <v>1361.6</v>
      </c>
      <c r="F295" s="288">
        <f t="shared" si="95"/>
        <v>5929955.2199999997</v>
      </c>
      <c r="G295" s="288">
        <f t="shared" si="97"/>
        <v>7115946.2599999998</v>
      </c>
      <c r="J295" s="438"/>
      <c r="K295" s="438">
        <f t="shared" si="91"/>
        <v>0</v>
      </c>
    </row>
    <row r="296" spans="1:11" ht="15.6" x14ac:dyDescent="0.3">
      <c r="A296" s="323">
        <f t="shared" si="98"/>
        <v>179</v>
      </c>
      <c r="B296" s="324" t="s">
        <v>1213</v>
      </c>
      <c r="C296" s="323" t="s">
        <v>193</v>
      </c>
      <c r="D296" s="325">
        <v>56</v>
      </c>
      <c r="E296" s="295">
        <v>464.82929999999999</v>
      </c>
      <c r="F296" s="288">
        <f t="shared" si="95"/>
        <v>26030.44</v>
      </c>
      <c r="G296" s="288">
        <f t="shared" ref="G296" si="99">ROUND(F296*1.2,2)</f>
        <v>31236.53</v>
      </c>
      <c r="J296" s="438"/>
      <c r="K296" s="438">
        <f t="shared" si="91"/>
        <v>0</v>
      </c>
    </row>
    <row r="297" spans="1:11" ht="15.6" x14ac:dyDescent="0.3">
      <c r="A297" s="323">
        <f t="shared" si="98"/>
        <v>180</v>
      </c>
      <c r="B297" s="324" t="s">
        <v>1214</v>
      </c>
      <c r="C297" s="323" t="s">
        <v>193</v>
      </c>
      <c r="D297" s="327">
        <v>104</v>
      </c>
      <c r="E297" s="295">
        <v>0</v>
      </c>
      <c r="F297" s="288">
        <f t="shared" si="95"/>
        <v>0</v>
      </c>
      <c r="G297" s="288">
        <f t="shared" ref="G297" si="100">ROUND(F297*1.2,2)</f>
        <v>0</v>
      </c>
      <c r="H297" s="210" t="s">
        <v>1267</v>
      </c>
      <c r="J297" s="438"/>
      <c r="K297" s="438">
        <f t="shared" si="91"/>
        <v>0</v>
      </c>
    </row>
    <row r="298" spans="1:11" ht="15.6" x14ac:dyDescent="0.3">
      <c r="A298" s="323">
        <f t="shared" si="98"/>
        <v>181</v>
      </c>
      <c r="B298" s="324" t="s">
        <v>1215</v>
      </c>
      <c r="C298" s="323" t="s">
        <v>193</v>
      </c>
      <c r="D298" s="327">
        <v>104</v>
      </c>
      <c r="E298" s="295">
        <v>632.16784799999994</v>
      </c>
      <c r="F298" s="288">
        <f t="shared" si="95"/>
        <v>65745.460000000006</v>
      </c>
      <c r="G298" s="288">
        <f t="shared" ref="G298" si="101">ROUND(F298*1.2,2)</f>
        <v>78894.55</v>
      </c>
      <c r="J298" s="438"/>
      <c r="K298" s="438">
        <f t="shared" si="91"/>
        <v>0</v>
      </c>
    </row>
    <row r="299" spans="1:11" ht="20.25" customHeight="1" x14ac:dyDescent="0.3">
      <c r="A299" s="323"/>
      <c r="B299" s="383" t="s">
        <v>616</v>
      </c>
      <c r="C299" s="323"/>
      <c r="D299" s="325"/>
      <c r="E299" s="295">
        <v>0</v>
      </c>
      <c r="F299" s="288"/>
      <c r="G299" s="288"/>
      <c r="J299" s="438"/>
      <c r="K299" s="438">
        <f t="shared" si="91"/>
        <v>0</v>
      </c>
    </row>
    <row r="300" spans="1:11" ht="27.6" x14ac:dyDescent="0.3">
      <c r="A300" s="323">
        <f>A298+1</f>
        <v>182</v>
      </c>
      <c r="B300" s="324" t="s">
        <v>617</v>
      </c>
      <c r="C300" s="323" t="s">
        <v>194</v>
      </c>
      <c r="D300" s="327">
        <v>163</v>
      </c>
      <c r="E300" s="295">
        <v>6713.5653360000006</v>
      </c>
      <c r="F300" s="288">
        <f>ROUND(E300*D300,2)</f>
        <v>1094311.1499999999</v>
      </c>
      <c r="G300" s="288">
        <f t="shared" ref="G300:G301" si="102">ROUND(F300*1.2,2)</f>
        <v>1313173.3799999999</v>
      </c>
      <c r="J300" s="438"/>
      <c r="K300" s="438">
        <f t="shared" si="91"/>
        <v>0</v>
      </c>
    </row>
    <row r="301" spans="1:11" ht="34.5" customHeight="1" x14ac:dyDescent="0.3">
      <c r="A301" s="323">
        <f>A300+1</f>
        <v>183</v>
      </c>
      <c r="B301" s="324" t="s">
        <v>618</v>
      </c>
      <c r="C301" s="323" t="s">
        <v>194</v>
      </c>
      <c r="D301" s="327">
        <v>163</v>
      </c>
      <c r="E301" s="295">
        <v>792.35517599999991</v>
      </c>
      <c r="F301" s="288">
        <f>ROUND(E301*D301,2)</f>
        <v>129153.89</v>
      </c>
      <c r="G301" s="288">
        <f t="shared" si="102"/>
        <v>154984.67000000001</v>
      </c>
      <c r="J301" s="438"/>
      <c r="K301" s="438">
        <f t="shared" si="91"/>
        <v>0</v>
      </c>
    </row>
    <row r="302" spans="1:11" ht="15.6" x14ac:dyDescent="0.3">
      <c r="A302" s="323"/>
      <c r="B302" s="383" t="s">
        <v>1216</v>
      </c>
      <c r="C302" s="323"/>
      <c r="D302" s="325"/>
      <c r="E302" s="295">
        <v>0</v>
      </c>
      <c r="F302" s="288"/>
      <c r="G302" s="288"/>
      <c r="J302" s="438"/>
      <c r="K302" s="438">
        <f t="shared" si="91"/>
        <v>0</v>
      </c>
    </row>
    <row r="303" spans="1:11" ht="27.6" x14ac:dyDescent="0.3">
      <c r="A303" s="323">
        <f>A301+1</f>
        <v>184</v>
      </c>
      <c r="B303" s="324" t="s">
        <v>620</v>
      </c>
      <c r="C303" s="323" t="s">
        <v>431</v>
      </c>
      <c r="D303" s="325">
        <v>5940.5</v>
      </c>
      <c r="E303" s="295">
        <v>1630.4781600000001</v>
      </c>
      <c r="F303" s="288">
        <f t="shared" ref="F303:F308" si="103">ROUND(E303*D303,2)</f>
        <v>9685855.5099999998</v>
      </c>
      <c r="G303" s="288">
        <f t="shared" ref="G303:G308" si="104">ROUND(F303*1.2,2)</f>
        <v>11623026.609999999</v>
      </c>
      <c r="J303" s="438"/>
      <c r="K303" s="438">
        <f t="shared" si="91"/>
        <v>0</v>
      </c>
    </row>
    <row r="304" spans="1:11" ht="27.6" x14ac:dyDescent="0.3">
      <c r="A304" s="323">
        <f>A303+1</f>
        <v>185</v>
      </c>
      <c r="B304" s="324" t="s">
        <v>691</v>
      </c>
      <c r="C304" s="323" t="s">
        <v>193</v>
      </c>
      <c r="D304" s="325">
        <v>499</v>
      </c>
      <c r="E304" s="295">
        <v>2508.6479759999997</v>
      </c>
      <c r="F304" s="288">
        <f t="shared" si="103"/>
        <v>1251815.3400000001</v>
      </c>
      <c r="G304" s="288">
        <f t="shared" si="104"/>
        <v>1502178.41</v>
      </c>
      <c r="J304" s="438"/>
      <c r="K304" s="438">
        <f t="shared" si="91"/>
        <v>0</v>
      </c>
    </row>
    <row r="305" spans="1:11" ht="27.6" x14ac:dyDescent="0.3">
      <c r="A305" s="65">
        <f t="shared" ref="A305:A308" si="105">A304+1</f>
        <v>186</v>
      </c>
      <c r="B305" s="66" t="s">
        <v>692</v>
      </c>
      <c r="C305" s="65" t="s">
        <v>193</v>
      </c>
      <c r="D305" s="67">
        <v>935.63</v>
      </c>
      <c r="E305" s="170">
        <v>2508.6479759999997</v>
      </c>
      <c r="F305" s="101">
        <f t="shared" si="103"/>
        <v>2347166.31</v>
      </c>
      <c r="G305" s="101">
        <f t="shared" si="104"/>
        <v>2816599.57</v>
      </c>
      <c r="J305" s="438"/>
      <c r="K305" s="438">
        <f t="shared" si="91"/>
        <v>0</v>
      </c>
    </row>
    <row r="306" spans="1:11" ht="15.6" x14ac:dyDescent="0.3">
      <c r="A306" s="65">
        <f t="shared" si="105"/>
        <v>187</v>
      </c>
      <c r="B306" s="66" t="s">
        <v>623</v>
      </c>
      <c r="C306" s="65" t="s">
        <v>193</v>
      </c>
      <c r="D306" s="67">
        <v>1960.36</v>
      </c>
      <c r="E306" s="170">
        <v>1589.001084</v>
      </c>
      <c r="F306" s="101">
        <f t="shared" si="103"/>
        <v>3115014.17</v>
      </c>
      <c r="G306" s="101">
        <f t="shared" si="104"/>
        <v>3738017</v>
      </c>
      <c r="J306" s="438"/>
      <c r="K306" s="438">
        <f t="shared" si="91"/>
        <v>0</v>
      </c>
    </row>
    <row r="307" spans="1:11" ht="27.6" x14ac:dyDescent="0.3">
      <c r="A307" s="65">
        <f t="shared" si="105"/>
        <v>188</v>
      </c>
      <c r="B307" s="66" t="s">
        <v>624</v>
      </c>
      <c r="C307" s="65" t="s">
        <v>193</v>
      </c>
      <c r="D307" s="67">
        <v>1960.36</v>
      </c>
      <c r="E307" s="170">
        <v>1589.001084</v>
      </c>
      <c r="F307" s="101">
        <f t="shared" si="103"/>
        <v>3115014.17</v>
      </c>
      <c r="G307" s="101">
        <f t="shared" si="104"/>
        <v>3738017</v>
      </c>
      <c r="J307" s="438"/>
      <c r="K307" s="438">
        <f t="shared" si="91"/>
        <v>0</v>
      </c>
    </row>
    <row r="308" spans="1:11" s="316" customFormat="1" ht="15.6" x14ac:dyDescent="0.3">
      <c r="A308" s="285">
        <f t="shared" si="105"/>
        <v>189</v>
      </c>
      <c r="B308" s="290" t="s">
        <v>1217</v>
      </c>
      <c r="C308" s="285" t="s">
        <v>220</v>
      </c>
      <c r="D308" s="298">
        <v>144</v>
      </c>
      <c r="E308" s="170">
        <v>2341.3094279999996</v>
      </c>
      <c r="F308" s="288">
        <f t="shared" si="103"/>
        <v>337148.56</v>
      </c>
      <c r="G308" s="288">
        <f t="shared" si="104"/>
        <v>404578.27</v>
      </c>
      <c r="J308" s="438"/>
      <c r="K308" s="438">
        <f t="shared" si="91"/>
        <v>0</v>
      </c>
    </row>
    <row r="309" spans="1:11" s="316" customFormat="1" ht="22.5" customHeight="1" x14ac:dyDescent="0.3">
      <c r="A309" s="285"/>
      <c r="B309" s="302" t="s">
        <v>1218</v>
      </c>
      <c r="C309" s="285"/>
      <c r="D309" s="287"/>
      <c r="E309" s="170">
        <v>0</v>
      </c>
      <c r="F309" s="288"/>
      <c r="G309" s="288"/>
      <c r="J309" s="438"/>
      <c r="K309" s="438">
        <f t="shared" si="91"/>
        <v>0</v>
      </c>
    </row>
    <row r="310" spans="1:11" s="316" customFormat="1" ht="27.6" x14ac:dyDescent="0.3">
      <c r="A310" s="285">
        <f>A308+1</f>
        <v>190</v>
      </c>
      <c r="B310" s="290" t="s">
        <v>1220</v>
      </c>
      <c r="C310" s="285" t="s">
        <v>431</v>
      </c>
      <c r="D310" s="287">
        <v>297.02999999999997</v>
      </c>
      <c r="E310" s="170">
        <v>274.78134903545094</v>
      </c>
      <c r="F310" s="288">
        <f>ROUND(E310*D310,2)</f>
        <v>81618.3</v>
      </c>
      <c r="G310" s="288">
        <f t="shared" ref="G310:G314" si="106">ROUND(F310*1.2,2)</f>
        <v>97941.96</v>
      </c>
      <c r="J310" s="438"/>
      <c r="K310" s="438">
        <f t="shared" si="91"/>
        <v>0</v>
      </c>
    </row>
    <row r="311" spans="1:11" s="316" customFormat="1" ht="27.6" x14ac:dyDescent="0.3">
      <c r="A311" s="285">
        <f>A310+1</f>
        <v>191</v>
      </c>
      <c r="B311" s="290" t="s">
        <v>1221</v>
      </c>
      <c r="C311" s="285" t="s">
        <v>193</v>
      </c>
      <c r="D311" s="287">
        <v>499</v>
      </c>
      <c r="E311" s="170">
        <v>486.99808199999995</v>
      </c>
      <c r="F311" s="288">
        <f>ROUND(E311*D311,2)</f>
        <v>243012.04</v>
      </c>
      <c r="G311" s="288">
        <f t="shared" si="106"/>
        <v>291614.45</v>
      </c>
      <c r="J311" s="438"/>
      <c r="K311" s="438">
        <f t="shared" si="91"/>
        <v>0</v>
      </c>
    </row>
    <row r="312" spans="1:11" s="316" customFormat="1" ht="27.6" x14ac:dyDescent="0.3">
      <c r="A312" s="285">
        <f t="shared" ref="A312:A314" si="107">A311+1</f>
        <v>192</v>
      </c>
      <c r="B312" s="290" t="s">
        <v>1222</v>
      </c>
      <c r="C312" s="285" t="s">
        <v>193</v>
      </c>
      <c r="D312" s="287">
        <v>935.63</v>
      </c>
      <c r="E312" s="170">
        <v>457.67808000000002</v>
      </c>
      <c r="F312" s="288">
        <f>ROUND(E312*D312,2)</f>
        <v>428217.34</v>
      </c>
      <c r="G312" s="288">
        <f t="shared" si="106"/>
        <v>513860.81</v>
      </c>
      <c r="J312" s="438"/>
      <c r="K312" s="438">
        <f t="shared" si="91"/>
        <v>0</v>
      </c>
    </row>
    <row r="313" spans="1:11" s="316" customFormat="1" ht="15.6" x14ac:dyDescent="0.3">
      <c r="A313" s="285">
        <f t="shared" si="107"/>
        <v>193</v>
      </c>
      <c r="B313" s="290" t="s">
        <v>1223</v>
      </c>
      <c r="C313" s="285" t="s">
        <v>193</v>
      </c>
      <c r="D313" s="287">
        <v>1960.36</v>
      </c>
      <c r="E313" s="170">
        <v>118.710252</v>
      </c>
      <c r="F313" s="288">
        <f>ROUND(E313*D313,2)</f>
        <v>232714.83</v>
      </c>
      <c r="G313" s="288">
        <f t="shared" si="106"/>
        <v>279257.8</v>
      </c>
      <c r="J313" s="438"/>
      <c r="K313" s="438">
        <f t="shared" si="91"/>
        <v>0</v>
      </c>
    </row>
    <row r="314" spans="1:11" s="316" customFormat="1" ht="15.6" x14ac:dyDescent="0.3">
      <c r="A314" s="285">
        <f t="shared" si="107"/>
        <v>194</v>
      </c>
      <c r="B314" s="290" t="s">
        <v>1219</v>
      </c>
      <c r="C314" s="285" t="s">
        <v>220</v>
      </c>
      <c r="D314" s="298">
        <v>136</v>
      </c>
      <c r="E314" s="170">
        <v>1671.9552359999998</v>
      </c>
      <c r="F314" s="288">
        <f>ROUND(E314*D314,2)</f>
        <v>227385.91</v>
      </c>
      <c r="G314" s="288">
        <f t="shared" si="106"/>
        <v>272863.09000000003</v>
      </c>
      <c r="J314" s="438"/>
      <c r="K314" s="438">
        <f t="shared" si="91"/>
        <v>0</v>
      </c>
    </row>
    <row r="315" spans="1:11" s="316" customFormat="1" ht="15.6" x14ac:dyDescent="0.3">
      <c r="A315" s="285"/>
      <c r="B315" s="302" t="s">
        <v>1224</v>
      </c>
      <c r="C315" s="285"/>
      <c r="D315" s="287"/>
      <c r="E315" s="170">
        <v>0</v>
      </c>
      <c r="F315" s="288"/>
      <c r="G315" s="288"/>
      <c r="J315" s="438"/>
      <c r="K315" s="438">
        <f t="shared" si="91"/>
        <v>0</v>
      </c>
    </row>
    <row r="316" spans="1:11" s="316" customFormat="1" ht="27.6" x14ac:dyDescent="0.3">
      <c r="A316" s="285">
        <f>A314+1</f>
        <v>195</v>
      </c>
      <c r="B316" s="290" t="s">
        <v>1225</v>
      </c>
      <c r="C316" s="285" t="s">
        <v>193</v>
      </c>
      <c r="D316" s="287">
        <v>565.42999999999995</v>
      </c>
      <c r="E316" s="170">
        <v>2508.6479759999997</v>
      </c>
      <c r="F316" s="288">
        <f>ROUND(E316*D316,2)</f>
        <v>1418464.83</v>
      </c>
      <c r="G316" s="288">
        <f t="shared" ref="G316" si="108">ROUND(F316*1.2,2)</f>
        <v>1702157.8</v>
      </c>
      <c r="J316" s="438"/>
      <c r="K316" s="438">
        <f t="shared" si="91"/>
        <v>0</v>
      </c>
    </row>
    <row r="317" spans="1:11" s="316" customFormat="1" ht="20.25" customHeight="1" x14ac:dyDescent="0.3">
      <c r="A317" s="285"/>
      <c r="B317" s="302" t="s">
        <v>1226</v>
      </c>
      <c r="C317" s="285"/>
      <c r="D317" s="287"/>
      <c r="E317" s="170">
        <v>0</v>
      </c>
      <c r="F317" s="288"/>
      <c r="G317" s="288"/>
      <c r="J317" s="438"/>
      <c r="K317" s="438">
        <f t="shared" si="91"/>
        <v>0</v>
      </c>
    </row>
    <row r="318" spans="1:11" s="316" customFormat="1" ht="15.6" x14ac:dyDescent="0.3">
      <c r="A318" s="285">
        <f>A316+1</f>
        <v>196</v>
      </c>
      <c r="B318" s="290" t="s">
        <v>1227</v>
      </c>
      <c r="C318" s="285" t="s">
        <v>220</v>
      </c>
      <c r="D318" s="298">
        <v>22</v>
      </c>
      <c r="E318" s="170">
        <v>421.92198000000002</v>
      </c>
      <c r="F318" s="288">
        <f>ROUND(E318*D318,2)</f>
        <v>9282.2800000000007</v>
      </c>
      <c r="G318" s="288">
        <f t="shared" ref="G318:G321" si="109">ROUND(F318*1.2,2)</f>
        <v>11138.74</v>
      </c>
      <c r="H318" s="317" t="s">
        <v>1268</v>
      </c>
      <c r="J318" s="438"/>
      <c r="K318" s="438">
        <f t="shared" si="91"/>
        <v>0</v>
      </c>
    </row>
    <row r="319" spans="1:11" s="316" customFormat="1" ht="15.6" x14ac:dyDescent="0.3">
      <c r="A319" s="285">
        <f>A318+1</f>
        <v>197</v>
      </c>
      <c r="B319" s="290" t="s">
        <v>1228</v>
      </c>
      <c r="C319" s="285" t="s">
        <v>220</v>
      </c>
      <c r="D319" s="298">
        <v>44</v>
      </c>
      <c r="E319" s="170">
        <v>153.03610799999998</v>
      </c>
      <c r="F319" s="288">
        <f>ROUND(E319*D319,2)</f>
        <v>6733.59</v>
      </c>
      <c r="G319" s="288">
        <f t="shared" si="109"/>
        <v>8080.31</v>
      </c>
      <c r="H319" s="317" t="s">
        <v>1269</v>
      </c>
      <c r="J319" s="438"/>
      <c r="K319" s="438">
        <f t="shared" si="91"/>
        <v>0</v>
      </c>
    </row>
    <row r="320" spans="1:11" s="316" customFormat="1" ht="15.6" x14ac:dyDescent="0.3">
      <c r="A320" s="285">
        <f>A319+1</f>
        <v>198</v>
      </c>
      <c r="B320" s="290" t="s">
        <v>1229</v>
      </c>
      <c r="C320" s="285" t="s">
        <v>220</v>
      </c>
      <c r="D320" s="298">
        <v>22</v>
      </c>
      <c r="E320" s="170">
        <v>48.628295999999999</v>
      </c>
      <c r="F320" s="288">
        <f>ROUND(E320*D320,2)</f>
        <v>1069.82</v>
      </c>
      <c r="G320" s="288">
        <f t="shared" si="109"/>
        <v>1283.78</v>
      </c>
      <c r="H320" s="317" t="s">
        <v>1270</v>
      </c>
      <c r="J320" s="438"/>
      <c r="K320" s="438">
        <f t="shared" si="91"/>
        <v>0</v>
      </c>
    </row>
    <row r="321" spans="1:11" s="316" customFormat="1" ht="15.6" x14ac:dyDescent="0.3">
      <c r="A321" s="285">
        <f t="shared" ref="A321" si="110">A320+1</f>
        <v>199</v>
      </c>
      <c r="B321" s="290" t="s">
        <v>1230</v>
      </c>
      <c r="C321" s="285" t="s">
        <v>220</v>
      </c>
      <c r="D321" s="298">
        <v>44</v>
      </c>
      <c r="E321" s="170">
        <v>293.20002000000005</v>
      </c>
      <c r="F321" s="288">
        <f>ROUND(E321*D321,2)</f>
        <v>12900.8</v>
      </c>
      <c r="G321" s="288">
        <f t="shared" si="109"/>
        <v>15480.96</v>
      </c>
      <c r="H321" s="317" t="s">
        <v>1271</v>
      </c>
      <c r="J321" s="438"/>
      <c r="K321" s="438">
        <f t="shared" si="91"/>
        <v>0</v>
      </c>
    </row>
    <row r="322" spans="1:11" s="316" customFormat="1" ht="22.5" customHeight="1" x14ac:dyDescent="0.3">
      <c r="A322" s="285"/>
      <c r="B322" s="302" t="s">
        <v>1232</v>
      </c>
      <c r="C322" s="285"/>
      <c r="D322" s="287"/>
      <c r="E322" s="170">
        <v>0</v>
      </c>
      <c r="F322" s="288"/>
      <c r="G322" s="288"/>
      <c r="J322" s="438"/>
      <c r="K322" s="438">
        <f t="shared" si="91"/>
        <v>0</v>
      </c>
    </row>
    <row r="323" spans="1:11" s="316" customFormat="1" ht="15.6" x14ac:dyDescent="0.3">
      <c r="A323" s="285">
        <f>A321+1</f>
        <v>200</v>
      </c>
      <c r="B323" s="290" t="s">
        <v>1233</v>
      </c>
      <c r="C323" s="285" t="s">
        <v>431</v>
      </c>
      <c r="D323" s="298">
        <v>520</v>
      </c>
      <c r="E323" s="170">
        <v>223.11806399999998</v>
      </c>
      <c r="F323" s="288">
        <f>ROUND(E323*D323,2)</f>
        <v>116021.39</v>
      </c>
      <c r="G323" s="288">
        <f t="shared" ref="G323" si="111">ROUND(F323*1.2,2)</f>
        <v>139225.67000000001</v>
      </c>
      <c r="J323" s="438"/>
      <c r="K323" s="438">
        <f t="shared" si="91"/>
        <v>0</v>
      </c>
    </row>
    <row r="324" spans="1:11" s="517" customFormat="1" ht="22.5" customHeight="1" x14ac:dyDescent="0.3">
      <c r="A324" s="514"/>
      <c r="B324" s="426" t="s">
        <v>1238</v>
      </c>
      <c r="C324" s="161"/>
      <c r="D324" s="161"/>
      <c r="E324" s="161"/>
      <c r="F324" s="522"/>
      <c r="G324" s="522"/>
      <c r="J324" s="438"/>
      <c r="K324" s="438">
        <f t="shared" si="91"/>
        <v>0</v>
      </c>
    </row>
    <row r="325" spans="1:11" s="517" customFormat="1" ht="15.6" x14ac:dyDescent="0.3">
      <c r="A325" s="65"/>
      <c r="B325" s="61" t="s">
        <v>625</v>
      </c>
      <c r="C325" s="65"/>
      <c r="D325" s="67"/>
      <c r="E325" s="170">
        <v>0</v>
      </c>
      <c r="F325" s="160"/>
      <c r="G325" s="523"/>
      <c r="J325" s="438"/>
      <c r="K325" s="438">
        <f t="shared" si="91"/>
        <v>0</v>
      </c>
    </row>
    <row r="326" spans="1:11" s="517" customFormat="1" ht="41.4" x14ac:dyDescent="0.3">
      <c r="A326" s="65">
        <f>A323+1</f>
        <v>201</v>
      </c>
      <c r="B326" s="66" t="s">
        <v>1236</v>
      </c>
      <c r="C326" s="65" t="s">
        <v>194</v>
      </c>
      <c r="D326" s="70">
        <f>450+30</f>
        <v>480</v>
      </c>
      <c r="E326" s="170">
        <v>413.34051599999998</v>
      </c>
      <c r="F326" s="202">
        <f>ROUND(E326*D326,2)</f>
        <v>198403.45</v>
      </c>
      <c r="G326" s="202">
        <f t="shared" ref="G326:G328" si="112">ROUND(F326*1.2,2)</f>
        <v>238084.14</v>
      </c>
      <c r="J326" s="438">
        <v>0</v>
      </c>
      <c r="K326" s="438">
        <f t="shared" ref="K326:K385" si="113">E326*J326*1.2</f>
        <v>0</v>
      </c>
    </row>
    <row r="327" spans="1:11" s="517" customFormat="1" ht="15.6" x14ac:dyDescent="0.3">
      <c r="A327" s="65">
        <f>A326+1</f>
        <v>202</v>
      </c>
      <c r="B327" s="66" t="s">
        <v>693</v>
      </c>
      <c r="C327" s="65" t="s">
        <v>194</v>
      </c>
      <c r="D327" s="70">
        <v>80</v>
      </c>
      <c r="E327" s="170">
        <v>540.63223199999993</v>
      </c>
      <c r="F327" s="202">
        <f>ROUND(E327*D327,2)</f>
        <v>43250.58</v>
      </c>
      <c r="G327" s="202">
        <f t="shared" si="112"/>
        <v>51900.7</v>
      </c>
      <c r="J327" s="438">
        <v>0</v>
      </c>
      <c r="K327" s="438">
        <f t="shared" si="113"/>
        <v>0</v>
      </c>
    </row>
    <row r="328" spans="1:11" s="517" customFormat="1" ht="15.6" x14ac:dyDescent="0.3">
      <c r="A328" s="65">
        <f t="shared" ref="A328" si="114">A327+1</f>
        <v>203</v>
      </c>
      <c r="B328" s="66" t="s">
        <v>1240</v>
      </c>
      <c r="C328" s="65" t="s">
        <v>220</v>
      </c>
      <c r="D328" s="70">
        <v>4</v>
      </c>
      <c r="E328" s="170">
        <v>17938.120247999999</v>
      </c>
      <c r="F328" s="202">
        <f>ROUND(E328*D328,2)</f>
        <v>71752.479999999996</v>
      </c>
      <c r="G328" s="202">
        <f t="shared" si="112"/>
        <v>86102.98</v>
      </c>
      <c r="J328" s="438">
        <v>0</v>
      </c>
      <c r="K328" s="438">
        <f t="shared" si="113"/>
        <v>0</v>
      </c>
    </row>
    <row r="329" spans="1:11" s="517" customFormat="1" ht="15.6" x14ac:dyDescent="0.3">
      <c r="A329" s="285">
        <f>A328+1</f>
        <v>204</v>
      </c>
      <c r="B329" s="290" t="s">
        <v>1237</v>
      </c>
      <c r="C329" s="285" t="s">
        <v>220</v>
      </c>
      <c r="D329" s="298">
        <v>1</v>
      </c>
      <c r="E329" s="170">
        <v>2826.24795864</v>
      </c>
      <c r="F329" s="300">
        <f>ROUND(E329*D329,2)</f>
        <v>2826.25</v>
      </c>
      <c r="G329" s="300">
        <f t="shared" ref="G329" si="115">ROUND(F329*1.2,2)</f>
        <v>3391.5</v>
      </c>
      <c r="J329" s="438">
        <v>0</v>
      </c>
      <c r="K329" s="438">
        <f t="shared" si="113"/>
        <v>0</v>
      </c>
    </row>
    <row r="330" spans="1:11" ht="23.25" customHeight="1" x14ac:dyDescent="0.3">
      <c r="A330" s="153"/>
      <c r="B330" s="172" t="s">
        <v>1239</v>
      </c>
      <c r="C330" s="161"/>
      <c r="D330" s="161"/>
      <c r="E330" s="161"/>
      <c r="F330" s="155"/>
      <c r="G330" s="155"/>
      <c r="J330" s="438"/>
      <c r="K330" s="438">
        <f t="shared" si="113"/>
        <v>0</v>
      </c>
    </row>
    <row r="331" spans="1:11" ht="15.6" x14ac:dyDescent="0.3">
      <c r="A331" s="65"/>
      <c r="B331" s="61" t="s">
        <v>632</v>
      </c>
      <c r="C331" s="65"/>
      <c r="D331" s="67"/>
      <c r="E331" s="170">
        <v>0</v>
      </c>
      <c r="F331" s="160"/>
      <c r="G331" s="168"/>
      <c r="J331" s="438"/>
      <c r="K331" s="438">
        <f t="shared" si="113"/>
        <v>0</v>
      </c>
    </row>
    <row r="332" spans="1:11" ht="15.6" x14ac:dyDescent="0.3">
      <c r="A332" s="65">
        <f>A329+1</f>
        <v>205</v>
      </c>
      <c r="B332" s="66" t="s">
        <v>697</v>
      </c>
      <c r="C332" s="65" t="s">
        <v>194</v>
      </c>
      <c r="D332" s="70">
        <v>180</v>
      </c>
      <c r="E332" s="170">
        <v>251.72294399999998</v>
      </c>
      <c r="F332" s="101">
        <f t="shared" ref="F332:F337" si="116">ROUND(E332*D332,2)</f>
        <v>45310.13</v>
      </c>
      <c r="G332" s="101">
        <f t="shared" ref="G332:G385" si="117">ROUND(F332*1.2,2)</f>
        <v>54372.160000000003</v>
      </c>
      <c r="J332" s="438"/>
      <c r="K332" s="438">
        <f t="shared" si="113"/>
        <v>0</v>
      </c>
    </row>
    <row r="333" spans="1:11" ht="15.6" x14ac:dyDescent="0.3">
      <c r="A333" s="65">
        <f>A332+1</f>
        <v>206</v>
      </c>
      <c r="B333" s="66" t="s">
        <v>698</v>
      </c>
      <c r="C333" s="65" t="s">
        <v>194</v>
      </c>
      <c r="D333" s="70">
        <v>120</v>
      </c>
      <c r="E333" s="170">
        <v>120.140496</v>
      </c>
      <c r="F333" s="101">
        <f t="shared" si="116"/>
        <v>14416.86</v>
      </c>
      <c r="G333" s="101">
        <f t="shared" si="117"/>
        <v>17300.23</v>
      </c>
      <c r="J333" s="438"/>
      <c r="K333" s="438">
        <f t="shared" si="113"/>
        <v>0</v>
      </c>
    </row>
    <row r="334" spans="1:11" ht="15.6" x14ac:dyDescent="0.3">
      <c r="A334" s="65">
        <f>A333+1</f>
        <v>207</v>
      </c>
      <c r="B334" s="66" t="s">
        <v>630</v>
      </c>
      <c r="C334" s="65" t="s">
        <v>194</v>
      </c>
      <c r="D334" s="70">
        <v>12</v>
      </c>
      <c r="E334" s="170">
        <v>10110.394835999999</v>
      </c>
      <c r="F334" s="101">
        <f t="shared" si="116"/>
        <v>121324.74</v>
      </c>
      <c r="G334" s="101">
        <f t="shared" si="117"/>
        <v>145589.69</v>
      </c>
      <c r="J334" s="438"/>
      <c r="K334" s="438">
        <f t="shared" si="113"/>
        <v>0</v>
      </c>
    </row>
    <row r="335" spans="1:11" ht="15.6" x14ac:dyDescent="0.3">
      <c r="A335" s="65">
        <f t="shared" ref="A335:A337" si="118">A334+1</f>
        <v>208</v>
      </c>
      <c r="B335" s="66" t="s">
        <v>631</v>
      </c>
      <c r="C335" s="65" t="s">
        <v>194</v>
      </c>
      <c r="D335" s="70">
        <v>180</v>
      </c>
      <c r="E335" s="170">
        <v>220.25757599999997</v>
      </c>
      <c r="F335" s="101">
        <f t="shared" si="116"/>
        <v>39646.36</v>
      </c>
      <c r="G335" s="101">
        <f t="shared" si="117"/>
        <v>47575.63</v>
      </c>
      <c r="J335" s="438"/>
      <c r="K335" s="438">
        <f t="shared" si="113"/>
        <v>0</v>
      </c>
    </row>
    <row r="336" spans="1:11" ht="15.6" x14ac:dyDescent="0.3">
      <c r="A336" s="285">
        <f t="shared" si="118"/>
        <v>209</v>
      </c>
      <c r="B336" s="314" t="s">
        <v>1242</v>
      </c>
      <c r="C336" s="285" t="s">
        <v>194</v>
      </c>
      <c r="D336" s="298">
        <v>60</v>
      </c>
      <c r="E336" s="170">
        <v>26.388001800000001</v>
      </c>
      <c r="F336" s="288">
        <f t="shared" si="116"/>
        <v>1583.28</v>
      </c>
      <c r="G336" s="288">
        <f t="shared" si="117"/>
        <v>1899.94</v>
      </c>
      <c r="J336" s="438"/>
      <c r="K336" s="438">
        <f t="shared" si="113"/>
        <v>0</v>
      </c>
    </row>
    <row r="337" spans="1:11" ht="15.6" x14ac:dyDescent="0.3">
      <c r="A337" s="285">
        <f t="shared" si="118"/>
        <v>210</v>
      </c>
      <c r="B337" s="314" t="s">
        <v>1243</v>
      </c>
      <c r="C337" s="285" t="s">
        <v>220</v>
      </c>
      <c r="D337" s="298">
        <v>1</v>
      </c>
      <c r="E337" s="170">
        <v>2826.24795864</v>
      </c>
      <c r="F337" s="288">
        <f t="shared" si="116"/>
        <v>2826.25</v>
      </c>
      <c r="G337" s="288">
        <f t="shared" si="117"/>
        <v>3391.5</v>
      </c>
      <c r="J337" s="438"/>
      <c r="K337" s="438">
        <f t="shared" si="113"/>
        <v>0</v>
      </c>
    </row>
    <row r="338" spans="1:11" ht="15.6" x14ac:dyDescent="0.3">
      <c r="A338" s="285"/>
      <c r="B338" s="302" t="s">
        <v>513</v>
      </c>
      <c r="C338" s="285"/>
      <c r="D338" s="298"/>
      <c r="E338" s="170">
        <v>0</v>
      </c>
      <c r="F338" s="288"/>
      <c r="G338" s="288"/>
      <c r="J338" s="438"/>
      <c r="K338" s="438">
        <f t="shared" si="113"/>
        <v>0</v>
      </c>
    </row>
    <row r="339" spans="1:11" ht="15.6" x14ac:dyDescent="0.3">
      <c r="A339" s="65">
        <f>A337+1</f>
        <v>211</v>
      </c>
      <c r="B339" s="66" t="s">
        <v>695</v>
      </c>
      <c r="C339" s="65" t="s">
        <v>193</v>
      </c>
      <c r="D339" s="67">
        <v>72</v>
      </c>
      <c r="E339" s="170">
        <v>2541.5435879999995</v>
      </c>
      <c r="F339" s="101">
        <f>ROUND(E339*D339,2)</f>
        <v>182991.14</v>
      </c>
      <c r="G339" s="101">
        <f t="shared" si="117"/>
        <v>219589.37</v>
      </c>
      <c r="J339" s="438"/>
      <c r="K339" s="438">
        <f t="shared" si="113"/>
        <v>0</v>
      </c>
    </row>
    <row r="340" spans="1:11" ht="15.6" x14ac:dyDescent="0.3">
      <c r="A340" s="65">
        <f>A339+1</f>
        <v>212</v>
      </c>
      <c r="B340" s="66" t="s">
        <v>696</v>
      </c>
      <c r="C340" s="65" t="s">
        <v>193</v>
      </c>
      <c r="D340" s="67">
        <v>55.4</v>
      </c>
      <c r="E340" s="170">
        <v>1285.789356</v>
      </c>
      <c r="F340" s="101">
        <f>ROUND(E340*D340,2)</f>
        <v>71232.73</v>
      </c>
      <c r="G340" s="101">
        <f t="shared" si="117"/>
        <v>85479.28</v>
      </c>
      <c r="J340" s="438"/>
      <c r="K340" s="438">
        <f t="shared" si="113"/>
        <v>0</v>
      </c>
    </row>
    <row r="341" spans="1:11" ht="15.6" x14ac:dyDescent="0.3">
      <c r="A341" s="65">
        <f>A340+1</f>
        <v>213</v>
      </c>
      <c r="B341" s="66" t="s">
        <v>1116</v>
      </c>
      <c r="C341" s="65" t="s">
        <v>193</v>
      </c>
      <c r="D341" s="67">
        <v>16.7</v>
      </c>
      <c r="E341" s="170">
        <v>1972.306476</v>
      </c>
      <c r="F341" s="101">
        <f>ROUND(E341*D341,2)</f>
        <v>32937.519999999997</v>
      </c>
      <c r="G341" s="101">
        <f t="shared" ref="G341" si="119">ROUND(F341*1.2,2)</f>
        <v>39525.019999999997</v>
      </c>
      <c r="J341" s="438"/>
      <c r="K341" s="438">
        <f t="shared" si="113"/>
        <v>0</v>
      </c>
    </row>
    <row r="342" spans="1:11" ht="15.6" x14ac:dyDescent="0.3">
      <c r="A342" s="65">
        <f>A341+1</f>
        <v>214</v>
      </c>
      <c r="B342" s="66" t="s">
        <v>518</v>
      </c>
      <c r="C342" s="65" t="s">
        <v>239</v>
      </c>
      <c r="D342" s="67">
        <f>16.7*1.75</f>
        <v>29.224999999999998</v>
      </c>
      <c r="E342" s="170">
        <v>464.82929999999999</v>
      </c>
      <c r="F342" s="101">
        <f>ROUND(E342*D342,2)</f>
        <v>13584.64</v>
      </c>
      <c r="G342" s="101">
        <f t="shared" si="117"/>
        <v>16301.57</v>
      </c>
      <c r="J342" s="438"/>
      <c r="K342" s="438">
        <f t="shared" si="113"/>
        <v>0</v>
      </c>
    </row>
    <row r="343" spans="1:11" ht="15.6" x14ac:dyDescent="0.3">
      <c r="A343" s="453">
        <f t="shared" ref="A343" si="120">A342+1</f>
        <v>215</v>
      </c>
      <c r="B343" s="66" t="s">
        <v>503</v>
      </c>
      <c r="C343" s="65" t="s">
        <v>239</v>
      </c>
      <c r="D343" s="67">
        <f>16.7*1.75</f>
        <v>29.224999999999998</v>
      </c>
      <c r="E343" s="170">
        <f>'искл-свод'!B2</f>
        <v>1361.6</v>
      </c>
      <c r="F343" s="101">
        <f>ROUND(E343*D343,2)</f>
        <v>39792.76</v>
      </c>
      <c r="G343" s="101">
        <f t="shared" si="117"/>
        <v>47751.31</v>
      </c>
      <c r="J343" s="438"/>
      <c r="K343" s="438">
        <f t="shared" si="113"/>
        <v>0</v>
      </c>
    </row>
    <row r="344" spans="1:11" ht="15.6" x14ac:dyDescent="0.3">
      <c r="A344" s="65"/>
      <c r="B344" s="61" t="s">
        <v>636</v>
      </c>
      <c r="C344" s="65"/>
      <c r="D344" s="67"/>
      <c r="E344" s="170">
        <v>0</v>
      </c>
      <c r="F344" s="101"/>
      <c r="G344" s="101"/>
      <c r="J344" s="438"/>
      <c r="K344" s="438">
        <f t="shared" si="113"/>
        <v>0</v>
      </c>
    </row>
    <row r="345" spans="1:11" ht="15.6" x14ac:dyDescent="0.3">
      <c r="A345" s="65">
        <f>A340+1</f>
        <v>213</v>
      </c>
      <c r="B345" s="66" t="s">
        <v>699</v>
      </c>
      <c r="C345" s="65" t="s">
        <v>194</v>
      </c>
      <c r="D345" s="70">
        <v>60</v>
      </c>
      <c r="E345" s="170">
        <v>251.72294399999998</v>
      </c>
      <c r="F345" s="101">
        <f t="shared" ref="F345:F350" si="121">ROUND(E345*D345,2)</f>
        <v>15103.38</v>
      </c>
      <c r="G345" s="101">
        <f t="shared" si="117"/>
        <v>18124.060000000001</v>
      </c>
      <c r="J345" s="438"/>
      <c r="K345" s="438">
        <f t="shared" si="113"/>
        <v>0</v>
      </c>
    </row>
    <row r="346" spans="1:11" ht="15.6" x14ac:dyDescent="0.3">
      <c r="A346" s="65">
        <f t="shared" ref="A346:A350" si="122">A345+1</f>
        <v>214</v>
      </c>
      <c r="B346" s="66" t="s">
        <v>700</v>
      </c>
      <c r="C346" s="65" t="s">
        <v>194</v>
      </c>
      <c r="D346" s="70">
        <v>20</v>
      </c>
      <c r="E346" s="170">
        <v>120.140496</v>
      </c>
      <c r="F346" s="101">
        <f t="shared" si="121"/>
        <v>2402.81</v>
      </c>
      <c r="G346" s="101">
        <f t="shared" si="117"/>
        <v>2883.37</v>
      </c>
      <c r="J346" s="438"/>
      <c r="K346" s="438">
        <f t="shared" si="113"/>
        <v>0</v>
      </c>
    </row>
    <row r="347" spans="1:11" ht="15.6" x14ac:dyDescent="0.3">
      <c r="A347" s="65">
        <f t="shared" si="122"/>
        <v>215</v>
      </c>
      <c r="B347" s="66" t="s">
        <v>630</v>
      </c>
      <c r="C347" s="65" t="s">
        <v>194</v>
      </c>
      <c r="D347" s="70">
        <v>4</v>
      </c>
      <c r="E347" s="170">
        <v>10110.394835999999</v>
      </c>
      <c r="F347" s="101">
        <f t="shared" si="121"/>
        <v>40441.58</v>
      </c>
      <c r="G347" s="101">
        <f t="shared" si="117"/>
        <v>48529.9</v>
      </c>
      <c r="J347" s="438"/>
      <c r="K347" s="438">
        <f t="shared" si="113"/>
        <v>0</v>
      </c>
    </row>
    <row r="348" spans="1:11" ht="15.6" x14ac:dyDescent="0.3">
      <c r="A348" s="65">
        <f t="shared" si="122"/>
        <v>216</v>
      </c>
      <c r="B348" s="66" t="s">
        <v>631</v>
      </c>
      <c r="C348" s="65" t="s">
        <v>194</v>
      </c>
      <c r="D348" s="70">
        <v>60</v>
      </c>
      <c r="E348" s="170">
        <v>220.25757599999997</v>
      </c>
      <c r="F348" s="101">
        <f t="shared" si="121"/>
        <v>13215.45</v>
      </c>
      <c r="G348" s="101">
        <f t="shared" si="117"/>
        <v>15858.54</v>
      </c>
      <c r="J348" s="438"/>
      <c r="K348" s="438">
        <f t="shared" si="113"/>
        <v>0</v>
      </c>
    </row>
    <row r="349" spans="1:11" ht="15.6" x14ac:dyDescent="0.3">
      <c r="A349" s="285">
        <f t="shared" si="122"/>
        <v>217</v>
      </c>
      <c r="B349" s="314" t="s">
        <v>1242</v>
      </c>
      <c r="C349" s="285" t="s">
        <v>194</v>
      </c>
      <c r="D349" s="298">
        <v>30</v>
      </c>
      <c r="E349" s="170">
        <v>26.388001800000001</v>
      </c>
      <c r="F349" s="288">
        <f t="shared" si="121"/>
        <v>791.64</v>
      </c>
      <c r="G349" s="288">
        <f t="shared" ref="G349:G350" si="123">ROUND(F349*1.2,2)</f>
        <v>949.97</v>
      </c>
      <c r="J349" s="438"/>
      <c r="K349" s="438">
        <f t="shared" si="113"/>
        <v>0</v>
      </c>
    </row>
    <row r="350" spans="1:11" ht="15.6" x14ac:dyDescent="0.3">
      <c r="A350" s="285">
        <f t="shared" si="122"/>
        <v>218</v>
      </c>
      <c r="B350" s="314" t="s">
        <v>1243</v>
      </c>
      <c r="C350" s="285" t="s">
        <v>220</v>
      </c>
      <c r="D350" s="298">
        <v>1</v>
      </c>
      <c r="E350" s="170">
        <v>2826.24795864</v>
      </c>
      <c r="F350" s="288">
        <f t="shared" si="121"/>
        <v>2826.25</v>
      </c>
      <c r="G350" s="288">
        <f t="shared" si="123"/>
        <v>3391.5</v>
      </c>
      <c r="J350" s="438"/>
      <c r="K350" s="438">
        <f t="shared" si="113"/>
        <v>0</v>
      </c>
    </row>
    <row r="351" spans="1:11" ht="15.6" x14ac:dyDescent="0.3">
      <c r="A351" s="65"/>
      <c r="B351" s="61" t="s">
        <v>513</v>
      </c>
      <c r="C351" s="65"/>
      <c r="D351" s="70"/>
      <c r="E351" s="170">
        <v>0</v>
      </c>
      <c r="F351" s="101"/>
      <c r="G351" s="101"/>
      <c r="J351" s="438"/>
      <c r="K351" s="438">
        <f t="shared" si="113"/>
        <v>0</v>
      </c>
    </row>
    <row r="352" spans="1:11" ht="15.6" x14ac:dyDescent="0.3">
      <c r="A352" s="65">
        <f>A348+1</f>
        <v>217</v>
      </c>
      <c r="B352" s="66" t="s">
        <v>695</v>
      </c>
      <c r="C352" s="65" t="s">
        <v>193</v>
      </c>
      <c r="D352" s="67">
        <v>25.2</v>
      </c>
      <c r="E352" s="170">
        <v>2541.5435879999995</v>
      </c>
      <c r="F352" s="101">
        <f>ROUND(E352*D352,2)</f>
        <v>64046.9</v>
      </c>
      <c r="G352" s="101">
        <f t="shared" si="117"/>
        <v>76856.28</v>
      </c>
      <c r="J352" s="438"/>
      <c r="K352" s="438">
        <f t="shared" si="113"/>
        <v>0</v>
      </c>
    </row>
    <row r="353" spans="1:11" ht="15.6" x14ac:dyDescent="0.3">
      <c r="A353" s="65">
        <f>A352+1</f>
        <v>218</v>
      </c>
      <c r="B353" s="66" t="s">
        <v>696</v>
      </c>
      <c r="C353" s="65" t="s">
        <v>193</v>
      </c>
      <c r="D353" s="67">
        <v>19.600000000000001</v>
      </c>
      <c r="E353" s="170">
        <v>1285.789356</v>
      </c>
      <c r="F353" s="101">
        <f>ROUND(E353*D353,2)</f>
        <v>25201.47</v>
      </c>
      <c r="G353" s="101">
        <f t="shared" si="117"/>
        <v>30241.759999999998</v>
      </c>
      <c r="J353" s="438"/>
      <c r="K353" s="438">
        <f t="shared" si="113"/>
        <v>0</v>
      </c>
    </row>
    <row r="354" spans="1:11" ht="15.6" x14ac:dyDescent="0.3">
      <c r="A354" s="65">
        <f>A353+1</f>
        <v>219</v>
      </c>
      <c r="B354" s="66" t="s">
        <v>1116</v>
      </c>
      <c r="C354" s="65" t="s">
        <v>193</v>
      </c>
      <c r="D354" s="67">
        <v>5.6</v>
      </c>
      <c r="E354" s="170">
        <v>1972.306476</v>
      </c>
      <c r="F354" s="101">
        <f>ROUND(E354*D354,2)</f>
        <v>11044.92</v>
      </c>
      <c r="G354" s="101">
        <f t="shared" si="117"/>
        <v>13253.9</v>
      </c>
      <c r="J354" s="438"/>
      <c r="K354" s="438">
        <f t="shared" si="113"/>
        <v>0</v>
      </c>
    </row>
    <row r="355" spans="1:11" ht="15.6" x14ac:dyDescent="0.3">
      <c r="A355" s="65">
        <f>A353+1</f>
        <v>219</v>
      </c>
      <c r="B355" s="66" t="s">
        <v>518</v>
      </c>
      <c r="C355" s="65" t="s">
        <v>239</v>
      </c>
      <c r="D355" s="67">
        <f>5.6*1.75</f>
        <v>9.7999999999999989</v>
      </c>
      <c r="E355" s="170">
        <v>464.82929999999999</v>
      </c>
      <c r="F355" s="101">
        <f>ROUND(E355*D355,2)</f>
        <v>4555.33</v>
      </c>
      <c r="G355" s="101">
        <f t="shared" ref="G355:G356" si="124">ROUND(F355*1.2,2)</f>
        <v>5466.4</v>
      </c>
      <c r="J355" s="438"/>
      <c r="K355" s="438">
        <f t="shared" si="113"/>
        <v>0</v>
      </c>
    </row>
    <row r="356" spans="1:11" ht="15.6" x14ac:dyDescent="0.3">
      <c r="A356" s="453">
        <f t="shared" ref="A356" si="125">A355+1</f>
        <v>220</v>
      </c>
      <c r="B356" s="66" t="s">
        <v>503</v>
      </c>
      <c r="C356" s="65" t="s">
        <v>239</v>
      </c>
      <c r="D356" s="67">
        <f>5.6*1.75</f>
        <v>9.7999999999999989</v>
      </c>
      <c r="E356" s="170">
        <f>'искл-свод'!B2</f>
        <v>1361.6</v>
      </c>
      <c r="F356" s="101">
        <f>ROUND(E356*D356,2)</f>
        <v>13343.68</v>
      </c>
      <c r="G356" s="101">
        <f t="shared" si="124"/>
        <v>16012.42</v>
      </c>
      <c r="J356" s="438"/>
      <c r="K356" s="438">
        <f t="shared" si="113"/>
        <v>0</v>
      </c>
    </row>
    <row r="357" spans="1:11" ht="15.6" x14ac:dyDescent="0.3">
      <c r="A357" s="65"/>
      <c r="B357" s="61" t="s">
        <v>628</v>
      </c>
      <c r="C357" s="65"/>
      <c r="D357" s="70"/>
      <c r="E357" s="170">
        <v>0</v>
      </c>
      <c r="F357" s="101"/>
      <c r="G357" s="101"/>
      <c r="J357" s="438"/>
      <c r="K357" s="438">
        <f t="shared" si="113"/>
        <v>0</v>
      </c>
    </row>
    <row r="358" spans="1:11" ht="15.6" x14ac:dyDescent="0.3">
      <c r="A358" s="65">
        <f>A356+1</f>
        <v>221</v>
      </c>
      <c r="B358" s="66" t="s">
        <v>694</v>
      </c>
      <c r="C358" s="65" t="s">
        <v>194</v>
      </c>
      <c r="D358" s="70">
        <v>160</v>
      </c>
      <c r="E358" s="170">
        <v>316.08392399999997</v>
      </c>
      <c r="F358" s="101">
        <f>ROUND(E358*D358,2)</f>
        <v>50573.43</v>
      </c>
      <c r="G358" s="101">
        <f t="shared" ref="G358:G362" si="126">ROUND(F358*1.2,2)</f>
        <v>60688.12</v>
      </c>
      <c r="J358" s="438"/>
      <c r="K358" s="438">
        <f t="shared" si="113"/>
        <v>0</v>
      </c>
    </row>
    <row r="359" spans="1:11" ht="15.6" x14ac:dyDescent="0.3">
      <c r="A359" s="65">
        <f t="shared" ref="A359:A365" si="127">A358+1</f>
        <v>222</v>
      </c>
      <c r="B359" s="66" t="s">
        <v>630</v>
      </c>
      <c r="C359" s="65" t="s">
        <v>220</v>
      </c>
      <c r="D359" s="70">
        <v>16</v>
      </c>
      <c r="E359" s="170">
        <v>10110.394835999999</v>
      </c>
      <c r="F359" s="101">
        <f>ROUND(E359*D359,2)</f>
        <v>161766.32</v>
      </c>
      <c r="G359" s="101">
        <f t="shared" si="126"/>
        <v>194119.58</v>
      </c>
      <c r="J359" s="438"/>
      <c r="K359" s="438">
        <f t="shared" si="113"/>
        <v>0</v>
      </c>
    </row>
    <row r="360" spans="1:11" ht="15.6" x14ac:dyDescent="0.3">
      <c r="A360" s="65">
        <f t="shared" si="127"/>
        <v>223</v>
      </c>
      <c r="B360" s="66" t="s">
        <v>631</v>
      </c>
      <c r="C360" s="65" t="s">
        <v>220</v>
      </c>
      <c r="D360" s="70">
        <v>160</v>
      </c>
      <c r="E360" s="170">
        <v>224.54830799999999</v>
      </c>
      <c r="F360" s="101">
        <f>ROUND(E360*D360,2)</f>
        <v>35927.730000000003</v>
      </c>
      <c r="G360" s="101">
        <f t="shared" si="126"/>
        <v>43113.279999999999</v>
      </c>
      <c r="J360" s="438"/>
      <c r="K360" s="438">
        <f t="shared" si="113"/>
        <v>0</v>
      </c>
    </row>
    <row r="361" spans="1:11" ht="15.6" x14ac:dyDescent="0.3">
      <c r="A361" s="285">
        <f t="shared" si="127"/>
        <v>224</v>
      </c>
      <c r="B361" s="314" t="s">
        <v>1242</v>
      </c>
      <c r="C361" s="285" t="s">
        <v>194</v>
      </c>
      <c r="D361" s="298">
        <v>60</v>
      </c>
      <c r="E361" s="170">
        <v>26.388001800000001</v>
      </c>
      <c r="F361" s="288">
        <f>ROUND(E361*D361,2)</f>
        <v>1583.28</v>
      </c>
      <c r="G361" s="288">
        <f t="shared" si="126"/>
        <v>1899.94</v>
      </c>
      <c r="J361" s="438"/>
      <c r="K361" s="438">
        <f t="shared" si="113"/>
        <v>0</v>
      </c>
    </row>
    <row r="362" spans="1:11" ht="15.6" x14ac:dyDescent="0.3">
      <c r="A362" s="285">
        <f t="shared" si="127"/>
        <v>225</v>
      </c>
      <c r="B362" s="314" t="s">
        <v>1243</v>
      </c>
      <c r="C362" s="285" t="s">
        <v>220</v>
      </c>
      <c r="D362" s="298">
        <v>1</v>
      </c>
      <c r="E362" s="170">
        <v>2826.24795864</v>
      </c>
      <c r="F362" s="288">
        <f>ROUND(E362*D362,2)</f>
        <v>2826.25</v>
      </c>
      <c r="G362" s="288">
        <f t="shared" si="126"/>
        <v>3391.5</v>
      </c>
      <c r="J362" s="438"/>
      <c r="K362" s="438">
        <f t="shared" si="113"/>
        <v>0</v>
      </c>
    </row>
    <row r="363" spans="1:11" ht="15.6" x14ac:dyDescent="0.3">
      <c r="A363" s="65"/>
      <c r="B363" s="61" t="s">
        <v>513</v>
      </c>
      <c r="C363" s="65"/>
      <c r="D363" s="70"/>
      <c r="E363" s="170">
        <v>0</v>
      </c>
      <c r="F363" s="101"/>
      <c r="G363" s="101"/>
      <c r="J363" s="438"/>
      <c r="K363" s="438">
        <f t="shared" si="113"/>
        <v>0</v>
      </c>
    </row>
    <row r="364" spans="1:11" ht="15.6" x14ac:dyDescent="0.3">
      <c r="A364" s="65">
        <f>A360+1</f>
        <v>224</v>
      </c>
      <c r="B364" s="66" t="s">
        <v>695</v>
      </c>
      <c r="C364" s="65" t="s">
        <v>193</v>
      </c>
      <c r="D364" s="67">
        <v>66.400000000000006</v>
      </c>
      <c r="E364" s="170">
        <v>2541.5435879999995</v>
      </c>
      <c r="F364" s="101">
        <f>ROUND(E364*D364,2)</f>
        <v>168758.49</v>
      </c>
      <c r="G364" s="101">
        <f t="shared" ref="G364:G368" si="128">ROUND(F364*1.2,2)</f>
        <v>202510.19</v>
      </c>
      <c r="J364" s="438"/>
      <c r="K364" s="438">
        <f t="shared" si="113"/>
        <v>0</v>
      </c>
    </row>
    <row r="365" spans="1:11" ht="15.6" x14ac:dyDescent="0.3">
      <c r="A365" s="65">
        <f t="shared" si="127"/>
        <v>225</v>
      </c>
      <c r="B365" s="66" t="s">
        <v>696</v>
      </c>
      <c r="C365" s="65" t="s">
        <v>193</v>
      </c>
      <c r="D365" s="67">
        <v>51.4</v>
      </c>
      <c r="E365" s="170">
        <v>1285.789356</v>
      </c>
      <c r="F365" s="101">
        <f>ROUND(E365*D365,2)</f>
        <v>66089.570000000007</v>
      </c>
      <c r="G365" s="101">
        <f t="shared" si="128"/>
        <v>79307.48</v>
      </c>
      <c r="J365" s="438"/>
      <c r="K365" s="438">
        <f t="shared" si="113"/>
        <v>0</v>
      </c>
    </row>
    <row r="366" spans="1:11" ht="15.6" x14ac:dyDescent="0.3">
      <c r="A366" s="65">
        <f>A365+1</f>
        <v>226</v>
      </c>
      <c r="B366" s="66" t="s">
        <v>1116</v>
      </c>
      <c r="C366" s="65" t="s">
        <v>193</v>
      </c>
      <c r="D366" s="67">
        <v>15</v>
      </c>
      <c r="E366" s="170">
        <v>1972.306476</v>
      </c>
      <c r="F366" s="101">
        <f>ROUND(E366*D366,2)</f>
        <v>29584.6</v>
      </c>
      <c r="G366" s="101">
        <f t="shared" si="128"/>
        <v>35501.519999999997</v>
      </c>
      <c r="J366" s="438"/>
      <c r="K366" s="438">
        <f t="shared" si="113"/>
        <v>0</v>
      </c>
    </row>
    <row r="367" spans="1:11" ht="15.6" x14ac:dyDescent="0.3">
      <c r="A367" s="65">
        <f>A365+1</f>
        <v>226</v>
      </c>
      <c r="B367" s="66" t="s">
        <v>518</v>
      </c>
      <c r="C367" s="65" t="s">
        <v>239</v>
      </c>
      <c r="D367" s="67">
        <f>15*1.75</f>
        <v>26.25</v>
      </c>
      <c r="E367" s="170">
        <v>464.82929999999999</v>
      </c>
      <c r="F367" s="101">
        <f>ROUND(E367*D367,2)</f>
        <v>12201.77</v>
      </c>
      <c r="G367" s="101">
        <f t="shared" si="128"/>
        <v>14642.12</v>
      </c>
      <c r="J367" s="438"/>
      <c r="K367" s="438">
        <f t="shared" si="113"/>
        <v>0</v>
      </c>
    </row>
    <row r="368" spans="1:11" ht="15.6" x14ac:dyDescent="0.3">
      <c r="A368" s="453">
        <f t="shared" ref="A368" si="129">A367+1</f>
        <v>227</v>
      </c>
      <c r="B368" s="66" t="s">
        <v>503</v>
      </c>
      <c r="C368" s="65" t="s">
        <v>239</v>
      </c>
      <c r="D368" s="67">
        <f>15*1.75</f>
        <v>26.25</v>
      </c>
      <c r="E368" s="170">
        <f>'искл-свод'!B2</f>
        <v>1361.6</v>
      </c>
      <c r="F368" s="101">
        <f>ROUND(E368*D368,2)</f>
        <v>35742</v>
      </c>
      <c r="G368" s="101">
        <f t="shared" si="128"/>
        <v>42890.400000000001</v>
      </c>
      <c r="J368" s="438"/>
      <c r="K368" s="438">
        <f t="shared" si="113"/>
        <v>0</v>
      </c>
    </row>
    <row r="369" spans="1:11" ht="15.6" x14ac:dyDescent="0.3">
      <c r="A369" s="65"/>
      <c r="B369" s="61" t="s">
        <v>638</v>
      </c>
      <c r="C369" s="65"/>
      <c r="D369" s="67"/>
      <c r="E369" s="170">
        <v>0</v>
      </c>
      <c r="F369" s="101"/>
      <c r="G369" s="101"/>
      <c r="J369" s="438"/>
      <c r="K369" s="438">
        <f t="shared" si="113"/>
        <v>0</v>
      </c>
    </row>
    <row r="370" spans="1:11" ht="15.6" x14ac:dyDescent="0.3">
      <c r="A370" s="65">
        <f>A353+1</f>
        <v>219</v>
      </c>
      <c r="B370" s="66" t="s">
        <v>701</v>
      </c>
      <c r="C370" s="65" t="s">
        <v>194</v>
      </c>
      <c r="D370" s="70">
        <v>50</v>
      </c>
      <c r="E370" s="170">
        <v>174.489768</v>
      </c>
      <c r="F370" s="101">
        <f t="shared" ref="F370:F379" si="130">ROUND(E370*D370,2)</f>
        <v>8724.49</v>
      </c>
      <c r="G370" s="101">
        <f t="shared" si="117"/>
        <v>10469.39</v>
      </c>
      <c r="J370" s="438"/>
      <c r="K370" s="438">
        <f t="shared" si="113"/>
        <v>0</v>
      </c>
    </row>
    <row r="371" spans="1:11" ht="15.6" x14ac:dyDescent="0.3">
      <c r="A371" s="285">
        <f>A370+1</f>
        <v>220</v>
      </c>
      <c r="B371" s="290" t="s">
        <v>1245</v>
      </c>
      <c r="C371" s="285" t="s">
        <v>194</v>
      </c>
      <c r="D371" s="298">
        <v>160</v>
      </c>
      <c r="E371" s="170">
        <v>190.22245199999998</v>
      </c>
      <c r="F371" s="288">
        <f t="shared" si="130"/>
        <v>30435.59</v>
      </c>
      <c r="G371" s="288">
        <f t="shared" si="117"/>
        <v>36522.71</v>
      </c>
      <c r="J371" s="438"/>
      <c r="K371" s="438">
        <f t="shared" si="113"/>
        <v>0</v>
      </c>
    </row>
    <row r="372" spans="1:11" ht="15.6" x14ac:dyDescent="0.3">
      <c r="A372" s="285">
        <f t="shared" ref="A372:A379" si="131">A371+1</f>
        <v>221</v>
      </c>
      <c r="B372" s="290" t="s">
        <v>694</v>
      </c>
      <c r="C372" s="285" t="s">
        <v>194</v>
      </c>
      <c r="D372" s="298">
        <v>210</v>
      </c>
      <c r="E372" s="170">
        <v>316.08392399999997</v>
      </c>
      <c r="F372" s="288">
        <f t="shared" si="130"/>
        <v>66377.62</v>
      </c>
      <c r="G372" s="288">
        <f t="shared" si="117"/>
        <v>79653.14</v>
      </c>
      <c r="J372" s="438"/>
      <c r="K372" s="438">
        <f t="shared" si="113"/>
        <v>0</v>
      </c>
    </row>
    <row r="373" spans="1:11" ht="15.6" x14ac:dyDescent="0.3">
      <c r="A373" s="285">
        <f t="shared" si="131"/>
        <v>222</v>
      </c>
      <c r="B373" s="290" t="s">
        <v>702</v>
      </c>
      <c r="C373" s="285" t="s">
        <v>220</v>
      </c>
      <c r="D373" s="298">
        <v>2</v>
      </c>
      <c r="E373" s="170">
        <v>10110.394835999999</v>
      </c>
      <c r="F373" s="288">
        <f t="shared" si="130"/>
        <v>20220.79</v>
      </c>
      <c r="G373" s="288">
        <f t="shared" si="117"/>
        <v>24264.95</v>
      </c>
      <c r="J373" s="438"/>
      <c r="K373" s="438">
        <f t="shared" si="113"/>
        <v>0</v>
      </c>
    </row>
    <row r="374" spans="1:11" ht="15.6" x14ac:dyDescent="0.3">
      <c r="A374" s="285">
        <f t="shared" si="131"/>
        <v>223</v>
      </c>
      <c r="B374" s="290" t="s">
        <v>1244</v>
      </c>
      <c r="C374" s="285" t="s">
        <v>220</v>
      </c>
      <c r="D374" s="298">
        <v>2</v>
      </c>
      <c r="E374" s="170">
        <v>17938.120247999999</v>
      </c>
      <c r="F374" s="288">
        <f t="shared" si="130"/>
        <v>35876.239999999998</v>
      </c>
      <c r="G374" s="288">
        <f t="shared" ref="G374" si="132">ROUND(F374*1.2,2)</f>
        <v>43051.49</v>
      </c>
      <c r="J374" s="438"/>
      <c r="K374" s="438">
        <f t="shared" si="113"/>
        <v>0</v>
      </c>
    </row>
    <row r="375" spans="1:11" ht="15.6" x14ac:dyDescent="0.3">
      <c r="A375" s="285">
        <f t="shared" si="131"/>
        <v>224</v>
      </c>
      <c r="B375" s="290" t="s">
        <v>631</v>
      </c>
      <c r="C375" s="285" t="s">
        <v>194</v>
      </c>
      <c r="D375" s="298">
        <v>50</v>
      </c>
      <c r="E375" s="170">
        <v>224.54830799999999</v>
      </c>
      <c r="F375" s="288">
        <f t="shared" si="130"/>
        <v>11227.42</v>
      </c>
      <c r="G375" s="288">
        <f t="shared" si="117"/>
        <v>13472.9</v>
      </c>
      <c r="J375" s="438"/>
      <c r="K375" s="438">
        <f t="shared" si="113"/>
        <v>0</v>
      </c>
    </row>
    <row r="376" spans="1:11" ht="15.6" x14ac:dyDescent="0.3">
      <c r="A376" s="285">
        <f t="shared" si="131"/>
        <v>225</v>
      </c>
      <c r="B376" s="314" t="s">
        <v>1246</v>
      </c>
      <c r="C376" s="285" t="s">
        <v>194</v>
      </c>
      <c r="D376" s="298">
        <v>160</v>
      </c>
      <c r="E376" s="170">
        <v>599.27223599999991</v>
      </c>
      <c r="F376" s="288">
        <f t="shared" si="130"/>
        <v>95883.56</v>
      </c>
      <c r="G376" s="288">
        <f t="shared" ref="G376" si="133">ROUND(F376*1.2,2)</f>
        <v>115060.27</v>
      </c>
      <c r="J376" s="438"/>
      <c r="K376" s="438">
        <f t="shared" si="113"/>
        <v>0</v>
      </c>
    </row>
    <row r="377" spans="1:11" ht="15.6" x14ac:dyDescent="0.3">
      <c r="A377" s="285">
        <f t="shared" si="131"/>
        <v>226</v>
      </c>
      <c r="B377" s="314" t="s">
        <v>1242</v>
      </c>
      <c r="C377" s="285" t="s">
        <v>194</v>
      </c>
      <c r="D377" s="298">
        <v>100</v>
      </c>
      <c r="E377" s="170">
        <v>26.388001800000001</v>
      </c>
      <c r="F377" s="288">
        <f t="shared" si="130"/>
        <v>2638.8</v>
      </c>
      <c r="G377" s="288">
        <f t="shared" si="117"/>
        <v>3166.56</v>
      </c>
      <c r="J377" s="438"/>
      <c r="K377" s="438">
        <f t="shared" si="113"/>
        <v>0</v>
      </c>
    </row>
    <row r="378" spans="1:11" ht="15.6" x14ac:dyDescent="0.3">
      <c r="A378" s="285">
        <f t="shared" si="131"/>
        <v>227</v>
      </c>
      <c r="B378" s="314" t="s">
        <v>1243</v>
      </c>
      <c r="C378" s="285" t="s">
        <v>220</v>
      </c>
      <c r="D378" s="298">
        <v>1</v>
      </c>
      <c r="E378" s="170">
        <v>2826.24795864</v>
      </c>
      <c r="F378" s="288">
        <f t="shared" si="130"/>
        <v>2826.25</v>
      </c>
      <c r="G378" s="288">
        <f t="shared" si="117"/>
        <v>3391.5</v>
      </c>
      <c r="J378" s="438"/>
      <c r="K378" s="438">
        <f t="shared" si="113"/>
        <v>0</v>
      </c>
    </row>
    <row r="379" spans="1:11" ht="27.6" x14ac:dyDescent="0.3">
      <c r="A379" s="285">
        <f t="shared" si="131"/>
        <v>228</v>
      </c>
      <c r="B379" s="314" t="s">
        <v>1247</v>
      </c>
      <c r="C379" s="285" t="s">
        <v>220</v>
      </c>
      <c r="D379" s="298">
        <v>320</v>
      </c>
      <c r="E379" s="170">
        <v>258.87416400000001</v>
      </c>
      <c r="F379" s="288">
        <f t="shared" si="130"/>
        <v>82839.73</v>
      </c>
      <c r="G379" s="288">
        <f t="shared" ref="G379" si="134">ROUND(F379*1.2,2)</f>
        <v>99407.679999999993</v>
      </c>
      <c r="J379" s="438"/>
      <c r="K379" s="438">
        <f t="shared" si="113"/>
        <v>0</v>
      </c>
    </row>
    <row r="380" spans="1:11" ht="15.6" x14ac:dyDescent="0.3">
      <c r="A380" s="285"/>
      <c r="B380" s="302" t="s">
        <v>513</v>
      </c>
      <c r="C380" s="285"/>
      <c r="D380" s="298"/>
      <c r="E380" s="170">
        <v>0</v>
      </c>
      <c r="F380" s="288"/>
      <c r="G380" s="288"/>
      <c r="J380" s="438"/>
      <c r="K380" s="438">
        <f t="shared" si="113"/>
        <v>0</v>
      </c>
    </row>
    <row r="381" spans="1:11" ht="15.6" x14ac:dyDescent="0.3">
      <c r="A381" s="65">
        <f>A379+1</f>
        <v>229</v>
      </c>
      <c r="B381" s="66" t="s">
        <v>695</v>
      </c>
      <c r="C381" s="65" t="s">
        <v>193</v>
      </c>
      <c r="D381" s="67">
        <v>71.400000000000006</v>
      </c>
      <c r="E381" s="170">
        <v>2541.5435879999995</v>
      </c>
      <c r="F381" s="101">
        <f>ROUND(E381*D381,2)</f>
        <v>181466.21</v>
      </c>
      <c r="G381" s="101">
        <f t="shared" si="117"/>
        <v>217759.45</v>
      </c>
      <c r="J381" s="438"/>
      <c r="K381" s="438">
        <f t="shared" si="113"/>
        <v>0</v>
      </c>
    </row>
    <row r="382" spans="1:11" ht="15.6" x14ac:dyDescent="0.3">
      <c r="A382" s="65">
        <f>A381+1</f>
        <v>230</v>
      </c>
      <c r="B382" s="66" t="s">
        <v>696</v>
      </c>
      <c r="C382" s="65" t="s">
        <v>193</v>
      </c>
      <c r="D382" s="67">
        <v>56.5</v>
      </c>
      <c r="E382" s="170">
        <v>1285.789356</v>
      </c>
      <c r="F382" s="101">
        <f>ROUND(E382*D382,2)</f>
        <v>72647.100000000006</v>
      </c>
      <c r="G382" s="101">
        <f t="shared" si="117"/>
        <v>87176.52</v>
      </c>
      <c r="J382" s="438"/>
      <c r="K382" s="438">
        <f t="shared" si="113"/>
        <v>0</v>
      </c>
    </row>
    <row r="383" spans="1:11" ht="15.6" x14ac:dyDescent="0.3">
      <c r="A383" s="65">
        <f>A382+1</f>
        <v>231</v>
      </c>
      <c r="B383" s="66" t="s">
        <v>1116</v>
      </c>
      <c r="C383" s="65" t="s">
        <v>193</v>
      </c>
      <c r="D383" s="67">
        <v>14.9</v>
      </c>
      <c r="E383" s="170">
        <v>1972.306476</v>
      </c>
      <c r="F383" s="101">
        <f>ROUND(E383*D383,2)</f>
        <v>29387.37</v>
      </c>
      <c r="G383" s="101">
        <f t="shared" si="117"/>
        <v>35264.839999999997</v>
      </c>
      <c r="J383" s="438"/>
      <c r="K383" s="438">
        <f t="shared" si="113"/>
        <v>0</v>
      </c>
    </row>
    <row r="384" spans="1:11" ht="15.6" x14ac:dyDescent="0.3">
      <c r="A384" s="65">
        <f>A382+1</f>
        <v>231</v>
      </c>
      <c r="B384" s="66" t="s">
        <v>518</v>
      </c>
      <c r="C384" s="65" t="s">
        <v>239</v>
      </c>
      <c r="D384" s="67">
        <f>14.9*1.75</f>
        <v>26.074999999999999</v>
      </c>
      <c r="E384" s="170">
        <v>464.82929999999999</v>
      </c>
      <c r="F384" s="101">
        <f>ROUND(E384*D384,2)</f>
        <v>12120.42</v>
      </c>
      <c r="G384" s="101">
        <f t="shared" si="117"/>
        <v>14544.5</v>
      </c>
      <c r="J384" s="438"/>
      <c r="K384" s="438">
        <f t="shared" si="113"/>
        <v>0</v>
      </c>
    </row>
    <row r="385" spans="1:11" ht="15.6" x14ac:dyDescent="0.3">
      <c r="A385" s="453">
        <f t="shared" ref="A385" si="135">A384+1</f>
        <v>232</v>
      </c>
      <c r="B385" s="66" t="s">
        <v>503</v>
      </c>
      <c r="C385" s="65" t="s">
        <v>239</v>
      </c>
      <c r="D385" s="67">
        <f>14.9*1.75</f>
        <v>26.074999999999999</v>
      </c>
      <c r="E385" s="170">
        <f>'искл-свод'!B2</f>
        <v>1361.6</v>
      </c>
      <c r="F385" s="101">
        <f>ROUND(E385*D385,2)</f>
        <v>35503.72</v>
      </c>
      <c r="G385" s="101">
        <f t="shared" si="117"/>
        <v>42604.46</v>
      </c>
      <c r="J385" s="438"/>
      <c r="K385" s="438">
        <f t="shared" si="113"/>
        <v>0</v>
      </c>
    </row>
    <row r="386" spans="1:11" x14ac:dyDescent="0.3">
      <c r="A386" s="166"/>
      <c r="B386" s="586" t="s">
        <v>721</v>
      </c>
      <c r="C386" s="587"/>
      <c r="D386" s="587"/>
      <c r="E386" s="588"/>
      <c r="F386" s="157">
        <f>SUM(F6:F385)</f>
        <v>78479394.009999976</v>
      </c>
      <c r="G386" s="157">
        <f>SUM(G6:G385)</f>
        <v>94175272.870000005</v>
      </c>
      <c r="J386" s="438"/>
      <c r="K386" s="436">
        <f>SUM(K5:K385)</f>
        <v>15297573.652323255</v>
      </c>
    </row>
  </sheetData>
  <autoFilter ref="A1:H386" xr:uid="{00000000-0001-0000-0900-000000000000}"/>
  <mergeCells count="12">
    <mergeCell ref="J1:J3"/>
    <mergeCell ref="K1:K3"/>
    <mergeCell ref="B386:E386"/>
    <mergeCell ref="D1:D2"/>
    <mergeCell ref="C1:C2"/>
    <mergeCell ref="B1:B2"/>
    <mergeCell ref="A1:A2"/>
    <mergeCell ref="F238:F240"/>
    <mergeCell ref="G238:G240"/>
    <mergeCell ref="E1:E2"/>
    <mergeCell ref="F1:F2"/>
    <mergeCell ref="G1:G2"/>
  </mergeCells>
  <pageMargins left="0.7" right="0.7" top="0.75" bottom="0.75" header="0.3" footer="0.3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79998168889431442"/>
  </sheetPr>
  <dimension ref="A1:L280"/>
  <sheetViews>
    <sheetView tabSelected="1" topLeftCell="A88" zoomScaleNormal="100" zoomScaleSheetLayoutView="70" workbookViewId="0">
      <selection activeCell="H256" sqref="H256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  <col min="10" max="11" width="17" style="440" customWidth="1"/>
  </cols>
  <sheetData>
    <row r="1" spans="1:12" ht="19.5" customHeight="1" x14ac:dyDescent="0.3">
      <c r="A1" s="556" t="s">
        <v>226</v>
      </c>
      <c r="B1" s="578" t="s">
        <v>201</v>
      </c>
      <c r="C1" s="556" t="s">
        <v>705</v>
      </c>
      <c r="D1" s="556" t="s">
        <v>202</v>
      </c>
      <c r="E1" s="572" t="s">
        <v>704</v>
      </c>
      <c r="F1" s="570" t="s">
        <v>197</v>
      </c>
      <c r="G1" s="570" t="s">
        <v>198</v>
      </c>
      <c r="J1" s="536" t="s">
        <v>1657</v>
      </c>
      <c r="K1" s="536" t="s">
        <v>1658</v>
      </c>
    </row>
    <row r="2" spans="1:12" s="54" customFormat="1" ht="29.4" customHeight="1" x14ac:dyDescent="0.3">
      <c r="A2" s="556"/>
      <c r="B2" s="578"/>
      <c r="C2" s="556"/>
      <c r="D2" s="556"/>
      <c r="E2" s="573"/>
      <c r="F2" s="571"/>
      <c r="G2" s="571"/>
      <c r="I2"/>
      <c r="J2" s="536"/>
      <c r="K2" s="536"/>
      <c r="L2" s="381"/>
    </row>
    <row r="3" spans="1:12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536"/>
      <c r="K3" s="536"/>
      <c r="L3" s="381"/>
    </row>
    <row r="4" spans="1:12" x14ac:dyDescent="0.3">
      <c r="A4" s="153"/>
      <c r="B4" s="537" t="s">
        <v>550</v>
      </c>
      <c r="C4" s="538"/>
      <c r="D4" s="564"/>
      <c r="E4" s="155"/>
      <c r="F4" s="156"/>
      <c r="G4" s="125"/>
      <c r="J4" s="437"/>
      <c r="K4" s="437"/>
      <c r="L4" s="381"/>
    </row>
    <row r="5" spans="1:12" x14ac:dyDescent="0.3">
      <c r="A5" s="86">
        <v>1</v>
      </c>
      <c r="B5" s="66" t="s">
        <v>234</v>
      </c>
      <c r="C5" s="65" t="s">
        <v>193</v>
      </c>
      <c r="D5" s="70">
        <v>13</v>
      </c>
      <c r="E5" s="96">
        <v>1701.1764000000003</v>
      </c>
      <c r="F5" s="101">
        <f t="shared" ref="F5:F27" si="0">ROUND(E5*D5,2)</f>
        <v>22115.29</v>
      </c>
      <c r="G5" s="101">
        <f>ROUND(F5*1.2,2)</f>
        <v>26538.35</v>
      </c>
      <c r="J5" s="438"/>
      <c r="K5" s="438">
        <f>E5*J5*1.2</f>
        <v>0</v>
      </c>
    </row>
    <row r="6" spans="1:12" x14ac:dyDescent="0.3">
      <c r="A6" s="86">
        <f>A5+1</f>
        <v>2</v>
      </c>
      <c r="B6" s="66" t="s">
        <v>551</v>
      </c>
      <c r="C6" s="65" t="s">
        <v>194</v>
      </c>
      <c r="D6" s="70">
        <v>35</v>
      </c>
      <c r="E6" s="96">
        <v>510.3529200000001</v>
      </c>
      <c r="F6" s="101">
        <f t="shared" si="0"/>
        <v>17862.349999999999</v>
      </c>
      <c r="G6" s="101">
        <f t="shared" ref="G6:G27" si="1">ROUND(F6*1.2,2)</f>
        <v>21434.82</v>
      </c>
      <c r="J6" s="438"/>
      <c r="K6" s="438">
        <f t="shared" ref="K6:K69" si="2">E6*J6*1.2</f>
        <v>0</v>
      </c>
    </row>
    <row r="7" spans="1:12" ht="27.6" x14ac:dyDescent="0.3">
      <c r="A7" s="86">
        <f>A6+1</f>
        <v>3</v>
      </c>
      <c r="B7" s="66" t="s">
        <v>552</v>
      </c>
      <c r="C7" s="65" t="s">
        <v>194</v>
      </c>
      <c r="D7" s="70">
        <v>3</v>
      </c>
      <c r="E7" s="96">
        <v>609.58821000000012</v>
      </c>
      <c r="F7" s="101">
        <f t="shared" si="0"/>
        <v>1828.76</v>
      </c>
      <c r="G7" s="101">
        <f t="shared" si="1"/>
        <v>2194.5100000000002</v>
      </c>
      <c r="J7" s="438"/>
      <c r="K7" s="438">
        <f t="shared" si="2"/>
        <v>0</v>
      </c>
    </row>
    <row r="8" spans="1:12" x14ac:dyDescent="0.3">
      <c r="A8" s="86">
        <f t="shared" ref="A8:A27" si="3">A7+1</f>
        <v>4</v>
      </c>
      <c r="B8" s="66" t="s">
        <v>553</v>
      </c>
      <c r="C8" s="65" t="s">
        <v>194</v>
      </c>
      <c r="D8" s="70">
        <v>6</v>
      </c>
      <c r="E8" s="96">
        <v>6095.8821000000007</v>
      </c>
      <c r="F8" s="101">
        <f t="shared" si="0"/>
        <v>36575.29</v>
      </c>
      <c r="G8" s="101">
        <f t="shared" si="1"/>
        <v>43890.35</v>
      </c>
      <c r="J8" s="438"/>
      <c r="K8" s="438">
        <f t="shared" si="2"/>
        <v>0</v>
      </c>
    </row>
    <row r="9" spans="1:12" ht="41.4" x14ac:dyDescent="0.3">
      <c r="A9" s="86">
        <f t="shared" si="3"/>
        <v>5</v>
      </c>
      <c r="B9" s="66" t="s">
        <v>554</v>
      </c>
      <c r="C9" s="65" t="s">
        <v>220</v>
      </c>
      <c r="D9" s="70">
        <v>2</v>
      </c>
      <c r="E9" s="96">
        <v>19075.084770000001</v>
      </c>
      <c r="F9" s="101">
        <f t="shared" si="0"/>
        <v>38150.17</v>
      </c>
      <c r="G9" s="101">
        <f t="shared" si="1"/>
        <v>45780.2</v>
      </c>
      <c r="J9" s="438"/>
      <c r="K9" s="438">
        <f t="shared" si="2"/>
        <v>0</v>
      </c>
    </row>
    <row r="10" spans="1:12" x14ac:dyDescent="0.3">
      <c r="A10" s="86">
        <f t="shared" si="3"/>
        <v>6</v>
      </c>
      <c r="B10" s="66" t="s">
        <v>555</v>
      </c>
      <c r="C10" s="65" t="s">
        <v>220</v>
      </c>
      <c r="D10" s="70">
        <v>1</v>
      </c>
      <c r="E10" s="96">
        <v>23674.704900000004</v>
      </c>
      <c r="F10" s="101">
        <f t="shared" si="0"/>
        <v>23674.7</v>
      </c>
      <c r="G10" s="101">
        <f t="shared" si="1"/>
        <v>28409.64</v>
      </c>
      <c r="J10" s="438"/>
      <c r="K10" s="438">
        <f t="shared" si="2"/>
        <v>0</v>
      </c>
    </row>
    <row r="11" spans="1:12" x14ac:dyDescent="0.3">
      <c r="A11" s="86">
        <f t="shared" si="3"/>
        <v>7</v>
      </c>
      <c r="B11" s="66" t="s">
        <v>556</v>
      </c>
      <c r="C11" s="65" t="s">
        <v>220</v>
      </c>
      <c r="D11" s="70">
        <v>2</v>
      </c>
      <c r="E11" s="96">
        <v>9356.4702000000016</v>
      </c>
      <c r="F11" s="101">
        <f t="shared" si="0"/>
        <v>18712.939999999999</v>
      </c>
      <c r="G11" s="101">
        <f t="shared" si="1"/>
        <v>22455.53</v>
      </c>
      <c r="J11" s="438"/>
      <c r="K11" s="438">
        <f t="shared" si="2"/>
        <v>0</v>
      </c>
    </row>
    <row r="12" spans="1:12" x14ac:dyDescent="0.3">
      <c r="A12" s="86">
        <f t="shared" si="3"/>
        <v>8</v>
      </c>
      <c r="B12" s="66" t="s">
        <v>557</v>
      </c>
      <c r="C12" s="65" t="s">
        <v>220</v>
      </c>
      <c r="D12" s="70">
        <v>1</v>
      </c>
      <c r="E12" s="96">
        <v>9356.4702000000016</v>
      </c>
      <c r="F12" s="101">
        <f t="shared" si="0"/>
        <v>9356.4699999999993</v>
      </c>
      <c r="G12" s="101">
        <f t="shared" si="1"/>
        <v>11227.76</v>
      </c>
      <c r="J12" s="438"/>
      <c r="K12" s="438">
        <f t="shared" si="2"/>
        <v>0</v>
      </c>
    </row>
    <row r="13" spans="1:12" x14ac:dyDescent="0.3">
      <c r="A13" s="86">
        <f t="shared" si="3"/>
        <v>9</v>
      </c>
      <c r="B13" s="66" t="s">
        <v>558</v>
      </c>
      <c r="C13" s="65" t="s">
        <v>220</v>
      </c>
      <c r="D13" s="70">
        <v>1</v>
      </c>
      <c r="E13" s="96">
        <v>793.88231999999994</v>
      </c>
      <c r="F13" s="101">
        <f t="shared" si="0"/>
        <v>793.88</v>
      </c>
      <c r="G13" s="101">
        <f t="shared" si="1"/>
        <v>952.66</v>
      </c>
      <c r="J13" s="438"/>
      <c r="K13" s="438">
        <f t="shared" si="2"/>
        <v>0</v>
      </c>
    </row>
    <row r="14" spans="1:12" x14ac:dyDescent="0.3">
      <c r="A14" s="86">
        <f t="shared" si="3"/>
        <v>10</v>
      </c>
      <c r="B14" s="66" t="s">
        <v>559</v>
      </c>
      <c r="C14" s="73" t="s">
        <v>254</v>
      </c>
      <c r="D14" s="67">
        <f>32*0.137</f>
        <v>4.3840000000000003</v>
      </c>
      <c r="E14" s="96">
        <v>163.67379</v>
      </c>
      <c r="F14" s="101">
        <f t="shared" si="0"/>
        <v>717.55</v>
      </c>
      <c r="G14" s="101">
        <f t="shared" si="1"/>
        <v>861.06</v>
      </c>
      <c r="J14" s="438"/>
      <c r="K14" s="438">
        <f t="shared" si="2"/>
        <v>0</v>
      </c>
    </row>
    <row r="15" spans="1:12" x14ac:dyDescent="0.3">
      <c r="A15" s="86">
        <f t="shared" si="3"/>
        <v>11</v>
      </c>
      <c r="B15" s="66" t="s">
        <v>560</v>
      </c>
      <c r="C15" s="73" t="s">
        <v>254</v>
      </c>
      <c r="D15" s="67">
        <f>16*0.243</f>
        <v>3.8879999999999999</v>
      </c>
      <c r="E15" s="96">
        <v>163.67379</v>
      </c>
      <c r="F15" s="101">
        <f t="shared" si="0"/>
        <v>636.36</v>
      </c>
      <c r="G15" s="101">
        <f t="shared" si="1"/>
        <v>763.63</v>
      </c>
      <c r="J15" s="438"/>
      <c r="K15" s="438">
        <f t="shared" si="2"/>
        <v>0</v>
      </c>
    </row>
    <row r="16" spans="1:12" x14ac:dyDescent="0.3">
      <c r="A16" s="86">
        <f t="shared" si="3"/>
        <v>12</v>
      </c>
      <c r="B16" s="66" t="s">
        <v>561</v>
      </c>
      <c r="C16" s="73" t="s">
        <v>254</v>
      </c>
      <c r="D16" s="67">
        <f>32*0.032</f>
        <v>1.024</v>
      </c>
      <c r="E16" s="96">
        <v>189.44919000000002</v>
      </c>
      <c r="F16" s="101">
        <f t="shared" si="0"/>
        <v>194</v>
      </c>
      <c r="G16" s="101">
        <f t="shared" si="1"/>
        <v>232.8</v>
      </c>
      <c r="J16" s="438"/>
      <c r="K16" s="438">
        <f t="shared" si="2"/>
        <v>0</v>
      </c>
    </row>
    <row r="17" spans="1:11" x14ac:dyDescent="0.3">
      <c r="A17" s="86">
        <f t="shared" si="3"/>
        <v>13</v>
      </c>
      <c r="B17" s="66" t="s">
        <v>562</v>
      </c>
      <c r="C17" s="73" t="s">
        <v>254</v>
      </c>
      <c r="D17" s="67">
        <f>16*0.071</f>
        <v>1.1359999999999999</v>
      </c>
      <c r="E17" s="96">
        <v>189.44919000000002</v>
      </c>
      <c r="F17" s="101">
        <f t="shared" si="0"/>
        <v>215.21</v>
      </c>
      <c r="G17" s="101">
        <f t="shared" si="1"/>
        <v>258.25</v>
      </c>
      <c r="J17" s="438"/>
      <c r="K17" s="438">
        <f t="shared" si="2"/>
        <v>0</v>
      </c>
    </row>
    <row r="18" spans="1:11" x14ac:dyDescent="0.3">
      <c r="A18" s="86">
        <f t="shared" si="3"/>
        <v>14</v>
      </c>
      <c r="B18" s="66" t="s">
        <v>563</v>
      </c>
      <c r="C18" s="73" t="s">
        <v>254</v>
      </c>
      <c r="D18" s="67">
        <f>64*0.013</f>
        <v>0.83199999999999996</v>
      </c>
      <c r="E18" s="96">
        <v>255.17646000000005</v>
      </c>
      <c r="F18" s="101">
        <f t="shared" si="0"/>
        <v>212.31</v>
      </c>
      <c r="G18" s="101">
        <f t="shared" si="1"/>
        <v>254.77</v>
      </c>
      <c r="J18" s="438"/>
      <c r="K18" s="438">
        <f t="shared" si="2"/>
        <v>0</v>
      </c>
    </row>
    <row r="19" spans="1:11" x14ac:dyDescent="0.3">
      <c r="A19" s="86">
        <f t="shared" si="3"/>
        <v>15</v>
      </c>
      <c r="B19" s="66" t="s">
        <v>564</v>
      </c>
      <c r="C19" s="73" t="s">
        <v>254</v>
      </c>
      <c r="D19" s="67">
        <f>32*0.0172</f>
        <v>0.5504</v>
      </c>
      <c r="E19" s="96">
        <v>255.17646000000005</v>
      </c>
      <c r="F19" s="101">
        <f t="shared" si="0"/>
        <v>140.44999999999999</v>
      </c>
      <c r="G19" s="101">
        <f t="shared" si="1"/>
        <v>168.54</v>
      </c>
      <c r="J19" s="438"/>
      <c r="K19" s="438">
        <f t="shared" si="2"/>
        <v>0</v>
      </c>
    </row>
    <row r="20" spans="1:11" x14ac:dyDescent="0.3">
      <c r="A20" s="86">
        <f t="shared" si="3"/>
        <v>16</v>
      </c>
      <c r="B20" s="66" t="s">
        <v>565</v>
      </c>
      <c r="C20" s="73" t="s">
        <v>220</v>
      </c>
      <c r="D20" s="70">
        <v>4</v>
      </c>
      <c r="E20" s="96">
        <v>36.085560000000001</v>
      </c>
      <c r="F20" s="101">
        <f t="shared" si="0"/>
        <v>144.34</v>
      </c>
      <c r="G20" s="101">
        <f t="shared" si="1"/>
        <v>173.21</v>
      </c>
      <c r="J20" s="438"/>
      <c r="K20" s="438">
        <f t="shared" si="2"/>
        <v>0</v>
      </c>
    </row>
    <row r="21" spans="1:11" x14ac:dyDescent="0.3">
      <c r="A21" s="86">
        <f t="shared" si="3"/>
        <v>17</v>
      </c>
      <c r="B21" s="66" t="s">
        <v>566</v>
      </c>
      <c r="C21" s="73" t="s">
        <v>220</v>
      </c>
      <c r="D21" s="70">
        <v>2</v>
      </c>
      <c r="E21" s="96">
        <v>42.529410000000006</v>
      </c>
      <c r="F21" s="101">
        <f t="shared" si="0"/>
        <v>85.06</v>
      </c>
      <c r="G21" s="101">
        <f t="shared" si="1"/>
        <v>102.07</v>
      </c>
      <c r="J21" s="438"/>
      <c r="K21" s="438">
        <f t="shared" si="2"/>
        <v>0</v>
      </c>
    </row>
    <row r="22" spans="1:11" ht="27.6" x14ac:dyDescent="0.3">
      <c r="A22" s="86">
        <f t="shared" si="3"/>
        <v>18</v>
      </c>
      <c r="B22" s="66" t="s">
        <v>567</v>
      </c>
      <c r="C22" s="65" t="s">
        <v>220</v>
      </c>
      <c r="D22" s="70">
        <v>1</v>
      </c>
      <c r="E22" s="96">
        <v>992.3529000000002</v>
      </c>
      <c r="F22" s="101">
        <f t="shared" si="0"/>
        <v>992.35</v>
      </c>
      <c r="G22" s="101">
        <f t="shared" si="1"/>
        <v>1190.82</v>
      </c>
      <c r="J22" s="438"/>
      <c r="K22" s="438">
        <f t="shared" si="2"/>
        <v>0</v>
      </c>
    </row>
    <row r="23" spans="1:11" x14ac:dyDescent="0.3">
      <c r="A23" s="86">
        <f t="shared" si="3"/>
        <v>19</v>
      </c>
      <c r="B23" s="66" t="s">
        <v>568</v>
      </c>
      <c r="C23" s="65" t="s">
        <v>220</v>
      </c>
      <c r="D23" s="70">
        <v>1</v>
      </c>
      <c r="E23" s="96">
        <v>1701.1764000000003</v>
      </c>
      <c r="F23" s="101">
        <f t="shared" si="0"/>
        <v>1701.18</v>
      </c>
      <c r="G23" s="101">
        <f t="shared" si="1"/>
        <v>2041.42</v>
      </c>
      <c r="J23" s="438"/>
      <c r="K23" s="438">
        <f t="shared" si="2"/>
        <v>0</v>
      </c>
    </row>
    <row r="24" spans="1:11" x14ac:dyDescent="0.3">
      <c r="A24" s="86">
        <f t="shared" si="3"/>
        <v>20</v>
      </c>
      <c r="B24" s="66" t="s">
        <v>569</v>
      </c>
      <c r="C24" s="65" t="s">
        <v>220</v>
      </c>
      <c r="D24" s="70">
        <v>1</v>
      </c>
      <c r="E24" s="96">
        <v>2409.9999000000003</v>
      </c>
      <c r="F24" s="101">
        <f t="shared" si="0"/>
        <v>2410</v>
      </c>
      <c r="G24" s="101">
        <f t="shared" si="1"/>
        <v>2892</v>
      </c>
      <c r="J24" s="438"/>
      <c r="K24" s="438">
        <f t="shared" si="2"/>
        <v>0</v>
      </c>
    </row>
    <row r="25" spans="1:11" x14ac:dyDescent="0.3">
      <c r="A25" s="86">
        <f t="shared" si="3"/>
        <v>21</v>
      </c>
      <c r="B25" s="66" t="s">
        <v>570</v>
      </c>
      <c r="C25" s="65" t="s">
        <v>220</v>
      </c>
      <c r="D25" s="70">
        <v>1</v>
      </c>
      <c r="E25" s="96">
        <v>6804.7056000000011</v>
      </c>
      <c r="F25" s="101">
        <f t="shared" si="0"/>
        <v>6804.71</v>
      </c>
      <c r="G25" s="101">
        <f t="shared" si="1"/>
        <v>8165.65</v>
      </c>
      <c r="J25" s="438"/>
      <c r="K25" s="438">
        <f t="shared" si="2"/>
        <v>0</v>
      </c>
    </row>
    <row r="26" spans="1:11" ht="32.25" customHeight="1" x14ac:dyDescent="0.3">
      <c r="A26" s="86">
        <f t="shared" si="3"/>
        <v>22</v>
      </c>
      <c r="B26" s="66" t="s">
        <v>571</v>
      </c>
      <c r="C26" s="65" t="s">
        <v>193</v>
      </c>
      <c r="D26" s="67">
        <v>7.0000000000000007E-2</v>
      </c>
      <c r="E26" s="96">
        <v>7200.3579900000004</v>
      </c>
      <c r="F26" s="101">
        <f t="shared" si="0"/>
        <v>504.03</v>
      </c>
      <c r="G26" s="101">
        <f t="shared" si="1"/>
        <v>604.84</v>
      </c>
      <c r="J26" s="438"/>
      <c r="K26" s="438">
        <f t="shared" si="2"/>
        <v>0</v>
      </c>
    </row>
    <row r="27" spans="1:11" ht="21.75" customHeight="1" x14ac:dyDescent="0.3">
      <c r="A27" s="86">
        <f t="shared" si="3"/>
        <v>23</v>
      </c>
      <c r="B27" s="66" t="s">
        <v>760</v>
      </c>
      <c r="C27" s="65" t="s">
        <v>193</v>
      </c>
      <c r="D27" s="71">
        <v>0.5</v>
      </c>
      <c r="E27" s="96">
        <v>4961.7645000000002</v>
      </c>
      <c r="F27" s="101">
        <f t="shared" si="0"/>
        <v>2480.88</v>
      </c>
      <c r="G27" s="101">
        <f t="shared" si="1"/>
        <v>2977.06</v>
      </c>
      <c r="J27" s="438"/>
      <c r="K27" s="438">
        <f t="shared" si="2"/>
        <v>0</v>
      </c>
    </row>
    <row r="28" spans="1:11" ht="30.75" customHeight="1" x14ac:dyDescent="0.3">
      <c r="A28" s="153"/>
      <c r="B28" s="589" t="s">
        <v>1167</v>
      </c>
      <c r="C28" s="590"/>
      <c r="D28" s="590"/>
      <c r="E28" s="341"/>
      <c r="F28" s="156"/>
      <c r="G28" s="125"/>
      <c r="J28" s="438"/>
      <c r="K28" s="438">
        <f t="shared" si="2"/>
        <v>0</v>
      </c>
    </row>
    <row r="29" spans="1:11" x14ac:dyDescent="0.3">
      <c r="A29" s="65">
        <f>A27+1</f>
        <v>24</v>
      </c>
      <c r="B29" s="66" t="s">
        <v>234</v>
      </c>
      <c r="C29" s="65" t="s">
        <v>193</v>
      </c>
      <c r="D29" s="70">
        <v>114</v>
      </c>
      <c r="E29" s="96">
        <v>1701.1764000000003</v>
      </c>
      <c r="F29" s="101">
        <f t="shared" ref="F29:F40" si="4">ROUND(E29*D29,2)</f>
        <v>193934.11</v>
      </c>
      <c r="G29" s="101">
        <f t="shared" ref="G29" si="5">ROUND(F29*1.2,2)</f>
        <v>232720.93</v>
      </c>
      <c r="J29" s="438"/>
      <c r="K29" s="438">
        <f t="shared" si="2"/>
        <v>0</v>
      </c>
    </row>
    <row r="30" spans="1:11" x14ac:dyDescent="0.3">
      <c r="A30" s="65">
        <f>A29+1</f>
        <v>25</v>
      </c>
      <c r="B30" s="66" t="s">
        <v>1189</v>
      </c>
      <c r="C30" s="73" t="s">
        <v>194</v>
      </c>
      <c r="D30" s="70">
        <v>101</v>
      </c>
      <c r="E30" s="96">
        <v>510.3529200000001</v>
      </c>
      <c r="F30" s="101">
        <f t="shared" si="4"/>
        <v>51545.64</v>
      </c>
      <c r="G30" s="101">
        <f t="shared" ref="G30:G40" si="6">ROUND(F30*1.2,2)</f>
        <v>61854.77</v>
      </c>
      <c r="J30" s="438"/>
      <c r="K30" s="438">
        <f t="shared" si="2"/>
        <v>0</v>
      </c>
    </row>
    <row r="31" spans="1:11" x14ac:dyDescent="0.3">
      <c r="A31" s="65">
        <f>A30+1</f>
        <v>26</v>
      </c>
      <c r="B31" s="66" t="s">
        <v>553</v>
      </c>
      <c r="C31" s="65" t="s">
        <v>194</v>
      </c>
      <c r="D31" s="70">
        <v>12</v>
      </c>
      <c r="E31" s="96">
        <v>6095.8821000000007</v>
      </c>
      <c r="F31" s="101">
        <f t="shared" si="4"/>
        <v>73150.59</v>
      </c>
      <c r="G31" s="101">
        <f t="shared" si="6"/>
        <v>87780.71</v>
      </c>
      <c r="J31" s="438"/>
      <c r="K31" s="438">
        <f t="shared" si="2"/>
        <v>0</v>
      </c>
    </row>
    <row r="32" spans="1:11" s="56" customFormat="1" x14ac:dyDescent="0.3">
      <c r="A32" s="86">
        <f>A31+1</f>
        <v>27</v>
      </c>
      <c r="B32" s="243" t="s">
        <v>1166</v>
      </c>
      <c r="C32" s="86" t="s">
        <v>220</v>
      </c>
      <c r="D32" s="152">
        <v>5</v>
      </c>
      <c r="E32" s="96">
        <v>734.59890000000007</v>
      </c>
      <c r="F32" s="102">
        <f t="shared" si="4"/>
        <v>3672.99</v>
      </c>
      <c r="G32" s="102">
        <f t="shared" si="6"/>
        <v>4407.59</v>
      </c>
      <c r="J32" s="438"/>
      <c r="K32" s="438">
        <f t="shared" si="2"/>
        <v>0</v>
      </c>
    </row>
    <row r="33" spans="1:11" x14ac:dyDescent="0.3">
      <c r="A33" s="65">
        <f>A32+1</f>
        <v>28</v>
      </c>
      <c r="B33" s="66" t="s">
        <v>557</v>
      </c>
      <c r="C33" s="65" t="s">
        <v>220</v>
      </c>
      <c r="D33" s="70">
        <v>2</v>
      </c>
      <c r="E33" s="96">
        <v>9356.4702000000016</v>
      </c>
      <c r="F33" s="101">
        <f t="shared" si="4"/>
        <v>18712.939999999999</v>
      </c>
      <c r="G33" s="101">
        <f t="shared" si="6"/>
        <v>22455.53</v>
      </c>
      <c r="J33" s="438"/>
      <c r="K33" s="438">
        <f t="shared" si="2"/>
        <v>0</v>
      </c>
    </row>
    <row r="34" spans="1:11" x14ac:dyDescent="0.3">
      <c r="A34" s="65">
        <f>A33+1</f>
        <v>29</v>
      </c>
      <c r="B34" s="66" t="s">
        <v>558</v>
      </c>
      <c r="C34" s="65" t="s">
        <v>220</v>
      </c>
      <c r="D34" s="70">
        <v>2</v>
      </c>
      <c r="E34" s="96">
        <v>793.88231999999994</v>
      </c>
      <c r="F34" s="101">
        <f t="shared" si="4"/>
        <v>1587.76</v>
      </c>
      <c r="G34" s="101">
        <f t="shared" si="6"/>
        <v>1905.31</v>
      </c>
      <c r="J34" s="438"/>
      <c r="K34" s="438">
        <f t="shared" si="2"/>
        <v>0</v>
      </c>
    </row>
    <row r="35" spans="1:11" x14ac:dyDescent="0.3">
      <c r="A35" s="65">
        <f t="shared" ref="A35:A39" si="7">A34+1</f>
        <v>30</v>
      </c>
      <c r="B35" s="66" t="s">
        <v>577</v>
      </c>
      <c r="C35" s="73" t="s">
        <v>254</v>
      </c>
      <c r="D35" s="67">
        <f>16*0.137</f>
        <v>2.1920000000000002</v>
      </c>
      <c r="E35" s="96">
        <v>163.67379</v>
      </c>
      <c r="F35" s="101">
        <f t="shared" si="4"/>
        <v>358.77</v>
      </c>
      <c r="G35" s="101">
        <f t="shared" si="6"/>
        <v>430.52</v>
      </c>
      <c r="J35" s="438"/>
      <c r="K35" s="438">
        <f t="shared" si="2"/>
        <v>0</v>
      </c>
    </row>
    <row r="36" spans="1:11" x14ac:dyDescent="0.3">
      <c r="A36" s="65">
        <f t="shared" si="7"/>
        <v>31</v>
      </c>
      <c r="B36" s="66" t="s">
        <v>405</v>
      </c>
      <c r="C36" s="73" t="s">
        <v>254</v>
      </c>
      <c r="D36" s="67">
        <f>16*0.032</f>
        <v>0.51200000000000001</v>
      </c>
      <c r="E36" s="96">
        <v>189.44919000000002</v>
      </c>
      <c r="F36" s="101">
        <f t="shared" si="4"/>
        <v>97</v>
      </c>
      <c r="G36" s="101">
        <f t="shared" si="6"/>
        <v>116.4</v>
      </c>
      <c r="J36" s="438"/>
      <c r="K36" s="438">
        <f t="shared" si="2"/>
        <v>0</v>
      </c>
    </row>
    <row r="37" spans="1:11" x14ac:dyDescent="0.3">
      <c r="A37" s="65">
        <f t="shared" si="7"/>
        <v>32</v>
      </c>
      <c r="B37" s="66" t="s">
        <v>578</v>
      </c>
      <c r="C37" s="73" t="s">
        <v>254</v>
      </c>
      <c r="D37" s="67">
        <f>32*0.013</f>
        <v>0.41599999999999998</v>
      </c>
      <c r="E37" s="96">
        <v>255.17646000000005</v>
      </c>
      <c r="F37" s="101">
        <f t="shared" si="4"/>
        <v>106.15</v>
      </c>
      <c r="G37" s="101">
        <f t="shared" si="6"/>
        <v>127.38</v>
      </c>
      <c r="J37" s="438"/>
      <c r="K37" s="438">
        <f t="shared" si="2"/>
        <v>0</v>
      </c>
    </row>
    <row r="38" spans="1:11" x14ac:dyDescent="0.3">
      <c r="A38" s="65">
        <f t="shared" si="7"/>
        <v>33</v>
      </c>
      <c r="B38" s="66" t="s">
        <v>406</v>
      </c>
      <c r="C38" s="65" t="s">
        <v>220</v>
      </c>
      <c r="D38" s="70">
        <v>2</v>
      </c>
      <c r="E38" s="96">
        <v>42.529410000000006</v>
      </c>
      <c r="F38" s="101">
        <f t="shared" si="4"/>
        <v>85.06</v>
      </c>
      <c r="G38" s="101">
        <f t="shared" si="6"/>
        <v>102.07</v>
      </c>
      <c r="J38" s="438"/>
      <c r="K38" s="438">
        <f t="shared" si="2"/>
        <v>0</v>
      </c>
    </row>
    <row r="39" spans="1:11" ht="27.6" x14ac:dyDescent="0.3">
      <c r="A39" s="65">
        <f t="shared" si="7"/>
        <v>34</v>
      </c>
      <c r="B39" s="66" t="s">
        <v>576</v>
      </c>
      <c r="C39" s="65" t="s">
        <v>220</v>
      </c>
      <c r="D39" s="70">
        <v>2</v>
      </c>
      <c r="E39" s="96">
        <v>992.3529000000002</v>
      </c>
      <c r="F39" s="101">
        <f t="shared" si="4"/>
        <v>1984.71</v>
      </c>
      <c r="G39" s="101">
        <f t="shared" si="6"/>
        <v>2381.65</v>
      </c>
      <c r="J39" s="438"/>
      <c r="K39" s="438">
        <f t="shared" si="2"/>
        <v>0</v>
      </c>
    </row>
    <row r="40" spans="1:11" ht="21.75" customHeight="1" x14ac:dyDescent="0.3">
      <c r="A40" s="86">
        <f t="shared" ref="A40" si="8">A39+1</f>
        <v>35</v>
      </c>
      <c r="B40" s="243" t="s">
        <v>760</v>
      </c>
      <c r="C40" s="86" t="s">
        <v>193</v>
      </c>
      <c r="D40" s="227">
        <v>0.3</v>
      </c>
      <c r="E40" s="96">
        <v>4961.7645000000002</v>
      </c>
      <c r="F40" s="102">
        <f t="shared" si="4"/>
        <v>1488.53</v>
      </c>
      <c r="G40" s="102">
        <f t="shared" si="6"/>
        <v>1786.24</v>
      </c>
      <c r="J40" s="438"/>
      <c r="K40" s="438">
        <f t="shared" si="2"/>
        <v>0</v>
      </c>
    </row>
    <row r="41" spans="1:11" ht="30" customHeight="1" x14ac:dyDescent="0.3">
      <c r="A41" s="153"/>
      <c r="B41" s="589" t="s">
        <v>1168</v>
      </c>
      <c r="C41" s="590"/>
      <c r="D41" s="590"/>
      <c r="E41" s="341"/>
      <c r="F41" s="156"/>
      <c r="G41" s="125"/>
      <c r="J41" s="438"/>
      <c r="K41" s="438">
        <f t="shared" si="2"/>
        <v>0</v>
      </c>
    </row>
    <row r="42" spans="1:11" x14ac:dyDescent="0.3">
      <c r="A42" s="65">
        <f>A40+1</f>
        <v>36</v>
      </c>
      <c r="B42" s="66" t="s">
        <v>234</v>
      </c>
      <c r="C42" s="65" t="s">
        <v>193</v>
      </c>
      <c r="D42" s="70">
        <v>47</v>
      </c>
      <c r="E42" s="96">
        <v>1701.1764000000003</v>
      </c>
      <c r="F42" s="101">
        <f t="shared" ref="F42:F53" si="9">ROUND(E42*D42,2)</f>
        <v>79955.289999999994</v>
      </c>
      <c r="G42" s="101">
        <f t="shared" ref="G42" si="10">ROUND(F42*1.2,2)</f>
        <v>95946.35</v>
      </c>
      <c r="J42" s="438"/>
      <c r="K42" s="438">
        <f t="shared" si="2"/>
        <v>0</v>
      </c>
    </row>
    <row r="43" spans="1:11" s="56" customFormat="1" x14ac:dyDescent="0.3">
      <c r="A43" s="86">
        <f>A42+1</f>
        <v>37</v>
      </c>
      <c r="B43" s="243" t="s">
        <v>1190</v>
      </c>
      <c r="C43" s="86" t="s">
        <v>194</v>
      </c>
      <c r="D43" s="152">
        <v>32</v>
      </c>
      <c r="E43" s="96">
        <v>4720.76451</v>
      </c>
      <c r="F43" s="102">
        <f t="shared" si="9"/>
        <v>151064.46</v>
      </c>
      <c r="G43" s="102">
        <f t="shared" ref="G43" si="11">ROUND(F43*1.2,2)</f>
        <v>181277.35</v>
      </c>
      <c r="J43" s="438"/>
      <c r="K43" s="438">
        <f t="shared" si="2"/>
        <v>0</v>
      </c>
    </row>
    <row r="44" spans="1:11" s="56" customFormat="1" x14ac:dyDescent="0.3">
      <c r="A44" s="86">
        <f>A43+1</f>
        <v>38</v>
      </c>
      <c r="B44" s="243" t="s">
        <v>1191</v>
      </c>
      <c r="C44" s="86" t="s">
        <v>194</v>
      </c>
      <c r="D44" s="152">
        <v>6</v>
      </c>
      <c r="E44" s="96">
        <v>17776.00461</v>
      </c>
      <c r="F44" s="102">
        <f t="shared" si="9"/>
        <v>106656.03</v>
      </c>
      <c r="G44" s="102">
        <f t="shared" ref="G44" si="12">ROUND(F44*1.2,2)</f>
        <v>127987.24</v>
      </c>
      <c r="J44" s="438"/>
      <c r="K44" s="438">
        <f t="shared" si="2"/>
        <v>0</v>
      </c>
    </row>
    <row r="45" spans="1:11" s="56" customFormat="1" x14ac:dyDescent="0.3">
      <c r="A45" s="86">
        <f t="shared" ref="A45:A46" si="13">A44+1</f>
        <v>39</v>
      </c>
      <c r="B45" s="243" t="s">
        <v>1193</v>
      </c>
      <c r="C45" s="86" t="s">
        <v>220</v>
      </c>
      <c r="D45" s="152">
        <v>3</v>
      </c>
      <c r="E45" s="96">
        <v>1244.95182</v>
      </c>
      <c r="F45" s="102">
        <f t="shared" si="9"/>
        <v>3734.86</v>
      </c>
      <c r="G45" s="102">
        <f t="shared" ref="G45" si="14">ROUND(F45*1.2,2)</f>
        <v>4481.83</v>
      </c>
      <c r="J45" s="438"/>
      <c r="K45" s="438">
        <f t="shared" si="2"/>
        <v>0</v>
      </c>
    </row>
    <row r="46" spans="1:11" s="56" customFormat="1" x14ac:dyDescent="0.3">
      <c r="A46" s="86">
        <f t="shared" si="13"/>
        <v>40</v>
      </c>
      <c r="B46" s="243" t="s">
        <v>783</v>
      </c>
      <c r="C46" s="86" t="s">
        <v>220</v>
      </c>
      <c r="D46" s="152">
        <v>2</v>
      </c>
      <c r="E46" s="96">
        <v>6907.8072000000011</v>
      </c>
      <c r="F46" s="102">
        <f t="shared" si="9"/>
        <v>13815.61</v>
      </c>
      <c r="G46" s="102">
        <f t="shared" ref="G46:G47" si="15">ROUND(F46*1.2,2)</f>
        <v>16578.73</v>
      </c>
      <c r="J46" s="438"/>
      <c r="K46" s="438">
        <f t="shared" si="2"/>
        <v>0</v>
      </c>
    </row>
    <row r="47" spans="1:11" s="56" customFormat="1" x14ac:dyDescent="0.3">
      <c r="A47" s="86">
        <f t="shared" ref="A47:A53" si="16">A46+1</f>
        <v>41</v>
      </c>
      <c r="B47" s="243" t="s">
        <v>785</v>
      </c>
      <c r="C47" s="86" t="s">
        <v>220</v>
      </c>
      <c r="D47" s="152">
        <v>2</v>
      </c>
      <c r="E47" s="96">
        <v>3915.2832600000002</v>
      </c>
      <c r="F47" s="102">
        <f t="shared" si="9"/>
        <v>7830.57</v>
      </c>
      <c r="G47" s="102">
        <f t="shared" si="15"/>
        <v>9396.68</v>
      </c>
      <c r="J47" s="438"/>
      <c r="K47" s="438">
        <f t="shared" si="2"/>
        <v>0</v>
      </c>
    </row>
    <row r="48" spans="1:11" x14ac:dyDescent="0.3">
      <c r="A48" s="65">
        <f t="shared" si="16"/>
        <v>42</v>
      </c>
      <c r="B48" s="66" t="s">
        <v>799</v>
      </c>
      <c r="C48" s="65" t="s">
        <v>254</v>
      </c>
      <c r="D48" s="67">
        <f>24*0.243</f>
        <v>5.8319999999999999</v>
      </c>
      <c r="E48" s="96">
        <v>163.67379</v>
      </c>
      <c r="F48" s="101">
        <f t="shared" si="9"/>
        <v>954.55</v>
      </c>
      <c r="G48" s="101">
        <f t="shared" ref="G48:G53" si="17">ROUND(F48*1.2,2)</f>
        <v>1145.46</v>
      </c>
      <c r="J48" s="438"/>
      <c r="K48" s="438">
        <f t="shared" si="2"/>
        <v>0</v>
      </c>
    </row>
    <row r="49" spans="1:11" x14ac:dyDescent="0.3">
      <c r="A49" s="65">
        <f t="shared" si="16"/>
        <v>43</v>
      </c>
      <c r="B49" s="66" t="s">
        <v>1192</v>
      </c>
      <c r="C49" s="65" t="s">
        <v>254</v>
      </c>
      <c r="D49" s="67">
        <f>24*0.071</f>
        <v>1.7039999999999997</v>
      </c>
      <c r="E49" s="96">
        <v>189.44919000000002</v>
      </c>
      <c r="F49" s="101">
        <f t="shared" si="9"/>
        <v>322.82</v>
      </c>
      <c r="G49" s="101">
        <f t="shared" si="17"/>
        <v>387.38</v>
      </c>
      <c r="J49" s="438"/>
      <c r="K49" s="438">
        <f t="shared" si="2"/>
        <v>0</v>
      </c>
    </row>
    <row r="50" spans="1:11" x14ac:dyDescent="0.3">
      <c r="A50" s="65">
        <f t="shared" si="16"/>
        <v>44</v>
      </c>
      <c r="B50" s="66" t="s">
        <v>801</v>
      </c>
      <c r="C50" s="65" t="s">
        <v>254</v>
      </c>
      <c r="D50" s="67">
        <f>48*0.0172</f>
        <v>0.8256</v>
      </c>
      <c r="E50" s="96">
        <v>255.17646000000005</v>
      </c>
      <c r="F50" s="101">
        <f t="shared" si="9"/>
        <v>210.67</v>
      </c>
      <c r="G50" s="101">
        <f t="shared" si="17"/>
        <v>252.8</v>
      </c>
      <c r="J50" s="438"/>
      <c r="K50" s="438">
        <f t="shared" si="2"/>
        <v>0</v>
      </c>
    </row>
    <row r="51" spans="1:11" s="56" customFormat="1" ht="27.6" x14ac:dyDescent="0.3">
      <c r="A51" s="86">
        <f t="shared" si="16"/>
        <v>45</v>
      </c>
      <c r="B51" s="243" t="s">
        <v>798</v>
      </c>
      <c r="C51" s="86" t="s">
        <v>220</v>
      </c>
      <c r="D51" s="152">
        <v>2</v>
      </c>
      <c r="E51" s="96">
        <v>184.50031319999999</v>
      </c>
      <c r="F51" s="102">
        <f t="shared" si="9"/>
        <v>369</v>
      </c>
      <c r="G51" s="102">
        <f t="shared" si="17"/>
        <v>442.8</v>
      </c>
      <c r="J51" s="438"/>
      <c r="K51" s="438">
        <f t="shared" si="2"/>
        <v>0</v>
      </c>
    </row>
    <row r="52" spans="1:11" ht="27.6" x14ac:dyDescent="0.3">
      <c r="A52" s="65">
        <f t="shared" si="16"/>
        <v>46</v>
      </c>
      <c r="B52" s="66" t="s">
        <v>598</v>
      </c>
      <c r="C52" s="65" t="s">
        <v>220</v>
      </c>
      <c r="D52" s="70">
        <v>2</v>
      </c>
      <c r="E52" s="96">
        <v>4394.7057000000004</v>
      </c>
      <c r="F52" s="101">
        <f t="shared" si="9"/>
        <v>8789.41</v>
      </c>
      <c r="G52" s="101">
        <f t="shared" si="17"/>
        <v>10547.29</v>
      </c>
      <c r="J52" s="438"/>
      <c r="K52" s="438">
        <f t="shared" si="2"/>
        <v>0</v>
      </c>
    </row>
    <row r="53" spans="1:11" x14ac:dyDescent="0.3">
      <c r="A53" s="86">
        <f t="shared" si="16"/>
        <v>47</v>
      </c>
      <c r="B53" s="243" t="s">
        <v>760</v>
      </c>
      <c r="C53" s="86" t="s">
        <v>193</v>
      </c>
      <c r="D53" s="227">
        <v>1</v>
      </c>
      <c r="E53" s="96">
        <v>4961.7645000000002</v>
      </c>
      <c r="F53" s="102">
        <f t="shared" si="9"/>
        <v>4961.76</v>
      </c>
      <c r="G53" s="102">
        <f t="shared" si="17"/>
        <v>5954.11</v>
      </c>
      <c r="J53" s="438"/>
      <c r="K53" s="438">
        <f t="shared" si="2"/>
        <v>0</v>
      </c>
    </row>
    <row r="54" spans="1:11" ht="27.6" x14ac:dyDescent="0.3">
      <c r="A54" s="153"/>
      <c r="B54" s="242" t="s">
        <v>1173</v>
      </c>
      <c r="C54" s="161"/>
      <c r="D54" s="161"/>
      <c r="E54" s="161"/>
      <c r="F54" s="155"/>
      <c r="G54" s="167"/>
      <c r="J54" s="438"/>
      <c r="K54" s="438">
        <f t="shared" si="2"/>
        <v>0</v>
      </c>
    </row>
    <row r="55" spans="1:11" x14ac:dyDescent="0.3">
      <c r="A55" s="65">
        <f>A53+1</f>
        <v>48</v>
      </c>
      <c r="B55" s="66" t="s">
        <v>234</v>
      </c>
      <c r="C55" s="65" t="s">
        <v>193</v>
      </c>
      <c r="D55" s="70">
        <v>636.5</v>
      </c>
      <c r="E55" s="96">
        <v>1701.1764000000003</v>
      </c>
      <c r="F55" s="101">
        <f t="shared" ref="F55:F91" si="18">ROUND(E55*D55,2)</f>
        <v>1082798.78</v>
      </c>
      <c r="G55" s="101">
        <f t="shared" ref="G55:G56" si="19">ROUND(F55*1.2,2)</f>
        <v>1299358.54</v>
      </c>
      <c r="J55" s="438"/>
      <c r="K55" s="438">
        <f t="shared" si="2"/>
        <v>0</v>
      </c>
    </row>
    <row r="56" spans="1:11" s="56" customFormat="1" x14ac:dyDescent="0.3">
      <c r="A56" s="86">
        <f>A55+1</f>
        <v>49</v>
      </c>
      <c r="B56" s="243" t="s">
        <v>1190</v>
      </c>
      <c r="C56" s="86" t="s">
        <v>194</v>
      </c>
      <c r="D56" s="152">
        <v>238</v>
      </c>
      <c r="E56" s="96">
        <v>4238.249022</v>
      </c>
      <c r="F56" s="102">
        <f t="shared" si="18"/>
        <v>1008703.27</v>
      </c>
      <c r="G56" s="102">
        <f t="shared" si="19"/>
        <v>1210443.92</v>
      </c>
      <c r="J56" s="438"/>
      <c r="K56" s="438">
        <f t="shared" si="2"/>
        <v>0</v>
      </c>
    </row>
    <row r="57" spans="1:11" s="56" customFormat="1" x14ac:dyDescent="0.3">
      <c r="A57" s="86">
        <f t="shared" ref="A57:A91" si="20">A56+1</f>
        <v>50</v>
      </c>
      <c r="B57" s="243" t="s">
        <v>1194</v>
      </c>
      <c r="C57" s="86" t="s">
        <v>194</v>
      </c>
      <c r="D57" s="152">
        <v>23</v>
      </c>
      <c r="E57" s="96">
        <v>1217.8876500000001</v>
      </c>
      <c r="F57" s="102">
        <f t="shared" si="18"/>
        <v>28011.42</v>
      </c>
      <c r="G57" s="102">
        <f t="shared" ref="G57:G63" si="21">ROUND(F57*1.2,2)</f>
        <v>33613.699999999997</v>
      </c>
      <c r="J57" s="438"/>
      <c r="K57" s="438">
        <f t="shared" si="2"/>
        <v>0</v>
      </c>
    </row>
    <row r="58" spans="1:11" s="56" customFormat="1" x14ac:dyDescent="0.3">
      <c r="A58" s="86">
        <f t="shared" si="20"/>
        <v>51</v>
      </c>
      <c r="B58" s="243" t="s">
        <v>1191</v>
      </c>
      <c r="C58" s="86" t="s">
        <v>194</v>
      </c>
      <c r="D58" s="152">
        <v>99</v>
      </c>
      <c r="E58" s="96">
        <v>16281.031409999998</v>
      </c>
      <c r="F58" s="102">
        <f t="shared" si="18"/>
        <v>1611822.11</v>
      </c>
      <c r="G58" s="102">
        <f t="shared" si="21"/>
        <v>1934186.53</v>
      </c>
      <c r="J58" s="438"/>
      <c r="K58" s="438">
        <f t="shared" si="2"/>
        <v>0</v>
      </c>
    </row>
    <row r="59" spans="1:11" s="56" customFormat="1" x14ac:dyDescent="0.3">
      <c r="A59" s="86">
        <f t="shared" si="20"/>
        <v>52</v>
      </c>
      <c r="B59" s="243" t="s">
        <v>1195</v>
      </c>
      <c r="C59" s="250" t="s">
        <v>194</v>
      </c>
      <c r="D59" s="227">
        <v>10.5</v>
      </c>
      <c r="E59" s="96">
        <v>6505.7109599999994</v>
      </c>
      <c r="F59" s="102">
        <f t="shared" si="18"/>
        <v>68309.97</v>
      </c>
      <c r="G59" s="102">
        <f t="shared" si="21"/>
        <v>81971.960000000006</v>
      </c>
      <c r="J59" s="438"/>
      <c r="K59" s="438">
        <f t="shared" si="2"/>
        <v>0</v>
      </c>
    </row>
    <row r="60" spans="1:11" s="56" customFormat="1" x14ac:dyDescent="0.3">
      <c r="A60" s="86">
        <f t="shared" si="20"/>
        <v>53</v>
      </c>
      <c r="B60" s="243" t="s">
        <v>1193</v>
      </c>
      <c r="C60" s="86" t="s">
        <v>220</v>
      </c>
      <c r="D60" s="152">
        <v>2</v>
      </c>
      <c r="E60" s="96">
        <v>2226.9945600000001</v>
      </c>
      <c r="F60" s="102">
        <f t="shared" si="18"/>
        <v>4453.99</v>
      </c>
      <c r="G60" s="102">
        <f t="shared" ref="G60:G61" si="22">ROUND(F60*1.2,2)</f>
        <v>5344.79</v>
      </c>
      <c r="J60" s="438"/>
      <c r="K60" s="438">
        <f t="shared" si="2"/>
        <v>0</v>
      </c>
    </row>
    <row r="61" spans="1:11" s="56" customFormat="1" x14ac:dyDescent="0.3">
      <c r="A61" s="86">
        <f t="shared" si="20"/>
        <v>54</v>
      </c>
      <c r="B61" s="243" t="s">
        <v>1207</v>
      </c>
      <c r="C61" s="86" t="s">
        <v>220</v>
      </c>
      <c r="D61" s="152">
        <v>3</v>
      </c>
      <c r="E61" s="96">
        <v>1247.52936</v>
      </c>
      <c r="F61" s="102">
        <f t="shared" si="18"/>
        <v>3742.59</v>
      </c>
      <c r="G61" s="102">
        <f t="shared" si="22"/>
        <v>4491.1099999999997</v>
      </c>
      <c r="J61" s="438"/>
      <c r="K61" s="438">
        <f t="shared" si="2"/>
        <v>0</v>
      </c>
    </row>
    <row r="62" spans="1:11" x14ac:dyDescent="0.3">
      <c r="A62" s="65">
        <f t="shared" si="20"/>
        <v>55</v>
      </c>
      <c r="B62" s="66" t="s">
        <v>603</v>
      </c>
      <c r="C62" s="65" t="s">
        <v>220</v>
      </c>
      <c r="D62" s="70">
        <v>1</v>
      </c>
      <c r="E62" s="96">
        <v>155941.17000000004</v>
      </c>
      <c r="F62" s="101">
        <f t="shared" si="18"/>
        <v>155941.17000000001</v>
      </c>
      <c r="G62" s="101">
        <f t="shared" si="21"/>
        <v>187129.4</v>
      </c>
      <c r="J62" s="438"/>
      <c r="K62" s="438">
        <f t="shared" si="2"/>
        <v>0</v>
      </c>
    </row>
    <row r="63" spans="1:11" x14ac:dyDescent="0.3">
      <c r="A63" s="65">
        <f t="shared" si="20"/>
        <v>56</v>
      </c>
      <c r="B63" s="66" t="s">
        <v>602</v>
      </c>
      <c r="C63" s="65" t="s">
        <v>220</v>
      </c>
      <c r="D63" s="70">
        <v>2</v>
      </c>
      <c r="E63" s="96">
        <v>42038.388630000001</v>
      </c>
      <c r="F63" s="101">
        <f t="shared" si="18"/>
        <v>84076.78</v>
      </c>
      <c r="G63" s="101">
        <f t="shared" si="21"/>
        <v>100892.14</v>
      </c>
      <c r="J63" s="438"/>
      <c r="K63" s="438">
        <f t="shared" si="2"/>
        <v>0</v>
      </c>
    </row>
    <row r="64" spans="1:11" s="56" customFormat="1" x14ac:dyDescent="0.3">
      <c r="A64" s="86">
        <f t="shared" si="20"/>
        <v>57</v>
      </c>
      <c r="B64" s="243" t="s">
        <v>1196</v>
      </c>
      <c r="C64" s="86" t="s">
        <v>220</v>
      </c>
      <c r="D64" s="152">
        <v>2</v>
      </c>
      <c r="E64" s="96">
        <v>22257.0579</v>
      </c>
      <c r="F64" s="102">
        <f t="shared" si="18"/>
        <v>44514.12</v>
      </c>
      <c r="G64" s="102">
        <f t="shared" ref="G64:G66" si="23">ROUND(F64*1.2,2)</f>
        <v>53416.94</v>
      </c>
      <c r="J64" s="438"/>
      <c r="K64" s="438">
        <f t="shared" si="2"/>
        <v>0</v>
      </c>
    </row>
    <row r="65" spans="1:11" s="56" customFormat="1" x14ac:dyDescent="0.3">
      <c r="A65" s="86">
        <f t="shared" si="20"/>
        <v>58</v>
      </c>
      <c r="B65" s="243" t="s">
        <v>783</v>
      </c>
      <c r="C65" s="86" t="s">
        <v>220</v>
      </c>
      <c r="D65" s="152">
        <v>14</v>
      </c>
      <c r="E65" s="96">
        <v>3788.9838</v>
      </c>
      <c r="F65" s="102">
        <f t="shared" si="18"/>
        <v>53045.77</v>
      </c>
      <c r="G65" s="102">
        <f t="shared" si="23"/>
        <v>63654.92</v>
      </c>
      <c r="J65" s="438"/>
      <c r="K65" s="438">
        <f t="shared" si="2"/>
        <v>0</v>
      </c>
    </row>
    <row r="66" spans="1:11" s="56" customFormat="1" x14ac:dyDescent="0.3">
      <c r="A66" s="86">
        <f t="shared" si="20"/>
        <v>59</v>
      </c>
      <c r="B66" s="243" t="s">
        <v>785</v>
      </c>
      <c r="C66" s="86" t="s">
        <v>220</v>
      </c>
      <c r="D66" s="152">
        <v>14</v>
      </c>
      <c r="E66" s="96">
        <v>3578.9142900000002</v>
      </c>
      <c r="F66" s="102">
        <f t="shared" si="18"/>
        <v>50104.800000000003</v>
      </c>
      <c r="G66" s="102">
        <f t="shared" si="23"/>
        <v>60125.760000000002</v>
      </c>
      <c r="J66" s="438"/>
      <c r="K66" s="438">
        <f t="shared" si="2"/>
        <v>0</v>
      </c>
    </row>
    <row r="67" spans="1:11" s="56" customFormat="1" x14ac:dyDescent="0.3">
      <c r="A67" s="86">
        <f t="shared" si="20"/>
        <v>60</v>
      </c>
      <c r="B67" s="243" t="s">
        <v>1197</v>
      </c>
      <c r="C67" s="86" t="s">
        <v>220</v>
      </c>
      <c r="D67" s="152">
        <v>2</v>
      </c>
      <c r="E67" s="96">
        <v>1971.8181000000002</v>
      </c>
      <c r="F67" s="102">
        <f t="shared" si="18"/>
        <v>3943.64</v>
      </c>
      <c r="G67" s="102">
        <f t="shared" ref="G67:G68" si="24">ROUND(F67*1.2,2)</f>
        <v>4732.37</v>
      </c>
      <c r="J67" s="438"/>
      <c r="K67" s="438">
        <f t="shared" si="2"/>
        <v>0</v>
      </c>
    </row>
    <row r="68" spans="1:11" s="56" customFormat="1" x14ac:dyDescent="0.3">
      <c r="A68" s="86">
        <f t="shared" si="20"/>
        <v>61</v>
      </c>
      <c r="B68" s="243" t="s">
        <v>1198</v>
      </c>
      <c r="C68" s="86" t="s">
        <v>220</v>
      </c>
      <c r="D68" s="152">
        <v>2</v>
      </c>
      <c r="E68" s="96">
        <v>639.22991999999999</v>
      </c>
      <c r="F68" s="102">
        <f t="shared" si="18"/>
        <v>1278.46</v>
      </c>
      <c r="G68" s="102">
        <f t="shared" si="24"/>
        <v>1534.15</v>
      </c>
      <c r="J68" s="438"/>
      <c r="K68" s="438">
        <f t="shared" si="2"/>
        <v>0</v>
      </c>
    </row>
    <row r="69" spans="1:11" s="56" customFormat="1" x14ac:dyDescent="0.3">
      <c r="A69" s="86">
        <f t="shared" si="20"/>
        <v>62</v>
      </c>
      <c r="B69" s="243" t="s">
        <v>1199</v>
      </c>
      <c r="C69" s="86" t="s">
        <v>220</v>
      </c>
      <c r="D69" s="152">
        <v>1</v>
      </c>
      <c r="E69" s="96">
        <v>451.06950000000001</v>
      </c>
      <c r="F69" s="102">
        <f t="shared" si="18"/>
        <v>451.07</v>
      </c>
      <c r="G69" s="102">
        <f t="shared" ref="G69:G72" si="25">ROUND(F69*1.2,2)</f>
        <v>541.28</v>
      </c>
      <c r="J69" s="438"/>
      <c r="K69" s="438">
        <f t="shared" si="2"/>
        <v>0</v>
      </c>
    </row>
    <row r="70" spans="1:11" x14ac:dyDescent="0.3">
      <c r="A70" s="65">
        <f t="shared" si="20"/>
        <v>63</v>
      </c>
      <c r="B70" s="66" t="s">
        <v>1200</v>
      </c>
      <c r="C70" s="65" t="s">
        <v>254</v>
      </c>
      <c r="D70" s="67">
        <f>196*0.243</f>
        <v>47.628</v>
      </c>
      <c r="E70" s="96">
        <v>163.67379</v>
      </c>
      <c r="F70" s="101">
        <f t="shared" si="18"/>
        <v>7795.46</v>
      </c>
      <c r="G70" s="101">
        <f t="shared" si="25"/>
        <v>9354.5499999999993</v>
      </c>
      <c r="J70" s="438"/>
      <c r="K70" s="438">
        <f t="shared" ref="K70:K133" si="26">E70*J70*1.2</f>
        <v>0</v>
      </c>
    </row>
    <row r="71" spans="1:11" x14ac:dyDescent="0.3">
      <c r="A71" s="65">
        <f t="shared" si="20"/>
        <v>64</v>
      </c>
      <c r="B71" s="66" t="s">
        <v>1201</v>
      </c>
      <c r="C71" s="65" t="s">
        <v>254</v>
      </c>
      <c r="D71" s="67">
        <f>196*0.071</f>
        <v>13.915999999999999</v>
      </c>
      <c r="E71" s="96">
        <v>189.44919000000002</v>
      </c>
      <c r="F71" s="101">
        <f t="shared" si="18"/>
        <v>2636.37</v>
      </c>
      <c r="G71" s="101">
        <f t="shared" si="25"/>
        <v>3163.64</v>
      </c>
      <c r="J71" s="438"/>
      <c r="K71" s="438">
        <f t="shared" si="26"/>
        <v>0</v>
      </c>
    </row>
    <row r="72" spans="1:11" ht="15.75" customHeight="1" x14ac:dyDescent="0.3">
      <c r="A72" s="65">
        <f t="shared" si="20"/>
        <v>65</v>
      </c>
      <c r="B72" s="66" t="s">
        <v>1202</v>
      </c>
      <c r="C72" s="65" t="s">
        <v>254</v>
      </c>
      <c r="D72" s="67">
        <f>392*0.0172</f>
        <v>6.7423999999999999</v>
      </c>
      <c r="E72" s="96">
        <v>255.17646000000005</v>
      </c>
      <c r="F72" s="101">
        <f t="shared" si="18"/>
        <v>1720.5</v>
      </c>
      <c r="G72" s="101">
        <f t="shared" si="25"/>
        <v>2064.6</v>
      </c>
      <c r="J72" s="438"/>
      <c r="K72" s="438">
        <f t="shared" si="26"/>
        <v>0</v>
      </c>
    </row>
    <row r="73" spans="1:11" s="56" customFormat="1" ht="27.6" x14ac:dyDescent="0.3">
      <c r="A73" s="86">
        <f t="shared" si="20"/>
        <v>66</v>
      </c>
      <c r="B73" s="243" t="s">
        <v>798</v>
      </c>
      <c r="C73" s="86" t="s">
        <v>220</v>
      </c>
      <c r="D73" s="152">
        <v>2</v>
      </c>
      <c r="E73" s="96">
        <v>115.9893</v>
      </c>
      <c r="F73" s="102">
        <f t="shared" si="18"/>
        <v>231.98</v>
      </c>
      <c r="G73" s="102">
        <f t="shared" ref="G73" si="27">ROUND(F73*1.2,2)</f>
        <v>278.38</v>
      </c>
      <c r="J73" s="438"/>
      <c r="K73" s="438">
        <f t="shared" si="26"/>
        <v>0</v>
      </c>
    </row>
    <row r="74" spans="1:11" ht="27.6" x14ac:dyDescent="0.3">
      <c r="A74" s="65">
        <f t="shared" si="20"/>
        <v>67</v>
      </c>
      <c r="B74" s="66" t="s">
        <v>1203</v>
      </c>
      <c r="C74" s="65" t="s">
        <v>220</v>
      </c>
      <c r="D74" s="70">
        <v>2</v>
      </c>
      <c r="E74" s="96">
        <v>42.529410000000006</v>
      </c>
      <c r="F74" s="101">
        <f t="shared" si="18"/>
        <v>85.06</v>
      </c>
      <c r="G74" s="101">
        <f t="shared" ref="G74:G86" si="28">ROUND(F74*1.2,2)</f>
        <v>102.07</v>
      </c>
      <c r="J74" s="438"/>
      <c r="K74" s="438">
        <f t="shared" si="26"/>
        <v>0</v>
      </c>
    </row>
    <row r="75" spans="1:11" ht="27.6" x14ac:dyDescent="0.3">
      <c r="A75" s="65">
        <f t="shared" si="20"/>
        <v>68</v>
      </c>
      <c r="B75" s="66" t="s">
        <v>598</v>
      </c>
      <c r="C75" s="65" t="s">
        <v>220</v>
      </c>
      <c r="D75" s="70">
        <v>14</v>
      </c>
      <c r="E75" s="96">
        <v>4394.7057000000004</v>
      </c>
      <c r="F75" s="101">
        <f t="shared" si="18"/>
        <v>61525.88</v>
      </c>
      <c r="G75" s="101">
        <f t="shared" si="28"/>
        <v>73831.06</v>
      </c>
      <c r="J75" s="438"/>
      <c r="K75" s="438">
        <f t="shared" si="26"/>
        <v>0</v>
      </c>
    </row>
    <row r="76" spans="1:11" ht="27.6" x14ac:dyDescent="0.3">
      <c r="A76" s="65">
        <f t="shared" si="20"/>
        <v>69</v>
      </c>
      <c r="B76" s="66" t="s">
        <v>601</v>
      </c>
      <c r="C76" s="65" t="s">
        <v>220</v>
      </c>
      <c r="D76" s="70">
        <v>2</v>
      </c>
      <c r="E76" s="96">
        <v>1927.9999200000002</v>
      </c>
      <c r="F76" s="101">
        <f t="shared" si="18"/>
        <v>3856</v>
      </c>
      <c r="G76" s="101">
        <f t="shared" si="28"/>
        <v>4627.2</v>
      </c>
      <c r="J76" s="438"/>
      <c r="K76" s="438">
        <f t="shared" si="26"/>
        <v>0</v>
      </c>
    </row>
    <row r="77" spans="1:11" s="56" customFormat="1" x14ac:dyDescent="0.3">
      <c r="A77" s="86">
        <f t="shared" si="20"/>
        <v>70</v>
      </c>
      <c r="B77" s="243" t="s">
        <v>1204</v>
      </c>
      <c r="C77" s="86" t="s">
        <v>220</v>
      </c>
      <c r="D77" s="152">
        <v>2</v>
      </c>
      <c r="E77" s="96">
        <v>32623.923780000001</v>
      </c>
      <c r="F77" s="102">
        <f t="shared" si="18"/>
        <v>65247.85</v>
      </c>
      <c r="G77" s="102">
        <f t="shared" si="28"/>
        <v>78297.42</v>
      </c>
      <c r="J77" s="438"/>
      <c r="K77" s="438">
        <f t="shared" si="26"/>
        <v>0</v>
      </c>
    </row>
    <row r="78" spans="1:11" s="56" customFormat="1" x14ac:dyDescent="0.3">
      <c r="A78" s="86">
        <f t="shared" si="20"/>
        <v>71</v>
      </c>
      <c r="B78" s="243" t="s">
        <v>1205</v>
      </c>
      <c r="C78" s="86" t="s">
        <v>220</v>
      </c>
      <c r="D78" s="152">
        <v>2</v>
      </c>
      <c r="E78" s="96">
        <v>29796.362400000002</v>
      </c>
      <c r="F78" s="102">
        <f t="shared" si="18"/>
        <v>59592.72</v>
      </c>
      <c r="G78" s="102">
        <f t="shared" si="28"/>
        <v>71511.259999999995</v>
      </c>
      <c r="J78" s="438"/>
      <c r="K78" s="438">
        <f t="shared" si="26"/>
        <v>0</v>
      </c>
    </row>
    <row r="79" spans="1:11" x14ac:dyDescent="0.3">
      <c r="A79" s="65">
        <f t="shared" si="20"/>
        <v>72</v>
      </c>
      <c r="B79" s="243" t="s">
        <v>760</v>
      </c>
      <c r="C79" s="86" t="s">
        <v>193</v>
      </c>
      <c r="D79" s="152">
        <v>14</v>
      </c>
      <c r="E79" s="96">
        <v>4961.7645000000002</v>
      </c>
      <c r="F79" s="102">
        <f t="shared" si="18"/>
        <v>69464.7</v>
      </c>
      <c r="G79" s="102">
        <f t="shared" si="28"/>
        <v>83357.64</v>
      </c>
      <c r="J79" s="438"/>
      <c r="K79" s="438">
        <f t="shared" si="26"/>
        <v>0</v>
      </c>
    </row>
    <row r="80" spans="1:11" x14ac:dyDescent="0.3">
      <c r="A80" s="65">
        <f t="shared" si="20"/>
        <v>73</v>
      </c>
      <c r="B80" s="243" t="s">
        <v>761</v>
      </c>
      <c r="C80" s="86" t="s">
        <v>220</v>
      </c>
      <c r="D80" s="152">
        <v>3</v>
      </c>
      <c r="E80" s="96">
        <v>5883.2350500000002</v>
      </c>
      <c r="F80" s="102">
        <f t="shared" si="18"/>
        <v>17649.71</v>
      </c>
      <c r="G80" s="102">
        <f t="shared" si="28"/>
        <v>21179.65</v>
      </c>
      <c r="J80" s="438"/>
      <c r="K80" s="438">
        <f t="shared" si="26"/>
        <v>0</v>
      </c>
    </row>
    <row r="81" spans="1:11" x14ac:dyDescent="0.3">
      <c r="A81" s="65">
        <f t="shared" si="20"/>
        <v>74</v>
      </c>
      <c r="B81" s="243" t="s">
        <v>1133</v>
      </c>
      <c r="C81" s="86" t="s">
        <v>220</v>
      </c>
      <c r="D81" s="152">
        <v>3</v>
      </c>
      <c r="E81" s="96">
        <v>5528.8233</v>
      </c>
      <c r="F81" s="102">
        <f t="shared" si="18"/>
        <v>16586.47</v>
      </c>
      <c r="G81" s="102">
        <f t="shared" si="28"/>
        <v>19903.759999999998</v>
      </c>
      <c r="J81" s="438"/>
      <c r="K81" s="438">
        <f t="shared" si="26"/>
        <v>0</v>
      </c>
    </row>
    <row r="82" spans="1:11" x14ac:dyDescent="0.3">
      <c r="A82" s="65">
        <f t="shared" si="20"/>
        <v>75</v>
      </c>
      <c r="B82" s="243" t="s">
        <v>1134</v>
      </c>
      <c r="C82" s="86" t="s">
        <v>220</v>
      </c>
      <c r="D82" s="152">
        <v>4</v>
      </c>
      <c r="E82" s="96">
        <v>6521.1762000000008</v>
      </c>
      <c r="F82" s="102">
        <f t="shared" si="18"/>
        <v>26084.7</v>
      </c>
      <c r="G82" s="102">
        <f t="shared" si="28"/>
        <v>31301.64</v>
      </c>
      <c r="J82" s="438"/>
      <c r="K82" s="438">
        <f t="shared" si="26"/>
        <v>0</v>
      </c>
    </row>
    <row r="83" spans="1:11" x14ac:dyDescent="0.3">
      <c r="A83" s="65">
        <f t="shared" si="20"/>
        <v>76</v>
      </c>
      <c r="B83" s="243" t="s">
        <v>1135</v>
      </c>
      <c r="C83" s="86" t="s">
        <v>220</v>
      </c>
      <c r="D83" s="152">
        <v>4</v>
      </c>
      <c r="E83" s="96">
        <v>5245.2939000000006</v>
      </c>
      <c r="F83" s="102">
        <f t="shared" si="18"/>
        <v>20981.18</v>
      </c>
      <c r="G83" s="102">
        <f t="shared" si="28"/>
        <v>25177.42</v>
      </c>
      <c r="J83" s="438"/>
      <c r="K83" s="438">
        <f t="shared" si="26"/>
        <v>0</v>
      </c>
    </row>
    <row r="84" spans="1:11" x14ac:dyDescent="0.3">
      <c r="A84" s="65">
        <f t="shared" si="20"/>
        <v>77</v>
      </c>
      <c r="B84" s="243" t="s">
        <v>590</v>
      </c>
      <c r="C84" s="86" t="s">
        <v>220</v>
      </c>
      <c r="D84" s="246" t="s">
        <v>586</v>
      </c>
      <c r="E84" s="96">
        <v>1019.41707</v>
      </c>
      <c r="F84" s="102">
        <f t="shared" si="18"/>
        <v>4077.67</v>
      </c>
      <c r="G84" s="102">
        <f t="shared" si="28"/>
        <v>4893.2</v>
      </c>
      <c r="J84" s="438"/>
      <c r="K84" s="438">
        <f t="shared" si="26"/>
        <v>0</v>
      </c>
    </row>
    <row r="85" spans="1:11" x14ac:dyDescent="0.3">
      <c r="A85" s="65">
        <f t="shared" si="20"/>
        <v>78</v>
      </c>
      <c r="B85" s="243" t="s">
        <v>1128</v>
      </c>
      <c r="C85" s="86" t="s">
        <v>220</v>
      </c>
      <c r="D85" s="246" t="s">
        <v>1148</v>
      </c>
      <c r="E85" s="96">
        <v>19563.528600000005</v>
      </c>
      <c r="F85" s="102">
        <f t="shared" si="18"/>
        <v>58690.59</v>
      </c>
      <c r="G85" s="102">
        <f t="shared" si="28"/>
        <v>70428.710000000006</v>
      </c>
      <c r="J85" s="438"/>
      <c r="K85" s="438">
        <f t="shared" si="26"/>
        <v>0</v>
      </c>
    </row>
    <row r="86" spans="1:11" ht="17.25" customHeight="1" x14ac:dyDescent="0.3">
      <c r="A86" s="65">
        <f t="shared" si="20"/>
        <v>79</v>
      </c>
      <c r="B86" s="243" t="s">
        <v>1208</v>
      </c>
      <c r="C86" s="86" t="s">
        <v>254</v>
      </c>
      <c r="D86" s="246" t="s">
        <v>770</v>
      </c>
      <c r="E86" s="96">
        <v>904.71654000000001</v>
      </c>
      <c r="F86" s="102">
        <f t="shared" si="18"/>
        <v>20808.48</v>
      </c>
      <c r="G86" s="102">
        <f t="shared" si="28"/>
        <v>24970.18</v>
      </c>
      <c r="J86" s="438"/>
      <c r="K86" s="438">
        <f t="shared" si="26"/>
        <v>0</v>
      </c>
    </row>
    <row r="87" spans="1:11" s="56" customFormat="1" x14ac:dyDescent="0.3">
      <c r="A87" s="86">
        <f t="shared" si="20"/>
        <v>80</v>
      </c>
      <c r="B87" s="243" t="s">
        <v>1209</v>
      </c>
      <c r="C87" s="86" t="s">
        <v>254</v>
      </c>
      <c r="D87" s="226">
        <f>18*0.92</f>
        <v>16.560000000000002</v>
      </c>
      <c r="E87" s="96">
        <v>552.88232999999991</v>
      </c>
      <c r="F87" s="102">
        <f t="shared" si="18"/>
        <v>9155.73</v>
      </c>
      <c r="G87" s="102">
        <f t="shared" ref="G87:G88" si="29">ROUND(F87*1.2,2)</f>
        <v>10986.88</v>
      </c>
      <c r="J87" s="438"/>
      <c r="K87" s="438">
        <f t="shared" si="26"/>
        <v>0</v>
      </c>
    </row>
    <row r="88" spans="1:11" s="56" customFormat="1" x14ac:dyDescent="0.3">
      <c r="A88" s="86">
        <f t="shared" si="20"/>
        <v>81</v>
      </c>
      <c r="B88" s="243" t="s">
        <v>1210</v>
      </c>
      <c r="C88" s="86" t="s">
        <v>254</v>
      </c>
      <c r="D88" s="226">
        <f>18*0.94</f>
        <v>16.919999999999998</v>
      </c>
      <c r="E88" s="96">
        <v>371.16575999999998</v>
      </c>
      <c r="F88" s="102">
        <f t="shared" si="18"/>
        <v>6280.12</v>
      </c>
      <c r="G88" s="102">
        <f t="shared" si="29"/>
        <v>7536.14</v>
      </c>
      <c r="J88" s="438"/>
      <c r="K88" s="438">
        <f t="shared" si="26"/>
        <v>0</v>
      </c>
    </row>
    <row r="89" spans="1:11" x14ac:dyDescent="0.3">
      <c r="A89" s="65">
        <f t="shared" si="20"/>
        <v>82</v>
      </c>
      <c r="B89" s="66" t="s">
        <v>773</v>
      </c>
      <c r="C89" s="86" t="s">
        <v>387</v>
      </c>
      <c r="D89" s="71">
        <f>15.5*20/16</f>
        <v>19.375</v>
      </c>
      <c r="E89" s="96">
        <v>322.1925</v>
      </c>
      <c r="F89" s="102">
        <f t="shared" si="18"/>
        <v>6242.48</v>
      </c>
      <c r="G89" s="102">
        <f t="shared" ref="G89:G90" si="30">ROUND(F89*1.2,2)</f>
        <v>7490.98</v>
      </c>
      <c r="J89" s="438"/>
      <c r="K89" s="438">
        <f t="shared" si="26"/>
        <v>0</v>
      </c>
    </row>
    <row r="90" spans="1:11" x14ac:dyDescent="0.3">
      <c r="A90" s="65">
        <f t="shared" si="20"/>
        <v>83</v>
      </c>
      <c r="B90" s="66" t="s">
        <v>388</v>
      </c>
      <c r="C90" s="86" t="s">
        <v>254</v>
      </c>
      <c r="D90" s="70">
        <f>102</f>
        <v>102</v>
      </c>
      <c r="E90" s="96">
        <v>402.09624000000002</v>
      </c>
      <c r="F90" s="102">
        <f t="shared" si="18"/>
        <v>41013.82</v>
      </c>
      <c r="G90" s="102">
        <f t="shared" si="30"/>
        <v>49216.58</v>
      </c>
      <c r="J90" s="438"/>
      <c r="K90" s="438">
        <f t="shared" si="26"/>
        <v>0</v>
      </c>
    </row>
    <row r="91" spans="1:11" x14ac:dyDescent="0.3">
      <c r="A91" s="65">
        <f t="shared" si="20"/>
        <v>84</v>
      </c>
      <c r="B91" s="66" t="s">
        <v>776</v>
      </c>
      <c r="C91" s="73" t="s">
        <v>193</v>
      </c>
      <c r="D91" s="70">
        <v>2</v>
      </c>
      <c r="E91" s="96">
        <v>1763.03736</v>
      </c>
      <c r="F91" s="101">
        <f t="shared" si="18"/>
        <v>3526.07</v>
      </c>
      <c r="G91" s="101">
        <f t="shared" ref="G91" si="31">ROUND(F91*1.2,2)</f>
        <v>4231.28</v>
      </c>
      <c r="J91" s="438"/>
      <c r="K91" s="438">
        <f t="shared" si="26"/>
        <v>0</v>
      </c>
    </row>
    <row r="92" spans="1:11" s="209" customFormat="1" ht="36" customHeight="1" x14ac:dyDescent="0.3">
      <c r="A92" s="457"/>
      <c r="B92" s="591" t="s">
        <v>1160</v>
      </c>
      <c r="C92" s="592"/>
      <c r="D92" s="592"/>
      <c r="E92" s="480"/>
      <c r="F92" s="481"/>
      <c r="G92" s="482"/>
      <c r="H92" s="210"/>
      <c r="J92" s="439"/>
      <c r="K92" s="439">
        <f t="shared" si="26"/>
        <v>0</v>
      </c>
    </row>
    <row r="93" spans="1:11" s="209" customFormat="1" x14ac:dyDescent="0.3">
      <c r="A93" s="429">
        <f>A27+1</f>
        <v>24</v>
      </c>
      <c r="B93" s="208" t="s">
        <v>234</v>
      </c>
      <c r="C93" s="429" t="s">
        <v>193</v>
      </c>
      <c r="D93" s="435">
        <f>9.5+2</f>
        <v>11.5</v>
      </c>
      <c r="E93" s="483">
        <v>1701.1764000000003</v>
      </c>
      <c r="F93" s="434">
        <f t="shared" ref="F93:F104" si="32">ROUND(E93*D93,2)</f>
        <v>19563.53</v>
      </c>
      <c r="G93" s="434">
        <f t="shared" ref="G93:G104" si="33">ROUND(F93*1.2,2)</f>
        <v>23476.240000000002</v>
      </c>
      <c r="J93" s="439">
        <f>D93</f>
        <v>11.5</v>
      </c>
      <c r="K93" s="439">
        <f t="shared" si="26"/>
        <v>23476.234320000007</v>
      </c>
    </row>
    <row r="94" spans="1:11" s="209" customFormat="1" x14ac:dyDescent="0.3">
      <c r="A94" s="429">
        <f t="shared" ref="A94:A104" si="34">A93+1</f>
        <v>25</v>
      </c>
      <c r="B94" s="208" t="s">
        <v>572</v>
      </c>
      <c r="C94" s="441" t="s">
        <v>194</v>
      </c>
      <c r="D94" s="248">
        <v>32</v>
      </c>
      <c r="E94" s="483">
        <v>1063.2352500000004</v>
      </c>
      <c r="F94" s="434">
        <f t="shared" si="32"/>
        <v>34023.53</v>
      </c>
      <c r="G94" s="434">
        <f t="shared" si="33"/>
        <v>40828.239999999998</v>
      </c>
      <c r="J94" s="439">
        <f t="shared" ref="J94:J104" si="35">D94</f>
        <v>32</v>
      </c>
      <c r="K94" s="439">
        <f t="shared" si="26"/>
        <v>40828.233600000014</v>
      </c>
    </row>
    <row r="95" spans="1:11" s="209" customFormat="1" x14ac:dyDescent="0.3">
      <c r="A95" s="429">
        <f t="shared" si="34"/>
        <v>26</v>
      </c>
      <c r="B95" s="208" t="s">
        <v>573</v>
      </c>
      <c r="C95" s="441" t="s">
        <v>194</v>
      </c>
      <c r="D95" s="435">
        <v>7.5</v>
      </c>
      <c r="E95" s="483">
        <v>7797.0585000000019</v>
      </c>
      <c r="F95" s="434">
        <f t="shared" si="32"/>
        <v>58477.94</v>
      </c>
      <c r="G95" s="434">
        <f t="shared" si="33"/>
        <v>70173.53</v>
      </c>
      <c r="J95" s="439">
        <f t="shared" si="35"/>
        <v>7.5</v>
      </c>
      <c r="K95" s="439">
        <f t="shared" si="26"/>
        <v>70173.526500000022</v>
      </c>
    </row>
    <row r="96" spans="1:11" s="272" customFormat="1" x14ac:dyDescent="0.3">
      <c r="A96" s="464">
        <f>A95+1</f>
        <v>27</v>
      </c>
      <c r="B96" s="471" t="s">
        <v>1164</v>
      </c>
      <c r="C96" s="464" t="s">
        <v>220</v>
      </c>
      <c r="D96" s="473">
        <v>3</v>
      </c>
      <c r="E96" s="483">
        <v>1247.52936</v>
      </c>
      <c r="F96" s="467">
        <f t="shared" si="32"/>
        <v>3742.59</v>
      </c>
      <c r="G96" s="467">
        <f t="shared" ref="G96" si="36">ROUND(F96*1.2,2)</f>
        <v>4491.1099999999997</v>
      </c>
      <c r="J96" s="439">
        <f t="shared" si="35"/>
        <v>3</v>
      </c>
      <c r="K96" s="439">
        <f t="shared" si="26"/>
        <v>4491.1056959999996</v>
      </c>
    </row>
    <row r="97" spans="1:11" s="209" customFormat="1" x14ac:dyDescent="0.3">
      <c r="A97" s="429">
        <f>A96+1</f>
        <v>28</v>
      </c>
      <c r="B97" s="208" t="s">
        <v>574</v>
      </c>
      <c r="C97" s="429" t="s">
        <v>220</v>
      </c>
      <c r="D97" s="248">
        <v>2</v>
      </c>
      <c r="E97" s="483">
        <v>13099.058279999999</v>
      </c>
      <c r="F97" s="434">
        <f t="shared" si="32"/>
        <v>26198.12</v>
      </c>
      <c r="G97" s="434">
        <f t="shared" si="33"/>
        <v>31437.74</v>
      </c>
      <c r="J97" s="439">
        <f t="shared" si="35"/>
        <v>2</v>
      </c>
      <c r="K97" s="439">
        <f t="shared" si="26"/>
        <v>31437.739871999998</v>
      </c>
    </row>
    <row r="98" spans="1:11" s="209" customFormat="1" ht="27.6" x14ac:dyDescent="0.3">
      <c r="A98" s="429">
        <f t="shared" si="34"/>
        <v>29</v>
      </c>
      <c r="B98" s="208" t="s">
        <v>575</v>
      </c>
      <c r="C98" s="429" t="s">
        <v>220</v>
      </c>
      <c r="D98" s="248">
        <v>2</v>
      </c>
      <c r="E98" s="483">
        <v>992.3529000000002</v>
      </c>
      <c r="F98" s="434">
        <f t="shared" si="32"/>
        <v>1984.71</v>
      </c>
      <c r="G98" s="434">
        <f t="shared" si="33"/>
        <v>2381.65</v>
      </c>
      <c r="J98" s="439">
        <f t="shared" si="35"/>
        <v>2</v>
      </c>
      <c r="K98" s="439">
        <f t="shared" si="26"/>
        <v>2381.6469600000005</v>
      </c>
    </row>
    <row r="99" spans="1:11" s="209" customFormat="1" x14ac:dyDescent="0.3">
      <c r="A99" s="429">
        <f t="shared" si="34"/>
        <v>30</v>
      </c>
      <c r="B99" s="208" t="s">
        <v>560</v>
      </c>
      <c r="C99" s="441" t="s">
        <v>254</v>
      </c>
      <c r="D99" s="442">
        <f>16*0.243</f>
        <v>3.8879999999999999</v>
      </c>
      <c r="E99" s="483">
        <v>163.67379</v>
      </c>
      <c r="F99" s="434">
        <f t="shared" si="32"/>
        <v>636.36</v>
      </c>
      <c r="G99" s="434">
        <f t="shared" si="33"/>
        <v>763.63</v>
      </c>
      <c r="J99" s="439">
        <f t="shared" si="35"/>
        <v>3.8879999999999999</v>
      </c>
      <c r="K99" s="439">
        <f t="shared" si="26"/>
        <v>763.63643462399989</v>
      </c>
    </row>
    <row r="100" spans="1:11" s="209" customFormat="1" x14ac:dyDescent="0.3">
      <c r="A100" s="429">
        <f t="shared" si="34"/>
        <v>31</v>
      </c>
      <c r="B100" s="208" t="s">
        <v>562</v>
      </c>
      <c r="C100" s="441" t="s">
        <v>254</v>
      </c>
      <c r="D100" s="442">
        <f>16*0.071</f>
        <v>1.1359999999999999</v>
      </c>
      <c r="E100" s="483">
        <v>189.44919000000002</v>
      </c>
      <c r="F100" s="434">
        <f t="shared" si="32"/>
        <v>215.21</v>
      </c>
      <c r="G100" s="434">
        <f t="shared" si="33"/>
        <v>258.25</v>
      </c>
      <c r="J100" s="439">
        <f t="shared" si="35"/>
        <v>1.1359999999999999</v>
      </c>
      <c r="K100" s="439">
        <f t="shared" si="26"/>
        <v>258.25713580799999</v>
      </c>
    </row>
    <row r="101" spans="1:11" s="209" customFormat="1" x14ac:dyDescent="0.3">
      <c r="A101" s="429">
        <f t="shared" si="34"/>
        <v>32</v>
      </c>
      <c r="B101" s="208" t="s">
        <v>564</v>
      </c>
      <c r="C101" s="441" t="s">
        <v>254</v>
      </c>
      <c r="D101" s="442">
        <f>32*0.0172</f>
        <v>0.5504</v>
      </c>
      <c r="E101" s="483">
        <v>255.17646000000005</v>
      </c>
      <c r="F101" s="434">
        <f t="shared" si="32"/>
        <v>140.44999999999999</v>
      </c>
      <c r="G101" s="434">
        <f t="shared" si="33"/>
        <v>168.54</v>
      </c>
      <c r="J101" s="439">
        <f t="shared" si="35"/>
        <v>0.5504</v>
      </c>
      <c r="K101" s="439">
        <f t="shared" si="26"/>
        <v>168.53894830080003</v>
      </c>
    </row>
    <row r="102" spans="1:11" s="209" customFormat="1" x14ac:dyDescent="0.3">
      <c r="A102" s="429">
        <f t="shared" si="34"/>
        <v>33</v>
      </c>
      <c r="B102" s="208" t="s">
        <v>406</v>
      </c>
      <c r="C102" s="429" t="s">
        <v>220</v>
      </c>
      <c r="D102" s="248">
        <v>2</v>
      </c>
      <c r="E102" s="483">
        <v>42.529410000000006</v>
      </c>
      <c r="F102" s="434">
        <f t="shared" si="32"/>
        <v>85.06</v>
      </c>
      <c r="G102" s="434">
        <f t="shared" si="33"/>
        <v>102.07</v>
      </c>
      <c r="J102" s="439">
        <f t="shared" si="35"/>
        <v>2</v>
      </c>
      <c r="K102" s="439">
        <f t="shared" si="26"/>
        <v>102.07058400000001</v>
      </c>
    </row>
    <row r="103" spans="1:11" s="209" customFormat="1" ht="30.75" customHeight="1" x14ac:dyDescent="0.3">
      <c r="A103" s="429">
        <f t="shared" si="34"/>
        <v>34</v>
      </c>
      <c r="B103" s="208" t="s">
        <v>576</v>
      </c>
      <c r="C103" s="429" t="s">
        <v>220</v>
      </c>
      <c r="D103" s="248">
        <v>2</v>
      </c>
      <c r="E103" s="483">
        <v>992.3529000000002</v>
      </c>
      <c r="F103" s="434">
        <f t="shared" si="32"/>
        <v>1984.71</v>
      </c>
      <c r="G103" s="434">
        <f t="shared" si="33"/>
        <v>2381.65</v>
      </c>
      <c r="J103" s="439">
        <f t="shared" si="35"/>
        <v>2</v>
      </c>
      <c r="K103" s="439">
        <f t="shared" si="26"/>
        <v>2381.6469600000005</v>
      </c>
    </row>
    <row r="104" spans="1:11" s="209" customFormat="1" ht="21.75" customHeight="1" x14ac:dyDescent="0.3">
      <c r="A104" s="464">
        <f t="shared" si="34"/>
        <v>35</v>
      </c>
      <c r="B104" s="471" t="s">
        <v>760</v>
      </c>
      <c r="C104" s="464" t="s">
        <v>193</v>
      </c>
      <c r="D104" s="473">
        <v>0.7</v>
      </c>
      <c r="E104" s="483">
        <v>4961.7645000000002</v>
      </c>
      <c r="F104" s="467">
        <f t="shared" si="32"/>
        <v>3473.24</v>
      </c>
      <c r="G104" s="467">
        <f t="shared" si="33"/>
        <v>4167.8900000000003</v>
      </c>
      <c r="J104" s="439">
        <f t="shared" si="35"/>
        <v>0.7</v>
      </c>
      <c r="K104" s="439">
        <f t="shared" si="26"/>
        <v>4167.8821799999996</v>
      </c>
    </row>
    <row r="105" spans="1:11" ht="29.25" customHeight="1" x14ac:dyDescent="0.3">
      <c r="A105" s="153"/>
      <c r="B105" s="589" t="s">
        <v>1163</v>
      </c>
      <c r="C105" s="590"/>
      <c r="D105" s="590"/>
      <c r="E105" s="341"/>
      <c r="F105" s="156"/>
      <c r="G105" s="125"/>
      <c r="H105" s="210"/>
      <c r="J105" s="438"/>
      <c r="K105" s="438">
        <f t="shared" si="26"/>
        <v>0</v>
      </c>
    </row>
    <row r="106" spans="1:11" x14ac:dyDescent="0.3">
      <c r="A106" s="65">
        <f>A104+1</f>
        <v>36</v>
      </c>
      <c r="B106" s="66" t="s">
        <v>234</v>
      </c>
      <c r="C106" s="65" t="s">
        <v>193</v>
      </c>
      <c r="D106" s="70">
        <f>12+3</f>
        <v>15</v>
      </c>
      <c r="E106" s="96">
        <v>1701.1764000000003</v>
      </c>
      <c r="F106" s="101">
        <f t="shared" ref="F106:F117" si="37">ROUND(E106*D106,2)</f>
        <v>25517.65</v>
      </c>
      <c r="G106" s="101">
        <f t="shared" ref="G106:G117" si="38">ROUND(F106*1.2,2)</f>
        <v>30621.18</v>
      </c>
      <c r="J106" s="438"/>
      <c r="K106" s="438">
        <f t="shared" si="26"/>
        <v>0</v>
      </c>
    </row>
    <row r="107" spans="1:11" x14ac:dyDescent="0.3">
      <c r="A107" s="65">
        <f>A106+1</f>
        <v>37</v>
      </c>
      <c r="B107" s="66" t="s">
        <v>551</v>
      </c>
      <c r="C107" s="65" t="s">
        <v>194</v>
      </c>
      <c r="D107" s="70">
        <v>50</v>
      </c>
      <c r="E107" s="96">
        <v>510.3529200000001</v>
      </c>
      <c r="F107" s="101">
        <f t="shared" si="37"/>
        <v>25517.65</v>
      </c>
      <c r="G107" s="101">
        <f t="shared" si="38"/>
        <v>30621.18</v>
      </c>
      <c r="J107" s="438"/>
      <c r="K107" s="438">
        <f t="shared" si="26"/>
        <v>0</v>
      </c>
    </row>
    <row r="108" spans="1:11" x14ac:dyDescent="0.3">
      <c r="A108" s="65">
        <f t="shared" ref="A108:A117" si="39">A107+1</f>
        <v>38</v>
      </c>
      <c r="B108" s="66" t="s">
        <v>553</v>
      </c>
      <c r="C108" s="65" t="s">
        <v>194</v>
      </c>
      <c r="D108" s="70">
        <v>17</v>
      </c>
      <c r="E108" s="96">
        <v>6095.8821000000007</v>
      </c>
      <c r="F108" s="101">
        <f t="shared" si="37"/>
        <v>103630</v>
      </c>
      <c r="G108" s="101">
        <f t="shared" si="38"/>
        <v>124356</v>
      </c>
      <c r="J108" s="438"/>
      <c r="K108" s="438">
        <f t="shared" si="26"/>
        <v>0</v>
      </c>
    </row>
    <row r="109" spans="1:11" s="56" customFormat="1" x14ac:dyDescent="0.3">
      <c r="A109" s="86">
        <f>A108+1</f>
        <v>39</v>
      </c>
      <c r="B109" s="243" t="s">
        <v>1166</v>
      </c>
      <c r="C109" s="86" t="s">
        <v>220</v>
      </c>
      <c r="D109" s="227">
        <v>5</v>
      </c>
      <c r="E109" s="96">
        <v>1069.6791000000003</v>
      </c>
      <c r="F109" s="102">
        <f t="shared" si="37"/>
        <v>5348.4</v>
      </c>
      <c r="G109" s="102">
        <f t="shared" si="38"/>
        <v>6418.08</v>
      </c>
      <c r="J109" s="438"/>
      <c r="K109" s="438">
        <f t="shared" si="26"/>
        <v>0</v>
      </c>
    </row>
    <row r="110" spans="1:11" x14ac:dyDescent="0.3">
      <c r="A110" s="65">
        <f>A108+1</f>
        <v>39</v>
      </c>
      <c r="B110" s="66" t="s">
        <v>557</v>
      </c>
      <c r="C110" s="65" t="s">
        <v>220</v>
      </c>
      <c r="D110" s="70">
        <v>2</v>
      </c>
      <c r="E110" s="96">
        <v>9356.4702000000016</v>
      </c>
      <c r="F110" s="101">
        <f t="shared" si="37"/>
        <v>18712.939999999999</v>
      </c>
      <c r="G110" s="101">
        <f t="shared" si="38"/>
        <v>22455.53</v>
      </c>
      <c r="J110" s="438"/>
      <c r="K110" s="438">
        <f t="shared" si="26"/>
        <v>0</v>
      </c>
    </row>
    <row r="111" spans="1:11" x14ac:dyDescent="0.3">
      <c r="A111" s="65">
        <f t="shared" si="39"/>
        <v>40</v>
      </c>
      <c r="B111" s="66" t="s">
        <v>558</v>
      </c>
      <c r="C111" s="65" t="s">
        <v>220</v>
      </c>
      <c r="D111" s="70">
        <v>2</v>
      </c>
      <c r="E111" s="96">
        <v>793.88231999999994</v>
      </c>
      <c r="F111" s="101">
        <f t="shared" si="37"/>
        <v>1587.76</v>
      </c>
      <c r="G111" s="101">
        <f t="shared" si="38"/>
        <v>1905.31</v>
      </c>
      <c r="J111" s="438"/>
      <c r="K111" s="438">
        <f t="shared" si="26"/>
        <v>0</v>
      </c>
    </row>
    <row r="112" spans="1:11" x14ac:dyDescent="0.3">
      <c r="A112" s="65">
        <f t="shared" si="39"/>
        <v>41</v>
      </c>
      <c r="B112" s="66" t="s">
        <v>577</v>
      </c>
      <c r="C112" s="73" t="s">
        <v>254</v>
      </c>
      <c r="D112" s="67">
        <f>16*0.137</f>
        <v>2.1920000000000002</v>
      </c>
      <c r="E112" s="96">
        <v>163.67379</v>
      </c>
      <c r="F112" s="101">
        <f t="shared" si="37"/>
        <v>358.77</v>
      </c>
      <c r="G112" s="101">
        <f t="shared" si="38"/>
        <v>430.52</v>
      </c>
      <c r="J112" s="438"/>
      <c r="K112" s="438">
        <f t="shared" si="26"/>
        <v>0</v>
      </c>
    </row>
    <row r="113" spans="1:11" x14ac:dyDescent="0.3">
      <c r="A113" s="65">
        <f t="shared" si="39"/>
        <v>42</v>
      </c>
      <c r="B113" s="66" t="s">
        <v>405</v>
      </c>
      <c r="C113" s="73" t="s">
        <v>254</v>
      </c>
      <c r="D113" s="67">
        <f>16*0.032</f>
        <v>0.51200000000000001</v>
      </c>
      <c r="E113" s="96">
        <v>189.44919000000002</v>
      </c>
      <c r="F113" s="101">
        <f t="shared" si="37"/>
        <v>97</v>
      </c>
      <c r="G113" s="101">
        <f t="shared" si="38"/>
        <v>116.4</v>
      </c>
      <c r="J113" s="438"/>
      <c r="K113" s="438">
        <f t="shared" si="26"/>
        <v>0</v>
      </c>
    </row>
    <row r="114" spans="1:11" x14ac:dyDescent="0.3">
      <c r="A114" s="65">
        <f t="shared" si="39"/>
        <v>43</v>
      </c>
      <c r="B114" s="66" t="s">
        <v>578</v>
      </c>
      <c r="C114" s="73" t="s">
        <v>254</v>
      </c>
      <c r="D114" s="67">
        <f>32*0.013</f>
        <v>0.41599999999999998</v>
      </c>
      <c r="E114" s="96">
        <v>255.17646000000005</v>
      </c>
      <c r="F114" s="101">
        <f t="shared" si="37"/>
        <v>106.15</v>
      </c>
      <c r="G114" s="101">
        <f t="shared" si="38"/>
        <v>127.38</v>
      </c>
      <c r="J114" s="438"/>
      <c r="K114" s="438">
        <f t="shared" si="26"/>
        <v>0</v>
      </c>
    </row>
    <row r="115" spans="1:11" x14ac:dyDescent="0.3">
      <c r="A115" s="65">
        <f t="shared" si="39"/>
        <v>44</v>
      </c>
      <c r="B115" s="66" t="s">
        <v>565</v>
      </c>
      <c r="C115" s="73" t="s">
        <v>220</v>
      </c>
      <c r="D115" s="70">
        <v>2</v>
      </c>
      <c r="E115" s="96">
        <v>36.085560000000001</v>
      </c>
      <c r="F115" s="101">
        <f t="shared" si="37"/>
        <v>72.17</v>
      </c>
      <c r="G115" s="101">
        <f t="shared" si="38"/>
        <v>86.6</v>
      </c>
      <c r="J115" s="438"/>
      <c r="K115" s="438">
        <f t="shared" si="26"/>
        <v>0</v>
      </c>
    </row>
    <row r="116" spans="1:11" ht="27.6" x14ac:dyDescent="0.3">
      <c r="A116" s="65">
        <f t="shared" si="39"/>
        <v>45</v>
      </c>
      <c r="B116" s="66" t="s">
        <v>579</v>
      </c>
      <c r="C116" s="65" t="s">
        <v>220</v>
      </c>
      <c r="D116" s="70">
        <v>2</v>
      </c>
      <c r="E116" s="96">
        <v>992.3529000000002</v>
      </c>
      <c r="F116" s="101">
        <f t="shared" si="37"/>
        <v>1984.71</v>
      </c>
      <c r="G116" s="101">
        <f t="shared" si="38"/>
        <v>2381.65</v>
      </c>
      <c r="J116" s="438"/>
      <c r="K116" s="438">
        <f t="shared" si="26"/>
        <v>0</v>
      </c>
    </row>
    <row r="117" spans="1:11" ht="21.75" customHeight="1" x14ac:dyDescent="0.3">
      <c r="A117" s="86">
        <f t="shared" si="39"/>
        <v>46</v>
      </c>
      <c r="B117" s="243" t="s">
        <v>760</v>
      </c>
      <c r="C117" s="86" t="s">
        <v>193</v>
      </c>
      <c r="D117" s="227">
        <v>1.3</v>
      </c>
      <c r="E117" s="96">
        <v>4961.7645000000002</v>
      </c>
      <c r="F117" s="102">
        <f t="shared" si="37"/>
        <v>6450.29</v>
      </c>
      <c r="G117" s="102">
        <f t="shared" si="38"/>
        <v>7740.35</v>
      </c>
      <c r="J117" s="438"/>
      <c r="K117" s="438">
        <f t="shared" si="26"/>
        <v>0</v>
      </c>
    </row>
    <row r="118" spans="1:11" x14ac:dyDescent="0.3">
      <c r="A118" s="153"/>
      <c r="B118" s="537" t="s">
        <v>580</v>
      </c>
      <c r="C118" s="538"/>
      <c r="D118" s="538"/>
      <c r="E118" s="340"/>
      <c r="F118" s="156"/>
      <c r="G118" s="125"/>
      <c r="J118" s="438"/>
      <c r="K118" s="438">
        <f t="shared" si="26"/>
        <v>0</v>
      </c>
    </row>
    <row r="119" spans="1:11" s="209" customFormat="1" x14ac:dyDescent="0.3">
      <c r="A119" s="464">
        <f>A117+1</f>
        <v>47</v>
      </c>
      <c r="B119" s="471" t="s">
        <v>234</v>
      </c>
      <c r="C119" s="464" t="s">
        <v>193</v>
      </c>
      <c r="D119" s="473">
        <f>107+1964</f>
        <v>2071</v>
      </c>
      <c r="E119" s="483">
        <v>1701.1764000000003</v>
      </c>
      <c r="F119" s="467">
        <f t="shared" ref="F119:F133" si="40">ROUND(E119*D119,2)</f>
        <v>3523136.32</v>
      </c>
      <c r="G119" s="467">
        <f t="shared" ref="G119:G120" si="41">ROUND(F119*1.2,2)</f>
        <v>4227763.58</v>
      </c>
      <c r="J119" s="439">
        <f>1048.56+61.32+54.26</f>
        <v>1164.1399999999999</v>
      </c>
      <c r="K119" s="439">
        <f t="shared" si="26"/>
        <v>2376488.9931552</v>
      </c>
    </row>
    <row r="120" spans="1:11" s="209" customFormat="1" x14ac:dyDescent="0.3">
      <c r="A120" s="464">
        <f>A119+1</f>
        <v>48</v>
      </c>
      <c r="B120" s="471" t="s">
        <v>160</v>
      </c>
      <c r="C120" s="484" t="s">
        <v>193</v>
      </c>
      <c r="D120" s="472">
        <v>7.73</v>
      </c>
      <c r="E120" s="483">
        <v>1763.03736</v>
      </c>
      <c r="F120" s="467">
        <f t="shared" si="40"/>
        <v>13628.28</v>
      </c>
      <c r="G120" s="467">
        <f t="shared" si="41"/>
        <v>16353.94</v>
      </c>
      <c r="J120" s="439">
        <v>1.8</v>
      </c>
      <c r="K120" s="439">
        <f t="shared" si="26"/>
        <v>3808.1606975999998</v>
      </c>
    </row>
    <row r="121" spans="1:11" x14ac:dyDescent="0.3">
      <c r="A121" s="86">
        <f t="shared" ref="A121:A122" si="42">A120+1</f>
        <v>49</v>
      </c>
      <c r="B121" s="243" t="s">
        <v>718</v>
      </c>
      <c r="C121" s="251" t="s">
        <v>193</v>
      </c>
      <c r="D121" s="252">
        <v>50</v>
      </c>
      <c r="E121" s="96">
        <v>1772.0587499999999</v>
      </c>
      <c r="F121" s="102">
        <f t="shared" si="40"/>
        <v>88602.94</v>
      </c>
      <c r="G121" s="102">
        <f>ROUND(F121*1.2,2)</f>
        <v>106323.53</v>
      </c>
      <c r="J121" s="438"/>
      <c r="K121" s="438">
        <f t="shared" si="26"/>
        <v>0</v>
      </c>
    </row>
    <row r="122" spans="1:11" x14ac:dyDescent="0.3">
      <c r="A122" s="86">
        <f t="shared" si="42"/>
        <v>50</v>
      </c>
      <c r="B122" s="243" t="s">
        <v>584</v>
      </c>
      <c r="C122" s="250" t="s">
        <v>194</v>
      </c>
      <c r="D122" s="226">
        <f>242+0.9+0.86+0.96+1+0.9+1.4</f>
        <v>248.02000000000004</v>
      </c>
      <c r="E122" s="96">
        <v>5245.2939000000006</v>
      </c>
      <c r="F122" s="102">
        <f t="shared" si="40"/>
        <v>1300937.79</v>
      </c>
      <c r="G122" s="102">
        <f t="shared" ref="G122:G131" si="43">ROUND(F122*1.2,2)</f>
        <v>1561125.35</v>
      </c>
      <c r="J122" s="438"/>
      <c r="K122" s="438">
        <f t="shared" si="26"/>
        <v>0</v>
      </c>
    </row>
    <row r="123" spans="1:11" s="209" customFormat="1" x14ac:dyDescent="0.3">
      <c r="A123" s="464">
        <f t="shared" ref="A123:A133" si="44">A122+1</f>
        <v>51</v>
      </c>
      <c r="B123" s="471" t="s">
        <v>582</v>
      </c>
      <c r="C123" s="484" t="s">
        <v>194</v>
      </c>
      <c r="D123" s="469">
        <v>132</v>
      </c>
      <c r="E123" s="483">
        <v>58052.644650000009</v>
      </c>
      <c r="F123" s="467">
        <f t="shared" si="40"/>
        <v>7662949.0899999999</v>
      </c>
      <c r="G123" s="467">
        <f t="shared" si="43"/>
        <v>9195538.9100000001</v>
      </c>
      <c r="J123" s="439">
        <f>D123</f>
        <v>132</v>
      </c>
      <c r="K123" s="439">
        <f t="shared" si="26"/>
        <v>9195538.912560001</v>
      </c>
    </row>
    <row r="124" spans="1:11" s="209" customFormat="1" x14ac:dyDescent="0.3">
      <c r="A124" s="464">
        <f t="shared" si="44"/>
        <v>52</v>
      </c>
      <c r="B124" s="471" t="s">
        <v>583</v>
      </c>
      <c r="C124" s="484" t="s">
        <v>194</v>
      </c>
      <c r="D124" s="469">
        <v>31</v>
      </c>
      <c r="E124" s="483">
        <v>17153.528700000006</v>
      </c>
      <c r="F124" s="467">
        <f t="shared" si="40"/>
        <v>531759.39</v>
      </c>
      <c r="G124" s="467">
        <f t="shared" si="43"/>
        <v>638111.27</v>
      </c>
      <c r="J124" s="439">
        <f>D124</f>
        <v>31</v>
      </c>
      <c r="K124" s="439">
        <f t="shared" si="26"/>
        <v>638111.26764000021</v>
      </c>
    </row>
    <row r="125" spans="1:11" s="56" customFormat="1" ht="17.25" customHeight="1" x14ac:dyDescent="0.3">
      <c r="A125" s="86">
        <f t="shared" si="44"/>
        <v>53</v>
      </c>
      <c r="B125" s="243" t="s">
        <v>1155</v>
      </c>
      <c r="C125" s="86" t="s">
        <v>220</v>
      </c>
      <c r="D125" s="152">
        <v>6</v>
      </c>
      <c r="E125" s="96">
        <v>3737.433</v>
      </c>
      <c r="F125" s="102">
        <f t="shared" si="40"/>
        <v>22424.6</v>
      </c>
      <c r="G125" s="102">
        <f t="shared" ref="G125:G128" si="45">ROUND(F125*1.2,2)</f>
        <v>26909.52</v>
      </c>
      <c r="J125" s="438"/>
      <c r="K125" s="438">
        <f t="shared" si="26"/>
        <v>0</v>
      </c>
    </row>
    <row r="126" spans="1:11" s="56" customFormat="1" x14ac:dyDescent="0.3">
      <c r="A126" s="86">
        <f t="shared" si="44"/>
        <v>54</v>
      </c>
      <c r="B126" s="243" t="s">
        <v>1156</v>
      </c>
      <c r="C126" s="86" t="s">
        <v>220</v>
      </c>
      <c r="D126" s="152">
        <v>6</v>
      </c>
      <c r="E126" s="96">
        <v>28352.94</v>
      </c>
      <c r="F126" s="102">
        <f t="shared" si="40"/>
        <v>170117.64</v>
      </c>
      <c r="G126" s="102">
        <f t="shared" si="45"/>
        <v>204141.17</v>
      </c>
      <c r="J126" s="438"/>
      <c r="K126" s="438">
        <f t="shared" si="26"/>
        <v>0</v>
      </c>
    </row>
    <row r="127" spans="1:11" s="56" customFormat="1" x14ac:dyDescent="0.3">
      <c r="A127" s="86">
        <f t="shared" si="44"/>
        <v>55</v>
      </c>
      <c r="B127" s="243" t="s">
        <v>1157</v>
      </c>
      <c r="C127" s="86" t="s">
        <v>220</v>
      </c>
      <c r="D127" s="152">
        <v>6</v>
      </c>
      <c r="E127" s="96">
        <v>6495.4008000000003</v>
      </c>
      <c r="F127" s="102">
        <f t="shared" si="40"/>
        <v>38972.400000000001</v>
      </c>
      <c r="G127" s="102">
        <f t="shared" si="45"/>
        <v>46766.879999999997</v>
      </c>
      <c r="J127" s="438"/>
      <c r="K127" s="438">
        <f t="shared" si="26"/>
        <v>0</v>
      </c>
    </row>
    <row r="128" spans="1:11" s="56" customFormat="1" x14ac:dyDescent="0.3">
      <c r="A128" s="86">
        <f t="shared" si="44"/>
        <v>56</v>
      </c>
      <c r="B128" s="243" t="s">
        <v>1158</v>
      </c>
      <c r="C128" s="86" t="s">
        <v>220</v>
      </c>
      <c r="D128" s="152">
        <v>4</v>
      </c>
      <c r="E128" s="96">
        <v>1675.4010000000003</v>
      </c>
      <c r="F128" s="102">
        <f t="shared" si="40"/>
        <v>6701.6</v>
      </c>
      <c r="G128" s="102">
        <f t="shared" si="45"/>
        <v>8041.92</v>
      </c>
      <c r="J128" s="438"/>
      <c r="K128" s="438">
        <f t="shared" si="26"/>
        <v>0</v>
      </c>
    </row>
    <row r="129" spans="1:11" s="56" customFormat="1" x14ac:dyDescent="0.3">
      <c r="A129" s="86">
        <f t="shared" ref="A129" si="46">A128+1</f>
        <v>57</v>
      </c>
      <c r="B129" s="243" t="s">
        <v>1159</v>
      </c>
      <c r="C129" s="86" t="s">
        <v>220</v>
      </c>
      <c r="D129" s="152">
        <v>2</v>
      </c>
      <c r="E129" s="96">
        <v>1417.6470000000002</v>
      </c>
      <c r="F129" s="102">
        <f t="shared" si="40"/>
        <v>2835.29</v>
      </c>
      <c r="G129" s="102">
        <f t="shared" ref="G129" si="47">ROUND(F129*1.2,2)</f>
        <v>3402.35</v>
      </c>
      <c r="J129" s="438"/>
      <c r="K129" s="438">
        <f t="shared" si="26"/>
        <v>0</v>
      </c>
    </row>
    <row r="130" spans="1:11" s="209" customFormat="1" x14ac:dyDescent="0.3">
      <c r="A130" s="464">
        <f>A124+1</f>
        <v>53</v>
      </c>
      <c r="B130" s="471" t="s">
        <v>581</v>
      </c>
      <c r="C130" s="484" t="s">
        <v>194</v>
      </c>
      <c r="D130" s="469">
        <v>14</v>
      </c>
      <c r="E130" s="483">
        <v>109158.81900000002</v>
      </c>
      <c r="F130" s="467">
        <f t="shared" si="40"/>
        <v>1528223.47</v>
      </c>
      <c r="G130" s="467">
        <f t="shared" si="43"/>
        <v>1833868.16</v>
      </c>
      <c r="J130" s="439">
        <f>D130</f>
        <v>14</v>
      </c>
      <c r="K130" s="439">
        <f t="shared" si="26"/>
        <v>1833868.1592000003</v>
      </c>
    </row>
    <row r="131" spans="1:11" x14ac:dyDescent="0.3">
      <c r="A131" s="86">
        <f t="shared" si="44"/>
        <v>54</v>
      </c>
      <c r="B131" s="243" t="s">
        <v>599</v>
      </c>
      <c r="C131" s="250" t="s">
        <v>194</v>
      </c>
      <c r="D131" s="152">
        <v>39</v>
      </c>
      <c r="E131" s="96">
        <v>14459.999400000001</v>
      </c>
      <c r="F131" s="102">
        <f t="shared" si="40"/>
        <v>563939.98</v>
      </c>
      <c r="G131" s="102">
        <f t="shared" si="43"/>
        <v>676727.98</v>
      </c>
      <c r="J131" s="438"/>
      <c r="K131" s="438">
        <f t="shared" si="26"/>
        <v>0</v>
      </c>
    </row>
    <row r="132" spans="1:11" x14ac:dyDescent="0.3">
      <c r="A132" s="86">
        <f t="shared" si="44"/>
        <v>55</v>
      </c>
      <c r="B132" s="243" t="s">
        <v>1154</v>
      </c>
      <c r="C132" s="250" t="s">
        <v>194</v>
      </c>
      <c r="D132" s="152">
        <v>6</v>
      </c>
      <c r="E132" s="96">
        <v>14318.234700000001</v>
      </c>
      <c r="F132" s="102">
        <f t="shared" si="40"/>
        <v>85909.41</v>
      </c>
      <c r="G132" s="102">
        <f t="shared" ref="G132" si="48">ROUND(F132*1.2,2)</f>
        <v>103091.29</v>
      </c>
      <c r="J132" s="438"/>
      <c r="K132" s="438">
        <f t="shared" si="26"/>
        <v>0</v>
      </c>
    </row>
    <row r="133" spans="1:11" s="209" customFormat="1" ht="18.75" customHeight="1" x14ac:dyDescent="0.3">
      <c r="A133" s="464">
        <f t="shared" si="44"/>
        <v>56</v>
      </c>
      <c r="B133" s="471" t="s">
        <v>760</v>
      </c>
      <c r="C133" s="464" t="s">
        <v>193</v>
      </c>
      <c r="D133" s="485">
        <f>1.88+6.33</f>
        <v>8.2100000000000009</v>
      </c>
      <c r="E133" s="483">
        <v>4961.7645000000002</v>
      </c>
      <c r="F133" s="467">
        <f t="shared" si="40"/>
        <v>40736.089999999997</v>
      </c>
      <c r="G133" s="467">
        <f t="shared" ref="G133" si="49">ROUND(F133*1.2,2)</f>
        <v>48883.31</v>
      </c>
      <c r="J133" s="439">
        <v>6.33</v>
      </c>
      <c r="K133" s="439">
        <f t="shared" si="26"/>
        <v>37689.563141999999</v>
      </c>
    </row>
    <row r="134" spans="1:11" ht="21.75" customHeight="1" x14ac:dyDescent="0.3">
      <c r="A134" s="86"/>
      <c r="B134" s="225" t="s">
        <v>1123</v>
      </c>
      <c r="C134" s="253"/>
      <c r="D134" s="254"/>
      <c r="E134" s="96">
        <v>0</v>
      </c>
      <c r="F134" s="102"/>
      <c r="G134" s="102"/>
      <c r="J134" s="438"/>
      <c r="K134" s="438">
        <f t="shared" ref="K134:K197" si="50">E134*J134*1.2</f>
        <v>0</v>
      </c>
    </row>
    <row r="135" spans="1:11" x14ac:dyDescent="0.3">
      <c r="A135" s="86">
        <f>A133+1</f>
        <v>57</v>
      </c>
      <c r="B135" s="243" t="s">
        <v>1124</v>
      </c>
      <c r="C135" s="86" t="s">
        <v>220</v>
      </c>
      <c r="D135" s="152">
        <v>1</v>
      </c>
      <c r="E135" s="96">
        <v>2248.9036499999997</v>
      </c>
      <c r="F135" s="102">
        <f t="shared" ref="F135:F145" si="51">ROUND(E135*D135,2)</f>
        <v>2248.9</v>
      </c>
      <c r="G135" s="102">
        <f t="shared" ref="G135:G138" si="52">ROUND(F135*1.2,2)</f>
        <v>2698.68</v>
      </c>
      <c r="J135" s="438"/>
      <c r="K135" s="438">
        <f t="shared" si="50"/>
        <v>0</v>
      </c>
    </row>
    <row r="136" spans="1:11" x14ac:dyDescent="0.3">
      <c r="A136" s="86">
        <f>A135+1</f>
        <v>58</v>
      </c>
      <c r="B136" s="243" t="s">
        <v>1125</v>
      </c>
      <c r="C136" s="86" t="s">
        <v>220</v>
      </c>
      <c r="D136" s="152">
        <v>1</v>
      </c>
      <c r="E136" s="96">
        <v>1937.0213100000001</v>
      </c>
      <c r="F136" s="102">
        <f t="shared" si="51"/>
        <v>1937.02</v>
      </c>
      <c r="G136" s="102">
        <f t="shared" si="52"/>
        <v>2324.42</v>
      </c>
      <c r="J136" s="438"/>
      <c r="K136" s="438">
        <f t="shared" si="50"/>
        <v>0</v>
      </c>
    </row>
    <row r="137" spans="1:11" x14ac:dyDescent="0.3">
      <c r="A137" s="86">
        <f>A136+1</f>
        <v>59</v>
      </c>
      <c r="B137" s="243" t="s">
        <v>1126</v>
      </c>
      <c r="C137" s="86" t="s">
        <v>220</v>
      </c>
      <c r="D137" s="152">
        <v>1</v>
      </c>
      <c r="E137" s="96">
        <v>3392.0426400000001</v>
      </c>
      <c r="F137" s="102">
        <f t="shared" si="51"/>
        <v>3392.04</v>
      </c>
      <c r="G137" s="102">
        <f t="shared" si="52"/>
        <v>4070.45</v>
      </c>
      <c r="J137" s="438"/>
      <c r="K137" s="438">
        <f t="shared" si="50"/>
        <v>0</v>
      </c>
    </row>
    <row r="138" spans="1:11" x14ac:dyDescent="0.3">
      <c r="A138" s="86">
        <f t="shared" ref="A138:A145" si="53">A137+1</f>
        <v>60</v>
      </c>
      <c r="B138" s="243" t="s">
        <v>1127</v>
      </c>
      <c r="C138" s="86" t="s">
        <v>220</v>
      </c>
      <c r="D138" s="152">
        <v>2</v>
      </c>
      <c r="E138" s="96">
        <v>0</v>
      </c>
      <c r="F138" s="102">
        <f t="shared" si="51"/>
        <v>0</v>
      </c>
      <c r="G138" s="102">
        <f t="shared" si="52"/>
        <v>0</v>
      </c>
      <c r="J138" s="438"/>
      <c r="K138" s="438">
        <f t="shared" si="50"/>
        <v>0</v>
      </c>
    </row>
    <row r="139" spans="1:11" x14ac:dyDescent="0.3">
      <c r="A139" s="86">
        <f t="shared" si="53"/>
        <v>61</v>
      </c>
      <c r="B139" s="243" t="s">
        <v>590</v>
      </c>
      <c r="C139" s="86" t="s">
        <v>220</v>
      </c>
      <c r="D139" s="246" t="s">
        <v>762</v>
      </c>
      <c r="E139" s="96">
        <v>1019.41707</v>
      </c>
      <c r="F139" s="102">
        <f t="shared" si="51"/>
        <v>1019.42</v>
      </c>
      <c r="G139" s="102">
        <f t="shared" ref="G139:G141" si="54">ROUND(F139*1.2,2)</f>
        <v>1223.3</v>
      </c>
      <c r="J139" s="438"/>
      <c r="K139" s="438">
        <f t="shared" si="50"/>
        <v>0</v>
      </c>
    </row>
    <row r="140" spans="1:11" x14ac:dyDescent="0.3">
      <c r="A140" s="86">
        <f t="shared" si="53"/>
        <v>62</v>
      </c>
      <c r="B140" s="243" t="s">
        <v>591</v>
      </c>
      <c r="C140" s="86" t="s">
        <v>220</v>
      </c>
      <c r="D140" s="246" t="s">
        <v>762</v>
      </c>
      <c r="E140" s="96">
        <v>1871.2940400000005</v>
      </c>
      <c r="F140" s="102">
        <f t="shared" si="51"/>
        <v>1871.29</v>
      </c>
      <c r="G140" s="102">
        <f t="shared" si="54"/>
        <v>2245.5500000000002</v>
      </c>
      <c r="J140" s="438"/>
      <c r="K140" s="438">
        <f t="shared" si="50"/>
        <v>0</v>
      </c>
    </row>
    <row r="141" spans="1:11" x14ac:dyDescent="0.3">
      <c r="A141" s="86">
        <f t="shared" si="53"/>
        <v>63</v>
      </c>
      <c r="B141" s="243" t="s">
        <v>1128</v>
      </c>
      <c r="C141" s="86" t="s">
        <v>220</v>
      </c>
      <c r="D141" s="246" t="s">
        <v>762</v>
      </c>
      <c r="E141" s="96">
        <v>19563.528600000005</v>
      </c>
      <c r="F141" s="102">
        <f t="shared" si="51"/>
        <v>19563.53</v>
      </c>
      <c r="G141" s="102">
        <f t="shared" si="54"/>
        <v>23476.240000000002</v>
      </c>
      <c r="J141" s="438"/>
      <c r="K141" s="438">
        <f t="shared" si="50"/>
        <v>0</v>
      </c>
    </row>
    <row r="142" spans="1:11" s="56" customFormat="1" ht="27.6" x14ac:dyDescent="0.3">
      <c r="A142" s="86">
        <f t="shared" si="53"/>
        <v>64</v>
      </c>
      <c r="B142" s="243" t="s">
        <v>1132</v>
      </c>
      <c r="C142" s="86" t="s">
        <v>220</v>
      </c>
      <c r="D142" s="246" t="s">
        <v>762</v>
      </c>
      <c r="E142" s="96">
        <v>18446.165010000001</v>
      </c>
      <c r="F142" s="102">
        <f t="shared" si="51"/>
        <v>18446.169999999998</v>
      </c>
      <c r="G142" s="102">
        <f t="shared" ref="G142" si="55">ROUND(F142*1.2,2)</f>
        <v>22135.4</v>
      </c>
      <c r="J142" s="438"/>
      <c r="K142" s="438">
        <f t="shared" si="50"/>
        <v>0</v>
      </c>
    </row>
    <row r="143" spans="1:11" ht="18" customHeight="1" x14ac:dyDescent="0.3">
      <c r="A143" s="86">
        <f t="shared" si="53"/>
        <v>65</v>
      </c>
      <c r="B143" s="243" t="s">
        <v>1129</v>
      </c>
      <c r="C143" s="86" t="s">
        <v>254</v>
      </c>
      <c r="D143" s="246" t="s">
        <v>1130</v>
      </c>
      <c r="E143" s="96">
        <v>904.71654000000001</v>
      </c>
      <c r="F143" s="102">
        <f t="shared" si="51"/>
        <v>14656.41</v>
      </c>
      <c r="G143" s="102">
        <f t="shared" ref="G143:G145" si="56">ROUND(F143*1.2,2)</f>
        <v>17587.689999999999</v>
      </c>
      <c r="J143" s="438"/>
      <c r="K143" s="438">
        <f t="shared" si="50"/>
        <v>0</v>
      </c>
    </row>
    <row r="144" spans="1:11" x14ac:dyDescent="0.3">
      <c r="A144" s="86">
        <f t="shared" si="53"/>
        <v>66</v>
      </c>
      <c r="B144" s="243" t="s">
        <v>595</v>
      </c>
      <c r="C144" s="86" t="s">
        <v>387</v>
      </c>
      <c r="D144" s="255">
        <f>6.38*20/16</f>
        <v>7.9749999999999996</v>
      </c>
      <c r="E144" s="96">
        <v>322.1925</v>
      </c>
      <c r="F144" s="102">
        <f t="shared" si="51"/>
        <v>2569.4899999999998</v>
      </c>
      <c r="G144" s="102">
        <f t="shared" si="56"/>
        <v>3083.39</v>
      </c>
      <c r="J144" s="438"/>
      <c r="K144" s="438">
        <f t="shared" si="50"/>
        <v>0</v>
      </c>
    </row>
    <row r="145" spans="1:11" x14ac:dyDescent="0.3">
      <c r="A145" s="86">
        <f t="shared" si="53"/>
        <v>67</v>
      </c>
      <c r="B145" s="243" t="s">
        <v>388</v>
      </c>
      <c r="C145" s="86" t="s">
        <v>254</v>
      </c>
      <c r="D145" s="246" t="s">
        <v>1131</v>
      </c>
      <c r="E145" s="96">
        <v>402.09624000000002</v>
      </c>
      <c r="F145" s="102">
        <f t="shared" si="51"/>
        <v>14648.37</v>
      </c>
      <c r="G145" s="102">
        <f t="shared" si="56"/>
        <v>17578.04</v>
      </c>
      <c r="J145" s="438"/>
      <c r="K145" s="438">
        <f t="shared" si="50"/>
        <v>0</v>
      </c>
    </row>
    <row r="146" spans="1:11" ht="27.6" x14ac:dyDescent="0.3">
      <c r="A146" s="86"/>
      <c r="B146" s="84" t="s">
        <v>1087</v>
      </c>
      <c r="C146" s="86"/>
      <c r="D146" s="246"/>
      <c r="E146" s="96">
        <v>0</v>
      </c>
      <c r="F146" s="102"/>
      <c r="G146" s="102"/>
      <c r="J146" s="438"/>
      <c r="K146" s="438">
        <f t="shared" si="50"/>
        <v>0</v>
      </c>
    </row>
    <row r="147" spans="1:11" x14ac:dyDescent="0.3">
      <c r="A147" s="86">
        <f>A145+1</f>
        <v>68</v>
      </c>
      <c r="B147" s="243" t="s">
        <v>1124</v>
      </c>
      <c r="C147" s="86" t="s">
        <v>220</v>
      </c>
      <c r="D147" s="152">
        <v>4</v>
      </c>
      <c r="E147" s="96">
        <v>2248.9036499999997</v>
      </c>
      <c r="F147" s="102">
        <f t="shared" ref="F147:F164" si="57">ROUND(E147*D147,2)</f>
        <v>8995.61</v>
      </c>
      <c r="G147" s="102">
        <f t="shared" ref="G147:G164" si="58">ROUND(F147*1.2,2)</f>
        <v>10794.73</v>
      </c>
      <c r="J147" s="438"/>
      <c r="K147" s="438">
        <f t="shared" si="50"/>
        <v>0</v>
      </c>
    </row>
    <row r="148" spans="1:11" x14ac:dyDescent="0.3">
      <c r="A148" s="86">
        <f>A147+1</f>
        <v>69</v>
      </c>
      <c r="B148" s="243" t="s">
        <v>1125</v>
      </c>
      <c r="C148" s="86" t="s">
        <v>220</v>
      </c>
      <c r="D148" s="152">
        <v>5</v>
      </c>
      <c r="E148" s="96">
        <v>1937.0213100000001</v>
      </c>
      <c r="F148" s="102">
        <f t="shared" si="57"/>
        <v>9685.11</v>
      </c>
      <c r="G148" s="102">
        <f t="shared" si="58"/>
        <v>11622.13</v>
      </c>
      <c r="J148" s="438"/>
      <c r="K148" s="438">
        <f t="shared" si="50"/>
        <v>0</v>
      </c>
    </row>
    <row r="149" spans="1:11" x14ac:dyDescent="0.3">
      <c r="A149" s="86">
        <f t="shared" ref="A149:A164" si="59">A148+1</f>
        <v>70</v>
      </c>
      <c r="B149" s="243" t="s">
        <v>1126</v>
      </c>
      <c r="C149" s="86" t="s">
        <v>220</v>
      </c>
      <c r="D149" s="152">
        <v>7</v>
      </c>
      <c r="E149" s="96">
        <v>3392.0426400000001</v>
      </c>
      <c r="F149" s="102">
        <f t="shared" si="57"/>
        <v>23744.3</v>
      </c>
      <c r="G149" s="102">
        <f t="shared" si="58"/>
        <v>28493.16</v>
      </c>
      <c r="J149" s="438"/>
      <c r="K149" s="438">
        <f t="shared" si="50"/>
        <v>0</v>
      </c>
    </row>
    <row r="150" spans="1:11" s="56" customFormat="1" x14ac:dyDescent="0.3">
      <c r="A150" s="86">
        <f t="shared" si="59"/>
        <v>71</v>
      </c>
      <c r="B150" s="243" t="s">
        <v>1127</v>
      </c>
      <c r="C150" s="86" t="s">
        <v>220</v>
      </c>
      <c r="D150" s="152">
        <v>2</v>
      </c>
      <c r="E150" s="96">
        <v>1933.155</v>
      </c>
      <c r="F150" s="102">
        <f t="shared" si="57"/>
        <v>3866.31</v>
      </c>
      <c r="G150" s="102">
        <f t="shared" si="58"/>
        <v>4639.57</v>
      </c>
      <c r="J150" s="438"/>
      <c r="K150" s="438">
        <f t="shared" si="50"/>
        <v>0</v>
      </c>
    </row>
    <row r="151" spans="1:11" x14ac:dyDescent="0.3">
      <c r="A151" s="86">
        <f t="shared" si="59"/>
        <v>72</v>
      </c>
      <c r="B151" s="243" t="s">
        <v>761</v>
      </c>
      <c r="C151" s="86" t="s">
        <v>220</v>
      </c>
      <c r="D151" s="152">
        <v>10</v>
      </c>
      <c r="E151" s="96">
        <v>5883.2350500000002</v>
      </c>
      <c r="F151" s="102">
        <f t="shared" si="57"/>
        <v>58832.35</v>
      </c>
      <c r="G151" s="102">
        <f t="shared" ref="G151:G154" si="60">ROUND(F151*1.2,2)</f>
        <v>70598.820000000007</v>
      </c>
      <c r="J151" s="438"/>
      <c r="K151" s="438">
        <f t="shared" si="50"/>
        <v>0</v>
      </c>
    </row>
    <row r="152" spans="1:11" x14ac:dyDescent="0.3">
      <c r="A152" s="86">
        <f t="shared" si="59"/>
        <v>73</v>
      </c>
      <c r="B152" s="243" t="s">
        <v>1133</v>
      </c>
      <c r="C152" s="86" t="s">
        <v>220</v>
      </c>
      <c r="D152" s="152">
        <v>5</v>
      </c>
      <c r="E152" s="96">
        <v>5528.8233</v>
      </c>
      <c r="F152" s="102">
        <f t="shared" si="57"/>
        <v>27644.12</v>
      </c>
      <c r="G152" s="102">
        <f t="shared" si="60"/>
        <v>33172.94</v>
      </c>
      <c r="J152" s="438"/>
      <c r="K152" s="438">
        <f t="shared" si="50"/>
        <v>0</v>
      </c>
    </row>
    <row r="153" spans="1:11" x14ac:dyDescent="0.3">
      <c r="A153" s="86">
        <f t="shared" si="59"/>
        <v>74</v>
      </c>
      <c r="B153" s="243" t="s">
        <v>1134</v>
      </c>
      <c r="C153" s="86" t="s">
        <v>220</v>
      </c>
      <c r="D153" s="152">
        <v>15</v>
      </c>
      <c r="E153" s="96">
        <v>6521.1762000000008</v>
      </c>
      <c r="F153" s="102">
        <f t="shared" si="57"/>
        <v>97817.64</v>
      </c>
      <c r="G153" s="102">
        <f t="shared" si="60"/>
        <v>117381.17</v>
      </c>
      <c r="J153" s="438"/>
      <c r="K153" s="438">
        <f t="shared" si="50"/>
        <v>0</v>
      </c>
    </row>
    <row r="154" spans="1:11" x14ac:dyDescent="0.3">
      <c r="A154" s="86">
        <f t="shared" si="59"/>
        <v>75</v>
      </c>
      <c r="B154" s="243" t="s">
        <v>1135</v>
      </c>
      <c r="C154" s="86" t="s">
        <v>220</v>
      </c>
      <c r="D154" s="152">
        <v>2</v>
      </c>
      <c r="E154" s="96">
        <v>5245.2939000000006</v>
      </c>
      <c r="F154" s="102">
        <f t="shared" si="57"/>
        <v>10490.59</v>
      </c>
      <c r="G154" s="102">
        <f t="shared" si="60"/>
        <v>12588.71</v>
      </c>
      <c r="J154" s="438"/>
      <c r="K154" s="438">
        <f t="shared" si="50"/>
        <v>0</v>
      </c>
    </row>
    <row r="155" spans="1:11" x14ac:dyDescent="0.3">
      <c r="A155" s="86">
        <f t="shared" si="59"/>
        <v>76</v>
      </c>
      <c r="B155" s="243" t="s">
        <v>590</v>
      </c>
      <c r="C155" s="86" t="s">
        <v>220</v>
      </c>
      <c r="D155" s="246" t="s">
        <v>1136</v>
      </c>
      <c r="E155" s="96">
        <v>1019.41707</v>
      </c>
      <c r="F155" s="102">
        <f t="shared" si="57"/>
        <v>19368.919999999998</v>
      </c>
      <c r="G155" s="102">
        <f t="shared" si="58"/>
        <v>23242.7</v>
      </c>
      <c r="J155" s="438"/>
      <c r="K155" s="438">
        <f t="shared" si="50"/>
        <v>0</v>
      </c>
    </row>
    <row r="156" spans="1:11" x14ac:dyDescent="0.3">
      <c r="A156" s="86">
        <f t="shared" si="59"/>
        <v>77</v>
      </c>
      <c r="B156" s="243" t="s">
        <v>591</v>
      </c>
      <c r="C156" s="86" t="s">
        <v>220</v>
      </c>
      <c r="D156" s="246" t="s">
        <v>762</v>
      </c>
      <c r="E156" s="96">
        <v>1871.2940400000005</v>
      </c>
      <c r="F156" s="102">
        <f t="shared" si="57"/>
        <v>1871.29</v>
      </c>
      <c r="G156" s="102">
        <f t="shared" si="58"/>
        <v>2245.5500000000002</v>
      </c>
      <c r="J156" s="438"/>
      <c r="K156" s="438">
        <f t="shared" si="50"/>
        <v>0</v>
      </c>
    </row>
    <row r="157" spans="1:11" x14ac:dyDescent="0.3">
      <c r="A157" s="86">
        <f t="shared" si="59"/>
        <v>78</v>
      </c>
      <c r="B157" s="243" t="s">
        <v>1128</v>
      </c>
      <c r="C157" s="86" t="s">
        <v>220</v>
      </c>
      <c r="D157" s="246" t="s">
        <v>600</v>
      </c>
      <c r="E157" s="96">
        <v>19563.528600000005</v>
      </c>
      <c r="F157" s="102">
        <f t="shared" si="57"/>
        <v>195635.29</v>
      </c>
      <c r="G157" s="102">
        <f t="shared" si="58"/>
        <v>234762.35</v>
      </c>
      <c r="J157" s="438"/>
      <c r="K157" s="438">
        <f t="shared" si="50"/>
        <v>0</v>
      </c>
    </row>
    <row r="158" spans="1:11" s="56" customFormat="1" ht="27.6" x14ac:dyDescent="0.3">
      <c r="A158" s="86">
        <f t="shared" si="59"/>
        <v>79</v>
      </c>
      <c r="B158" s="243" t="s">
        <v>1137</v>
      </c>
      <c r="C158" s="86" t="s">
        <v>220</v>
      </c>
      <c r="D158" s="246" t="s">
        <v>838</v>
      </c>
      <c r="E158" s="96">
        <v>3609.8447699999997</v>
      </c>
      <c r="F158" s="102">
        <f t="shared" si="57"/>
        <v>54147.67</v>
      </c>
      <c r="G158" s="102">
        <f t="shared" si="58"/>
        <v>64977.2</v>
      </c>
      <c r="J158" s="438"/>
      <c r="K158" s="438">
        <f t="shared" si="50"/>
        <v>0</v>
      </c>
    </row>
    <row r="159" spans="1:11" ht="21.75" customHeight="1" x14ac:dyDescent="0.3">
      <c r="A159" s="86">
        <f t="shared" si="59"/>
        <v>80</v>
      </c>
      <c r="B159" s="243" t="s">
        <v>1129</v>
      </c>
      <c r="C159" s="86" t="s">
        <v>254</v>
      </c>
      <c r="D159" s="246" t="s">
        <v>1141</v>
      </c>
      <c r="E159" s="96">
        <v>904.71654000000001</v>
      </c>
      <c r="F159" s="102">
        <f t="shared" si="57"/>
        <v>29312.82</v>
      </c>
      <c r="G159" s="102">
        <f t="shared" si="58"/>
        <v>35175.379999999997</v>
      </c>
      <c r="J159" s="438"/>
      <c r="K159" s="438">
        <f t="shared" si="50"/>
        <v>0</v>
      </c>
    </row>
    <row r="160" spans="1:11" ht="21.75" customHeight="1" x14ac:dyDescent="0.3">
      <c r="A160" s="86">
        <f t="shared" si="59"/>
        <v>81</v>
      </c>
      <c r="B160" s="243" t="s">
        <v>1138</v>
      </c>
      <c r="C160" s="86" t="s">
        <v>254</v>
      </c>
      <c r="D160" s="246" t="s">
        <v>1142</v>
      </c>
      <c r="E160" s="96">
        <v>904.71654000000001</v>
      </c>
      <c r="F160" s="102">
        <f t="shared" si="57"/>
        <v>35283.949999999997</v>
      </c>
      <c r="G160" s="102">
        <f t="shared" si="58"/>
        <v>42340.74</v>
      </c>
      <c r="J160" s="438"/>
      <c r="K160" s="438">
        <f t="shared" si="50"/>
        <v>0</v>
      </c>
    </row>
    <row r="161" spans="1:11" ht="21.75" customHeight="1" x14ac:dyDescent="0.3">
      <c r="A161" s="86">
        <f t="shared" si="59"/>
        <v>82</v>
      </c>
      <c r="B161" s="243" t="s">
        <v>1139</v>
      </c>
      <c r="C161" s="86" t="s">
        <v>254</v>
      </c>
      <c r="D161" s="246" t="s">
        <v>1143</v>
      </c>
      <c r="E161" s="96">
        <v>904.71654000000001</v>
      </c>
      <c r="F161" s="102">
        <f t="shared" si="57"/>
        <v>7056.79</v>
      </c>
      <c r="G161" s="102">
        <f t="shared" si="58"/>
        <v>8468.15</v>
      </c>
      <c r="J161" s="438"/>
      <c r="K161" s="438">
        <f t="shared" si="50"/>
        <v>0</v>
      </c>
    </row>
    <row r="162" spans="1:11" ht="21.75" customHeight="1" x14ac:dyDescent="0.3">
      <c r="A162" s="86">
        <f t="shared" si="59"/>
        <v>83</v>
      </c>
      <c r="B162" s="243" t="s">
        <v>1140</v>
      </c>
      <c r="C162" s="86" t="s">
        <v>254</v>
      </c>
      <c r="D162" s="246" t="s">
        <v>1144</v>
      </c>
      <c r="E162" s="96">
        <v>904.71654000000001</v>
      </c>
      <c r="F162" s="102">
        <f t="shared" si="57"/>
        <v>105851.84</v>
      </c>
      <c r="G162" s="102">
        <f t="shared" si="58"/>
        <v>127022.21</v>
      </c>
      <c r="J162" s="438"/>
      <c r="K162" s="438">
        <f t="shared" si="50"/>
        <v>0</v>
      </c>
    </row>
    <row r="163" spans="1:11" x14ac:dyDescent="0.3">
      <c r="A163" s="86">
        <f t="shared" si="59"/>
        <v>84</v>
      </c>
      <c r="B163" s="243" t="s">
        <v>595</v>
      </c>
      <c r="C163" s="86" t="s">
        <v>387</v>
      </c>
      <c r="D163" s="255">
        <f>51*20/16</f>
        <v>63.75</v>
      </c>
      <c r="E163" s="96">
        <v>322.1925</v>
      </c>
      <c r="F163" s="102">
        <f t="shared" si="57"/>
        <v>20539.77</v>
      </c>
      <c r="G163" s="102">
        <f t="shared" si="58"/>
        <v>24647.72</v>
      </c>
      <c r="J163" s="438"/>
      <c r="K163" s="438">
        <f t="shared" si="50"/>
        <v>0</v>
      </c>
    </row>
    <row r="164" spans="1:11" x14ac:dyDescent="0.3">
      <c r="A164" s="86">
        <f t="shared" si="59"/>
        <v>85</v>
      </c>
      <c r="B164" s="243" t="s">
        <v>388</v>
      </c>
      <c r="C164" s="86" t="s">
        <v>254</v>
      </c>
      <c r="D164" s="246" t="s">
        <v>1145</v>
      </c>
      <c r="E164" s="96">
        <v>402.09624000000002</v>
      </c>
      <c r="F164" s="102">
        <f t="shared" si="57"/>
        <v>116607.91</v>
      </c>
      <c r="G164" s="102">
        <f t="shared" si="58"/>
        <v>139929.49</v>
      </c>
      <c r="J164" s="438"/>
      <c r="K164" s="438">
        <f t="shared" si="50"/>
        <v>0</v>
      </c>
    </row>
    <row r="165" spans="1:11" ht="30" customHeight="1" x14ac:dyDescent="0.3">
      <c r="A165" s="86"/>
      <c r="B165" s="84" t="s">
        <v>1103</v>
      </c>
      <c r="C165" s="86"/>
      <c r="D165" s="246"/>
      <c r="E165" s="96">
        <v>0</v>
      </c>
      <c r="F165" s="102"/>
      <c r="G165" s="102"/>
      <c r="J165" s="438"/>
      <c r="K165" s="438">
        <f t="shared" si="50"/>
        <v>0</v>
      </c>
    </row>
    <row r="166" spans="1:11" x14ac:dyDescent="0.3">
      <c r="A166" s="86">
        <f>A164+1</f>
        <v>86</v>
      </c>
      <c r="B166" s="243" t="s">
        <v>1124</v>
      </c>
      <c r="C166" s="86" t="s">
        <v>220</v>
      </c>
      <c r="D166" s="152">
        <v>2</v>
      </c>
      <c r="E166" s="96">
        <v>2248.9036499999997</v>
      </c>
      <c r="F166" s="102">
        <f t="shared" ref="F166:F171" si="61">ROUND(E166*D166,2)</f>
        <v>4497.8100000000004</v>
      </c>
      <c r="G166" s="102">
        <f t="shared" ref="G166:G168" si="62">ROUND(F166*1.2,2)</f>
        <v>5397.37</v>
      </c>
      <c r="J166" s="438"/>
      <c r="K166" s="438">
        <f t="shared" si="50"/>
        <v>0</v>
      </c>
    </row>
    <row r="167" spans="1:11" ht="18.75" customHeight="1" x14ac:dyDescent="0.3">
      <c r="A167" s="86">
        <f>A166+1</f>
        <v>87</v>
      </c>
      <c r="B167" s="243" t="s">
        <v>1125</v>
      </c>
      <c r="C167" s="86" t="s">
        <v>220</v>
      </c>
      <c r="D167" s="152">
        <v>2</v>
      </c>
      <c r="E167" s="96">
        <v>1937.0213100000001</v>
      </c>
      <c r="F167" s="102">
        <f t="shared" si="61"/>
        <v>3874.04</v>
      </c>
      <c r="G167" s="102">
        <f t="shared" si="62"/>
        <v>4648.8500000000004</v>
      </c>
      <c r="J167" s="438"/>
      <c r="K167" s="438">
        <f t="shared" si="50"/>
        <v>0</v>
      </c>
    </row>
    <row r="168" spans="1:11" ht="15.75" customHeight="1" x14ac:dyDescent="0.3">
      <c r="A168" s="86">
        <f>A167+1</f>
        <v>88</v>
      </c>
      <c r="B168" s="243" t="s">
        <v>1126</v>
      </c>
      <c r="C168" s="86" t="s">
        <v>220</v>
      </c>
      <c r="D168" s="152">
        <v>2</v>
      </c>
      <c r="E168" s="96">
        <v>3392.0426400000001</v>
      </c>
      <c r="F168" s="102">
        <f t="shared" si="61"/>
        <v>6784.09</v>
      </c>
      <c r="G168" s="102">
        <f t="shared" si="62"/>
        <v>8140.91</v>
      </c>
      <c r="J168" s="438"/>
      <c r="K168" s="438">
        <f t="shared" si="50"/>
        <v>0</v>
      </c>
    </row>
    <row r="169" spans="1:11" s="56" customFormat="1" ht="20.25" customHeight="1" x14ac:dyDescent="0.3">
      <c r="A169" s="86">
        <f>A168+1</f>
        <v>89</v>
      </c>
      <c r="B169" s="243" t="s">
        <v>1146</v>
      </c>
      <c r="C169" s="86" t="s">
        <v>220</v>
      </c>
      <c r="D169" s="246" t="s">
        <v>765</v>
      </c>
      <c r="E169" s="96">
        <v>8041.9248000000007</v>
      </c>
      <c r="F169" s="102">
        <f t="shared" si="61"/>
        <v>16083.85</v>
      </c>
      <c r="G169" s="102">
        <f t="shared" ref="G169:G171" si="63">ROUND(F169*1.2,2)</f>
        <v>19300.62</v>
      </c>
      <c r="J169" s="438"/>
      <c r="K169" s="438">
        <f t="shared" si="50"/>
        <v>0</v>
      </c>
    </row>
    <row r="170" spans="1:11" ht="15.75" customHeight="1" x14ac:dyDescent="0.3">
      <c r="A170" s="86">
        <f t="shared" ref="A170:A171" si="64">A169+1</f>
        <v>90</v>
      </c>
      <c r="B170" s="243" t="s">
        <v>595</v>
      </c>
      <c r="C170" s="86" t="s">
        <v>387</v>
      </c>
      <c r="D170" s="256">
        <f>5.49*20/16</f>
        <v>6.8625000000000007</v>
      </c>
      <c r="E170" s="96">
        <v>322.1925</v>
      </c>
      <c r="F170" s="102">
        <f t="shared" si="61"/>
        <v>2211.0500000000002</v>
      </c>
      <c r="G170" s="102">
        <f t="shared" si="63"/>
        <v>2653.26</v>
      </c>
      <c r="J170" s="438"/>
      <c r="K170" s="438">
        <f t="shared" si="50"/>
        <v>0</v>
      </c>
    </row>
    <row r="171" spans="1:11" ht="18" customHeight="1" x14ac:dyDescent="0.3">
      <c r="A171" s="86">
        <f t="shared" si="64"/>
        <v>91</v>
      </c>
      <c r="B171" s="243" t="s">
        <v>388</v>
      </c>
      <c r="C171" s="86" t="s">
        <v>254</v>
      </c>
      <c r="D171" s="246" t="s">
        <v>1147</v>
      </c>
      <c r="E171" s="96">
        <v>402.09624000000002</v>
      </c>
      <c r="F171" s="102">
        <f t="shared" si="61"/>
        <v>12625.82</v>
      </c>
      <c r="G171" s="102">
        <f t="shared" si="63"/>
        <v>15150.98</v>
      </c>
      <c r="J171" s="438"/>
      <c r="K171" s="438">
        <f t="shared" si="50"/>
        <v>0</v>
      </c>
    </row>
    <row r="172" spans="1:11" s="209" customFormat="1" ht="23.25" customHeight="1" x14ac:dyDescent="0.3">
      <c r="A172" s="464"/>
      <c r="B172" s="468" t="s">
        <v>1105</v>
      </c>
      <c r="C172" s="464"/>
      <c r="D172" s="486"/>
      <c r="E172" s="483">
        <v>0</v>
      </c>
      <c r="F172" s="467"/>
      <c r="G172" s="467"/>
      <c r="J172" s="439"/>
      <c r="K172" s="439">
        <f t="shared" si="50"/>
        <v>0</v>
      </c>
    </row>
    <row r="173" spans="1:11" s="209" customFormat="1" ht="15.75" customHeight="1" x14ac:dyDescent="0.3">
      <c r="A173" s="464">
        <f>A171+1</f>
        <v>92</v>
      </c>
      <c r="B173" s="471" t="s">
        <v>585</v>
      </c>
      <c r="C173" s="464" t="s">
        <v>220</v>
      </c>
      <c r="D173" s="486" t="s">
        <v>765</v>
      </c>
      <c r="E173" s="483">
        <v>13858.143810000001</v>
      </c>
      <c r="F173" s="467">
        <f t="shared" ref="F173:F184" si="65">ROUND(E173*D173,2)</f>
        <v>27716.29</v>
      </c>
      <c r="G173" s="467">
        <f t="shared" ref="G173:G184" si="66">ROUND(F173*1.2,2)</f>
        <v>33259.550000000003</v>
      </c>
      <c r="J173" s="439" t="str">
        <f>D173</f>
        <v>2</v>
      </c>
      <c r="K173" s="439">
        <f t="shared" si="50"/>
        <v>33259.545144000003</v>
      </c>
    </row>
    <row r="174" spans="1:11" s="209" customFormat="1" ht="15.75" customHeight="1" x14ac:dyDescent="0.3">
      <c r="A174" s="464">
        <f>A173+1</f>
        <v>93</v>
      </c>
      <c r="B174" s="471" t="s">
        <v>587</v>
      </c>
      <c r="C174" s="464" t="s">
        <v>220</v>
      </c>
      <c r="D174" s="486" t="s">
        <v>586</v>
      </c>
      <c r="E174" s="483">
        <v>14672.646450000004</v>
      </c>
      <c r="F174" s="467">
        <f t="shared" si="65"/>
        <v>58690.59</v>
      </c>
      <c r="G174" s="467">
        <f t="shared" si="66"/>
        <v>70428.710000000006</v>
      </c>
      <c r="J174" s="439" t="str">
        <f t="shared" ref="J174:J184" si="67">D174</f>
        <v>4</v>
      </c>
      <c r="K174" s="439">
        <f t="shared" si="50"/>
        <v>70428.70296000001</v>
      </c>
    </row>
    <row r="175" spans="1:11" s="209" customFormat="1" ht="15.75" customHeight="1" x14ac:dyDescent="0.3">
      <c r="A175" s="464">
        <f t="shared" ref="A175:A184" si="68">A174+1</f>
        <v>94</v>
      </c>
      <c r="B175" s="471" t="s">
        <v>588</v>
      </c>
      <c r="C175" s="464" t="s">
        <v>220</v>
      </c>
      <c r="D175" s="486" t="s">
        <v>1148</v>
      </c>
      <c r="E175" s="483">
        <v>14184.20262</v>
      </c>
      <c r="F175" s="467">
        <f t="shared" si="65"/>
        <v>42552.61</v>
      </c>
      <c r="G175" s="467">
        <f t="shared" si="66"/>
        <v>51063.13</v>
      </c>
      <c r="J175" s="439" t="str">
        <f t="shared" si="67"/>
        <v>3</v>
      </c>
      <c r="K175" s="439">
        <f t="shared" si="50"/>
        <v>51063.129432000002</v>
      </c>
    </row>
    <row r="176" spans="1:11" s="209" customFormat="1" ht="15.75" customHeight="1" x14ac:dyDescent="0.3">
      <c r="A176" s="464">
        <f t="shared" si="68"/>
        <v>95</v>
      </c>
      <c r="B176" s="471" t="s">
        <v>589</v>
      </c>
      <c r="C176" s="464" t="s">
        <v>220</v>
      </c>
      <c r="D176" s="486" t="s">
        <v>762</v>
      </c>
      <c r="E176" s="483">
        <v>13206.02619</v>
      </c>
      <c r="F176" s="467">
        <f t="shared" si="65"/>
        <v>13206.03</v>
      </c>
      <c r="G176" s="467">
        <f t="shared" si="66"/>
        <v>15847.24</v>
      </c>
      <c r="J176" s="439" t="str">
        <f t="shared" si="67"/>
        <v>1</v>
      </c>
      <c r="K176" s="439">
        <f t="shared" si="50"/>
        <v>15847.231427999999</v>
      </c>
    </row>
    <row r="177" spans="1:11" s="209" customFormat="1" ht="15.75" customHeight="1" x14ac:dyDescent="0.3">
      <c r="A177" s="464">
        <f t="shared" si="68"/>
        <v>96</v>
      </c>
      <c r="B177" s="471" t="s">
        <v>590</v>
      </c>
      <c r="C177" s="464" t="s">
        <v>220</v>
      </c>
      <c r="D177" s="486" t="s">
        <v>781</v>
      </c>
      <c r="E177" s="483">
        <v>7989.0852299999997</v>
      </c>
      <c r="F177" s="467">
        <f t="shared" si="65"/>
        <v>47934.51</v>
      </c>
      <c r="G177" s="467">
        <f t="shared" si="66"/>
        <v>57521.41</v>
      </c>
      <c r="J177" s="439" t="str">
        <f t="shared" si="67"/>
        <v>6</v>
      </c>
      <c r="K177" s="439">
        <f t="shared" si="50"/>
        <v>57521.413655999997</v>
      </c>
    </row>
    <row r="178" spans="1:11" s="209" customFormat="1" ht="15.75" customHeight="1" x14ac:dyDescent="0.3">
      <c r="A178" s="464">
        <f t="shared" si="68"/>
        <v>97</v>
      </c>
      <c r="B178" s="471" t="s">
        <v>1128</v>
      </c>
      <c r="C178" s="464" t="s">
        <v>220</v>
      </c>
      <c r="D178" s="486" t="s">
        <v>586</v>
      </c>
      <c r="E178" s="483">
        <v>19563.528600000005</v>
      </c>
      <c r="F178" s="467">
        <f t="shared" si="65"/>
        <v>78254.11</v>
      </c>
      <c r="G178" s="467">
        <f t="shared" si="66"/>
        <v>93904.93</v>
      </c>
      <c r="J178" s="439" t="str">
        <f t="shared" si="67"/>
        <v>4</v>
      </c>
      <c r="K178" s="439">
        <f t="shared" si="50"/>
        <v>93904.937280000027</v>
      </c>
    </row>
    <row r="179" spans="1:11" s="209" customFormat="1" ht="19.5" customHeight="1" x14ac:dyDescent="0.3">
      <c r="A179" s="464">
        <f t="shared" si="68"/>
        <v>98</v>
      </c>
      <c r="B179" s="471" t="s">
        <v>1149</v>
      </c>
      <c r="C179" s="464" t="s">
        <v>254</v>
      </c>
      <c r="D179" s="486" t="s">
        <v>1150</v>
      </c>
      <c r="E179" s="483">
        <v>904.71654000000001</v>
      </c>
      <c r="F179" s="467">
        <f t="shared" si="65"/>
        <v>8775.75</v>
      </c>
      <c r="G179" s="467">
        <f t="shared" si="66"/>
        <v>10530.9</v>
      </c>
      <c r="J179" s="439" t="str">
        <f t="shared" si="67"/>
        <v>9,7</v>
      </c>
      <c r="K179" s="439">
        <f t="shared" si="50"/>
        <v>10530.900525599998</v>
      </c>
    </row>
    <row r="180" spans="1:11" s="209" customFormat="1" ht="19.5" customHeight="1" x14ac:dyDescent="0.3">
      <c r="A180" s="464">
        <f t="shared" si="68"/>
        <v>99</v>
      </c>
      <c r="B180" s="471" t="s">
        <v>1129</v>
      </c>
      <c r="C180" s="464" t="s">
        <v>254</v>
      </c>
      <c r="D180" s="486" t="s">
        <v>1130</v>
      </c>
      <c r="E180" s="483">
        <v>904.71654000000001</v>
      </c>
      <c r="F180" s="467">
        <f t="shared" si="65"/>
        <v>14656.41</v>
      </c>
      <c r="G180" s="467">
        <f t="shared" si="66"/>
        <v>17587.689999999999</v>
      </c>
      <c r="J180" s="439" t="str">
        <f t="shared" si="67"/>
        <v>16,2</v>
      </c>
      <c r="K180" s="439">
        <f t="shared" si="50"/>
        <v>17587.689537599999</v>
      </c>
    </row>
    <row r="181" spans="1:11" s="209" customFormat="1" ht="19.5" customHeight="1" x14ac:dyDescent="0.3">
      <c r="A181" s="464">
        <f t="shared" si="68"/>
        <v>100</v>
      </c>
      <c r="B181" s="471" t="s">
        <v>1138</v>
      </c>
      <c r="C181" s="464" t="s">
        <v>254</v>
      </c>
      <c r="D181" s="486" t="s">
        <v>1142</v>
      </c>
      <c r="E181" s="483">
        <v>904.71654000000001</v>
      </c>
      <c r="F181" s="467">
        <f t="shared" si="65"/>
        <v>35283.949999999997</v>
      </c>
      <c r="G181" s="467">
        <f t="shared" si="66"/>
        <v>42340.74</v>
      </c>
      <c r="J181" s="439" t="str">
        <f t="shared" si="67"/>
        <v>39</v>
      </c>
      <c r="K181" s="439">
        <f t="shared" si="50"/>
        <v>42340.734071999999</v>
      </c>
    </row>
    <row r="182" spans="1:11" s="272" customFormat="1" ht="27.6" x14ac:dyDescent="0.3">
      <c r="A182" s="464">
        <f t="shared" si="68"/>
        <v>101</v>
      </c>
      <c r="B182" s="471" t="s">
        <v>1151</v>
      </c>
      <c r="C182" s="464" t="s">
        <v>220</v>
      </c>
      <c r="D182" s="469">
        <v>2</v>
      </c>
      <c r="E182" s="483">
        <v>22656.576600000004</v>
      </c>
      <c r="F182" s="467">
        <f t="shared" si="65"/>
        <v>45313.15</v>
      </c>
      <c r="G182" s="467">
        <f t="shared" si="66"/>
        <v>54375.78</v>
      </c>
      <c r="J182" s="439">
        <f t="shared" si="67"/>
        <v>2</v>
      </c>
      <c r="K182" s="439">
        <f t="shared" si="50"/>
        <v>54375.783840000011</v>
      </c>
    </row>
    <row r="183" spans="1:11" s="209" customFormat="1" ht="18.75" customHeight="1" x14ac:dyDescent="0.3">
      <c r="A183" s="464">
        <f t="shared" si="68"/>
        <v>102</v>
      </c>
      <c r="B183" s="471" t="s">
        <v>595</v>
      </c>
      <c r="C183" s="464" t="s">
        <v>387</v>
      </c>
      <c r="D183" s="487">
        <f>25.5*20/16</f>
        <v>31.875</v>
      </c>
      <c r="E183" s="483">
        <v>322.1925</v>
      </c>
      <c r="F183" s="467">
        <f t="shared" si="65"/>
        <v>10269.89</v>
      </c>
      <c r="G183" s="467">
        <f t="shared" si="66"/>
        <v>12323.87</v>
      </c>
      <c r="J183" s="439">
        <f t="shared" si="67"/>
        <v>31.875</v>
      </c>
      <c r="K183" s="439">
        <f t="shared" si="50"/>
        <v>12323.863124999998</v>
      </c>
    </row>
    <row r="184" spans="1:11" s="209" customFormat="1" ht="18.75" customHeight="1" x14ac:dyDescent="0.3">
      <c r="A184" s="464">
        <f t="shared" si="68"/>
        <v>103</v>
      </c>
      <c r="B184" s="471" t="s">
        <v>388</v>
      </c>
      <c r="C184" s="464" t="s">
        <v>254</v>
      </c>
      <c r="D184" s="486" t="s">
        <v>597</v>
      </c>
      <c r="E184" s="483">
        <v>402.09624000000002</v>
      </c>
      <c r="F184" s="467">
        <f t="shared" si="65"/>
        <v>58585.42</v>
      </c>
      <c r="G184" s="467">
        <f t="shared" si="66"/>
        <v>70302.5</v>
      </c>
      <c r="J184" s="439" t="str">
        <f t="shared" si="67"/>
        <v>145,7</v>
      </c>
      <c r="K184" s="439">
        <f t="shared" si="50"/>
        <v>70302.506601599991</v>
      </c>
    </row>
    <row r="185" spans="1:11" ht="19.5" customHeight="1" x14ac:dyDescent="0.3">
      <c r="A185" s="86"/>
      <c r="B185" s="84" t="s">
        <v>1115</v>
      </c>
      <c r="C185" s="86"/>
      <c r="D185" s="246"/>
      <c r="E185" s="96">
        <v>0</v>
      </c>
      <c r="F185" s="102"/>
      <c r="G185" s="102"/>
      <c r="J185" s="438"/>
      <c r="K185" s="438">
        <f t="shared" si="50"/>
        <v>0</v>
      </c>
    </row>
    <row r="186" spans="1:11" ht="19.5" customHeight="1" x14ac:dyDescent="0.3">
      <c r="A186" s="86">
        <f>A184+1</f>
        <v>104</v>
      </c>
      <c r="B186" s="243" t="s">
        <v>587</v>
      </c>
      <c r="C186" s="86" t="s">
        <v>220</v>
      </c>
      <c r="D186" s="246" t="s">
        <v>765</v>
      </c>
      <c r="E186" s="96">
        <v>14672.646450000004</v>
      </c>
      <c r="F186" s="102">
        <f t="shared" ref="F186:F192" si="69">ROUND(E186*D186,2)</f>
        <v>29345.29</v>
      </c>
      <c r="G186" s="102">
        <f t="shared" ref="G186:G192" si="70">ROUND(F186*1.2,2)</f>
        <v>35214.35</v>
      </c>
      <c r="J186" s="438"/>
      <c r="K186" s="438">
        <f t="shared" si="50"/>
        <v>0</v>
      </c>
    </row>
    <row r="187" spans="1:11" x14ac:dyDescent="0.3">
      <c r="A187" s="86">
        <f>A186+1</f>
        <v>105</v>
      </c>
      <c r="B187" s="243" t="s">
        <v>590</v>
      </c>
      <c r="C187" s="86" t="s">
        <v>220</v>
      </c>
      <c r="D187" s="246" t="s">
        <v>765</v>
      </c>
      <c r="E187" s="96">
        <v>7989.0852299999997</v>
      </c>
      <c r="F187" s="102">
        <f t="shared" si="69"/>
        <v>15978.17</v>
      </c>
      <c r="G187" s="102">
        <f t="shared" si="70"/>
        <v>19173.8</v>
      </c>
      <c r="J187" s="438"/>
      <c r="K187" s="438">
        <f t="shared" si="50"/>
        <v>0</v>
      </c>
    </row>
    <row r="188" spans="1:11" x14ac:dyDescent="0.3">
      <c r="A188" s="86">
        <f t="shared" ref="A188:A192" si="71">A187+1</f>
        <v>106</v>
      </c>
      <c r="B188" s="243" t="s">
        <v>1128</v>
      </c>
      <c r="C188" s="86" t="s">
        <v>220</v>
      </c>
      <c r="D188" s="246" t="s">
        <v>765</v>
      </c>
      <c r="E188" s="96">
        <v>19563.528600000005</v>
      </c>
      <c r="F188" s="102">
        <f t="shared" si="69"/>
        <v>39127.06</v>
      </c>
      <c r="G188" s="102">
        <f t="shared" si="70"/>
        <v>46952.47</v>
      </c>
      <c r="J188" s="438"/>
      <c r="K188" s="438">
        <f t="shared" si="50"/>
        <v>0</v>
      </c>
    </row>
    <row r="189" spans="1:11" s="56" customFormat="1" ht="27.6" x14ac:dyDescent="0.3">
      <c r="A189" s="86">
        <f t="shared" si="71"/>
        <v>107</v>
      </c>
      <c r="B189" s="243" t="s">
        <v>1152</v>
      </c>
      <c r="C189" s="86" t="s">
        <v>220</v>
      </c>
      <c r="D189" s="152">
        <v>2</v>
      </c>
      <c r="E189" s="96">
        <v>18446.165010000001</v>
      </c>
      <c r="F189" s="102">
        <f t="shared" si="69"/>
        <v>36892.33</v>
      </c>
      <c r="G189" s="102">
        <f t="shared" si="70"/>
        <v>44270.8</v>
      </c>
      <c r="J189" s="438"/>
      <c r="K189" s="438">
        <f t="shared" si="50"/>
        <v>0</v>
      </c>
    </row>
    <row r="190" spans="1:11" ht="20.25" customHeight="1" x14ac:dyDescent="0.3">
      <c r="A190" s="86">
        <f t="shared" si="71"/>
        <v>108</v>
      </c>
      <c r="B190" s="243" t="s">
        <v>1138</v>
      </c>
      <c r="C190" s="86" t="s">
        <v>254</v>
      </c>
      <c r="D190" s="246" t="s">
        <v>1153</v>
      </c>
      <c r="E190" s="96">
        <v>904.71654000000001</v>
      </c>
      <c r="F190" s="102">
        <f t="shared" si="69"/>
        <v>17641.97</v>
      </c>
      <c r="G190" s="102">
        <f t="shared" si="70"/>
        <v>21170.36</v>
      </c>
      <c r="J190" s="438"/>
      <c r="K190" s="438">
        <f t="shared" si="50"/>
        <v>0</v>
      </c>
    </row>
    <row r="191" spans="1:11" x14ac:dyDescent="0.3">
      <c r="A191" s="86">
        <f t="shared" si="71"/>
        <v>109</v>
      </c>
      <c r="B191" s="243" t="s">
        <v>595</v>
      </c>
      <c r="C191" s="86" t="s">
        <v>387</v>
      </c>
      <c r="D191" s="256">
        <f>6.38*20/16</f>
        <v>7.9749999999999996</v>
      </c>
      <c r="E191" s="96">
        <v>322.1925</v>
      </c>
      <c r="F191" s="102">
        <f t="shared" si="69"/>
        <v>2569.4899999999998</v>
      </c>
      <c r="G191" s="102">
        <f t="shared" si="70"/>
        <v>3083.39</v>
      </c>
      <c r="J191" s="438"/>
      <c r="K191" s="438">
        <f t="shared" si="50"/>
        <v>0</v>
      </c>
    </row>
    <row r="192" spans="1:11" x14ac:dyDescent="0.3">
      <c r="A192" s="86">
        <f t="shared" si="71"/>
        <v>110</v>
      </c>
      <c r="B192" s="243" t="s">
        <v>388</v>
      </c>
      <c r="C192" s="86" t="s">
        <v>254</v>
      </c>
      <c r="D192" s="246" t="s">
        <v>1131</v>
      </c>
      <c r="E192" s="96">
        <v>402.09624000000002</v>
      </c>
      <c r="F192" s="102">
        <f t="shared" si="69"/>
        <v>14648.37</v>
      </c>
      <c r="G192" s="102">
        <f t="shared" si="70"/>
        <v>17578.04</v>
      </c>
      <c r="J192" s="438"/>
      <c r="K192" s="438">
        <f t="shared" si="50"/>
        <v>0</v>
      </c>
    </row>
    <row r="193" spans="1:11" x14ac:dyDescent="0.3">
      <c r="A193" s="153"/>
      <c r="B193" s="589" t="s">
        <v>604</v>
      </c>
      <c r="C193" s="590"/>
      <c r="D193" s="590"/>
      <c r="E193" s="341"/>
      <c r="F193" s="156"/>
      <c r="G193" s="125"/>
      <c r="H193" s="209"/>
      <c r="J193" s="438"/>
      <c r="K193" s="438">
        <f t="shared" si="50"/>
        <v>0</v>
      </c>
    </row>
    <row r="194" spans="1:11" s="209" customFormat="1" x14ac:dyDescent="0.3">
      <c r="A194" s="429">
        <f>A192+1</f>
        <v>111</v>
      </c>
      <c r="B194" s="208" t="s">
        <v>234</v>
      </c>
      <c r="C194" s="429" t="s">
        <v>193</v>
      </c>
      <c r="D194" s="442">
        <f>27.43+220.77</f>
        <v>248.20000000000002</v>
      </c>
      <c r="E194" s="483">
        <v>1701.1764000000003</v>
      </c>
      <c r="F194" s="434">
        <f t="shared" ref="F194:F215" si="72">ROUND(E194*D194,2)</f>
        <v>422231.98</v>
      </c>
      <c r="G194" s="434">
        <f t="shared" ref="G194:G211" si="73">ROUND(F194*1.2,2)</f>
        <v>506678.38</v>
      </c>
      <c r="J194" s="439">
        <f>125.66+4.16</f>
        <v>129.82</v>
      </c>
      <c r="K194" s="439">
        <f t="shared" si="50"/>
        <v>265016.06429760001</v>
      </c>
    </row>
    <row r="195" spans="1:11" s="209" customFormat="1" x14ac:dyDescent="0.3">
      <c r="A195" s="429">
        <f>A194+1</f>
        <v>112</v>
      </c>
      <c r="B195" s="208" t="s">
        <v>160</v>
      </c>
      <c r="C195" s="441" t="s">
        <v>193</v>
      </c>
      <c r="D195" s="442">
        <v>30.73</v>
      </c>
      <c r="E195" s="483">
        <v>1763.03736</v>
      </c>
      <c r="F195" s="434">
        <f t="shared" si="72"/>
        <v>54178.14</v>
      </c>
      <c r="G195" s="434">
        <f t="shared" si="73"/>
        <v>65013.77</v>
      </c>
      <c r="J195" s="439">
        <f>28.55/9*2</f>
        <v>6.344444444444445</v>
      </c>
      <c r="K195" s="439">
        <f t="shared" si="50"/>
        <v>13422.591100800002</v>
      </c>
    </row>
    <row r="196" spans="1:11" s="209" customFormat="1" x14ac:dyDescent="0.3">
      <c r="A196" s="429">
        <f t="shared" ref="A196:A215" si="74">A195+1</f>
        <v>113</v>
      </c>
      <c r="B196" s="208" t="s">
        <v>605</v>
      </c>
      <c r="C196" s="441" t="s">
        <v>194</v>
      </c>
      <c r="D196" s="435">
        <v>29.8</v>
      </c>
      <c r="E196" s="483">
        <v>7797.0585000000019</v>
      </c>
      <c r="F196" s="434">
        <f t="shared" si="72"/>
        <v>232352.34</v>
      </c>
      <c r="G196" s="434">
        <f t="shared" si="73"/>
        <v>278822.81</v>
      </c>
      <c r="J196" s="439">
        <v>28</v>
      </c>
      <c r="K196" s="439">
        <f t="shared" si="50"/>
        <v>261981.16560000007</v>
      </c>
    </row>
    <row r="197" spans="1:11" x14ac:dyDescent="0.3">
      <c r="A197" s="65">
        <f t="shared" si="74"/>
        <v>114</v>
      </c>
      <c r="B197" s="66" t="s">
        <v>599</v>
      </c>
      <c r="C197" s="73" t="s">
        <v>194</v>
      </c>
      <c r="D197" s="71">
        <v>29</v>
      </c>
      <c r="E197" s="96">
        <v>14459.999400000001</v>
      </c>
      <c r="F197" s="101">
        <f t="shared" si="72"/>
        <v>419339.98</v>
      </c>
      <c r="G197" s="101">
        <f t="shared" si="73"/>
        <v>503207.98</v>
      </c>
      <c r="H197" s="209"/>
      <c r="J197" s="438"/>
      <c r="K197" s="438">
        <f t="shared" si="50"/>
        <v>0</v>
      </c>
    </row>
    <row r="198" spans="1:11" s="209" customFormat="1" x14ac:dyDescent="0.3">
      <c r="A198" s="429">
        <f t="shared" si="74"/>
        <v>115</v>
      </c>
      <c r="B198" s="208" t="s">
        <v>606</v>
      </c>
      <c r="C198" s="441" t="s">
        <v>194</v>
      </c>
      <c r="D198" s="248">
        <v>108</v>
      </c>
      <c r="E198" s="483">
        <v>1360.9411200000002</v>
      </c>
      <c r="F198" s="434">
        <f t="shared" si="72"/>
        <v>146981.64000000001</v>
      </c>
      <c r="G198" s="434">
        <f t="shared" si="73"/>
        <v>176377.97</v>
      </c>
      <c r="J198" s="439">
        <v>52</v>
      </c>
      <c r="K198" s="439">
        <f t="shared" ref="K198:K261" si="75">E198*J198*1.2</f>
        <v>84922.725888000001</v>
      </c>
    </row>
    <row r="199" spans="1:11" x14ac:dyDescent="0.3">
      <c r="A199" s="65">
        <f t="shared" si="74"/>
        <v>116</v>
      </c>
      <c r="B199" s="66" t="s">
        <v>607</v>
      </c>
      <c r="C199" s="73" t="s">
        <v>194</v>
      </c>
      <c r="D199" s="71">
        <f>222+1.29</f>
        <v>223.29</v>
      </c>
      <c r="E199" s="96">
        <v>5245.2939000000006</v>
      </c>
      <c r="F199" s="101">
        <f t="shared" si="72"/>
        <v>1171221.67</v>
      </c>
      <c r="G199" s="101">
        <f t="shared" si="73"/>
        <v>1405466</v>
      </c>
      <c r="H199" s="209"/>
      <c r="J199" s="438"/>
      <c r="K199" s="438">
        <f t="shared" si="75"/>
        <v>0</v>
      </c>
    </row>
    <row r="200" spans="1:11" s="209" customFormat="1" x14ac:dyDescent="0.3">
      <c r="A200" s="429">
        <f t="shared" si="74"/>
        <v>117</v>
      </c>
      <c r="B200" s="208" t="s">
        <v>608</v>
      </c>
      <c r="C200" s="429" t="s">
        <v>220</v>
      </c>
      <c r="D200" s="488" t="s">
        <v>609</v>
      </c>
      <c r="E200" s="483">
        <v>2248.9036499999997</v>
      </c>
      <c r="F200" s="434">
        <f t="shared" si="72"/>
        <v>15742.33</v>
      </c>
      <c r="G200" s="434">
        <f t="shared" si="73"/>
        <v>18890.8</v>
      </c>
      <c r="J200" s="439">
        <v>2</v>
      </c>
      <c r="K200" s="439">
        <f t="shared" si="75"/>
        <v>5397.3687599999994</v>
      </c>
    </row>
    <row r="201" spans="1:11" s="209" customFormat="1" x14ac:dyDescent="0.3">
      <c r="A201" s="429">
        <f t="shared" si="74"/>
        <v>118</v>
      </c>
      <c r="B201" s="208" t="s">
        <v>610</v>
      </c>
      <c r="C201" s="429" t="s">
        <v>220</v>
      </c>
      <c r="D201" s="488" t="s">
        <v>609</v>
      </c>
      <c r="E201" s="483">
        <v>1937.0213100000001</v>
      </c>
      <c r="F201" s="434">
        <f t="shared" si="72"/>
        <v>13559.15</v>
      </c>
      <c r="G201" s="434">
        <f t="shared" si="73"/>
        <v>16270.98</v>
      </c>
      <c r="J201" s="439">
        <v>2</v>
      </c>
      <c r="K201" s="439">
        <f t="shared" si="75"/>
        <v>4648.8511440000002</v>
      </c>
    </row>
    <row r="202" spans="1:11" s="209" customFormat="1" x14ac:dyDescent="0.3">
      <c r="A202" s="429">
        <f t="shared" si="74"/>
        <v>119</v>
      </c>
      <c r="B202" s="208" t="s">
        <v>611</v>
      </c>
      <c r="C202" s="429" t="s">
        <v>220</v>
      </c>
      <c r="D202" s="488" t="s">
        <v>612</v>
      </c>
      <c r="E202" s="483">
        <v>3392.0426400000001</v>
      </c>
      <c r="F202" s="434">
        <f t="shared" si="72"/>
        <v>47488.6</v>
      </c>
      <c r="G202" s="434">
        <f t="shared" si="73"/>
        <v>56986.32</v>
      </c>
      <c r="J202" s="439">
        <f>3+2</f>
        <v>5</v>
      </c>
      <c r="K202" s="439">
        <f t="shared" si="75"/>
        <v>20352.255840000002</v>
      </c>
    </row>
    <row r="203" spans="1:11" s="209" customFormat="1" x14ac:dyDescent="0.3">
      <c r="A203" s="429">
        <f t="shared" si="74"/>
        <v>120</v>
      </c>
      <c r="B203" s="208" t="s">
        <v>590</v>
      </c>
      <c r="C203" s="429" t="s">
        <v>220</v>
      </c>
      <c r="D203" s="488" t="s">
        <v>609</v>
      </c>
      <c r="E203" s="483">
        <v>1019.41707</v>
      </c>
      <c r="F203" s="434">
        <f t="shared" si="72"/>
        <v>7135.92</v>
      </c>
      <c r="G203" s="434">
        <f t="shared" si="73"/>
        <v>8563.1</v>
      </c>
      <c r="J203" s="439">
        <v>2</v>
      </c>
      <c r="K203" s="439">
        <f t="shared" si="75"/>
        <v>2446.6009679999997</v>
      </c>
    </row>
    <row r="204" spans="1:11" s="209" customFormat="1" x14ac:dyDescent="0.3">
      <c r="A204" s="429">
        <f t="shared" si="74"/>
        <v>121</v>
      </c>
      <c r="B204" s="208" t="s">
        <v>591</v>
      </c>
      <c r="C204" s="429" t="s">
        <v>220</v>
      </c>
      <c r="D204" s="488" t="s">
        <v>609</v>
      </c>
      <c r="E204" s="483">
        <v>1871.2940400000005</v>
      </c>
      <c r="F204" s="434">
        <f t="shared" si="72"/>
        <v>13099.06</v>
      </c>
      <c r="G204" s="434">
        <f t="shared" si="73"/>
        <v>15718.87</v>
      </c>
      <c r="J204" s="439">
        <v>2</v>
      </c>
      <c r="K204" s="439">
        <f t="shared" si="75"/>
        <v>4491.1056960000005</v>
      </c>
    </row>
    <row r="205" spans="1:11" s="209" customFormat="1" x14ac:dyDescent="0.3">
      <c r="A205" s="429">
        <f t="shared" si="74"/>
        <v>122</v>
      </c>
      <c r="B205" s="208" t="s">
        <v>592</v>
      </c>
      <c r="C205" s="429" t="s">
        <v>220</v>
      </c>
      <c r="D205" s="488" t="s">
        <v>609</v>
      </c>
      <c r="E205" s="483">
        <v>19563.528600000005</v>
      </c>
      <c r="F205" s="434">
        <f t="shared" si="72"/>
        <v>136944.70000000001</v>
      </c>
      <c r="G205" s="434">
        <f t="shared" si="73"/>
        <v>164333.64000000001</v>
      </c>
      <c r="J205" s="439">
        <v>2</v>
      </c>
      <c r="K205" s="439">
        <f t="shared" si="75"/>
        <v>46952.468640000014</v>
      </c>
    </row>
    <row r="206" spans="1:11" s="209" customFormat="1" x14ac:dyDescent="0.3">
      <c r="A206" s="429">
        <f t="shared" si="74"/>
        <v>123</v>
      </c>
      <c r="B206" s="208" t="s">
        <v>593</v>
      </c>
      <c r="C206" s="429" t="s">
        <v>254</v>
      </c>
      <c r="D206" s="488" t="s">
        <v>594</v>
      </c>
      <c r="E206" s="483">
        <v>904.71654000000001</v>
      </c>
      <c r="F206" s="434">
        <f t="shared" si="72"/>
        <v>123493.81</v>
      </c>
      <c r="G206" s="434">
        <f t="shared" si="73"/>
        <v>148192.57</v>
      </c>
      <c r="J206" s="439">
        <f>134.5/9*2</f>
        <v>29.888888888888889</v>
      </c>
      <c r="K206" s="439">
        <f t="shared" si="75"/>
        <v>32449.166568000001</v>
      </c>
    </row>
    <row r="207" spans="1:11" s="209" customFormat="1" x14ac:dyDescent="0.3">
      <c r="A207" s="429">
        <f t="shared" si="74"/>
        <v>124</v>
      </c>
      <c r="B207" s="208" t="s">
        <v>595</v>
      </c>
      <c r="C207" s="429" t="s">
        <v>387</v>
      </c>
      <c r="D207" s="489">
        <f>19.23*20/16</f>
        <v>24.037500000000001</v>
      </c>
      <c r="E207" s="483">
        <v>322.1925</v>
      </c>
      <c r="F207" s="434">
        <f t="shared" si="72"/>
        <v>7744.7</v>
      </c>
      <c r="G207" s="434">
        <f t="shared" si="73"/>
        <v>9293.64</v>
      </c>
      <c r="J207" s="439">
        <f>24.04/9*2</f>
        <v>5.3422222222222224</v>
      </c>
      <c r="K207" s="439">
        <f t="shared" si="75"/>
        <v>2065.4687199999998</v>
      </c>
    </row>
    <row r="208" spans="1:11" s="209" customFormat="1" x14ac:dyDescent="0.3">
      <c r="A208" s="429">
        <f t="shared" si="74"/>
        <v>125</v>
      </c>
      <c r="B208" s="208" t="s">
        <v>596</v>
      </c>
      <c r="C208" s="429" t="s">
        <v>254</v>
      </c>
      <c r="D208" s="488" t="s">
        <v>613</v>
      </c>
      <c r="E208" s="483">
        <v>402.09624000000002</v>
      </c>
      <c r="F208" s="434">
        <f t="shared" si="72"/>
        <v>44190.38</v>
      </c>
      <c r="G208" s="434">
        <f t="shared" si="73"/>
        <v>53028.46</v>
      </c>
      <c r="J208" s="439">
        <f>109.9/9*2</f>
        <v>24.422222222222224</v>
      </c>
      <c r="K208" s="439">
        <f t="shared" si="75"/>
        <v>11784.100473600001</v>
      </c>
    </row>
    <row r="209" spans="1:11" s="209" customFormat="1" ht="27.6" x14ac:dyDescent="0.3">
      <c r="A209" s="429">
        <f t="shared" si="74"/>
        <v>126</v>
      </c>
      <c r="B209" s="208" t="s">
        <v>614</v>
      </c>
      <c r="C209" s="429" t="s">
        <v>220</v>
      </c>
      <c r="D209" s="248">
        <v>9</v>
      </c>
      <c r="E209" s="483">
        <v>1927.9999200000002</v>
      </c>
      <c r="F209" s="434">
        <f t="shared" si="72"/>
        <v>17352</v>
      </c>
      <c r="G209" s="434">
        <f t="shared" si="73"/>
        <v>20822.400000000001</v>
      </c>
      <c r="J209" s="439">
        <v>4</v>
      </c>
      <c r="K209" s="439">
        <f t="shared" si="75"/>
        <v>9254.3996160000006</v>
      </c>
    </row>
    <row r="210" spans="1:11" ht="27.6" x14ac:dyDescent="0.3">
      <c r="A210" s="65">
        <f t="shared" si="74"/>
        <v>127</v>
      </c>
      <c r="B210" s="66" t="s">
        <v>598</v>
      </c>
      <c r="C210" s="65" t="s">
        <v>220</v>
      </c>
      <c r="D210" s="248">
        <v>16</v>
      </c>
      <c r="E210" s="96">
        <v>4394.7057000000004</v>
      </c>
      <c r="F210" s="101">
        <f t="shared" si="72"/>
        <v>70315.289999999994</v>
      </c>
      <c r="G210" s="101">
        <f t="shared" si="73"/>
        <v>84378.35</v>
      </c>
      <c r="H210" s="209"/>
      <c r="J210" s="438"/>
      <c r="K210" s="438">
        <f t="shared" si="75"/>
        <v>0</v>
      </c>
    </row>
    <row r="211" spans="1:11" s="209" customFormat="1" ht="15.75" customHeight="1" x14ac:dyDescent="0.3">
      <c r="A211" s="464">
        <f t="shared" si="74"/>
        <v>128</v>
      </c>
      <c r="B211" s="471" t="s">
        <v>760</v>
      </c>
      <c r="C211" s="464" t="s">
        <v>193</v>
      </c>
      <c r="D211" s="473">
        <v>3.1</v>
      </c>
      <c r="E211" s="483">
        <v>4961.7645000000002</v>
      </c>
      <c r="F211" s="467">
        <f t="shared" si="72"/>
        <v>15381.47</v>
      </c>
      <c r="G211" s="467">
        <f t="shared" si="73"/>
        <v>18457.759999999998</v>
      </c>
      <c r="J211" s="439">
        <f>3.1/9*2</f>
        <v>0.68888888888888888</v>
      </c>
      <c r="K211" s="439">
        <f t="shared" si="75"/>
        <v>4101.7253199999996</v>
      </c>
    </row>
    <row r="212" spans="1:11" s="56" customFormat="1" ht="15.75" customHeight="1" x14ac:dyDescent="0.3">
      <c r="A212" s="86">
        <f t="shared" si="74"/>
        <v>129</v>
      </c>
      <c r="B212" s="243" t="s">
        <v>1155</v>
      </c>
      <c r="C212" s="86" t="s">
        <v>220</v>
      </c>
      <c r="D212" s="152">
        <v>1</v>
      </c>
      <c r="E212" s="96">
        <v>3737.433</v>
      </c>
      <c r="F212" s="102">
        <f t="shared" si="72"/>
        <v>3737.43</v>
      </c>
      <c r="G212" s="102">
        <f t="shared" ref="G212:G215" si="76">ROUND(F212*1.2,2)</f>
        <v>4484.92</v>
      </c>
      <c r="J212" s="438"/>
      <c r="K212" s="438">
        <f t="shared" si="75"/>
        <v>0</v>
      </c>
    </row>
    <row r="213" spans="1:11" s="56" customFormat="1" ht="15.75" customHeight="1" x14ac:dyDescent="0.3">
      <c r="A213" s="86">
        <f t="shared" si="74"/>
        <v>130</v>
      </c>
      <c r="B213" s="243" t="s">
        <v>1156</v>
      </c>
      <c r="C213" s="86" t="s">
        <v>220</v>
      </c>
      <c r="D213" s="152">
        <v>1</v>
      </c>
      <c r="E213" s="96">
        <v>28352.94</v>
      </c>
      <c r="F213" s="102">
        <f t="shared" si="72"/>
        <v>28352.94</v>
      </c>
      <c r="G213" s="102">
        <f t="shared" si="76"/>
        <v>34023.53</v>
      </c>
      <c r="J213" s="438"/>
      <c r="K213" s="438">
        <f t="shared" si="75"/>
        <v>0</v>
      </c>
    </row>
    <row r="214" spans="1:11" s="56" customFormat="1" ht="15.75" customHeight="1" x14ac:dyDescent="0.3">
      <c r="A214" s="86">
        <f t="shared" si="74"/>
        <v>131</v>
      </c>
      <c r="B214" s="243" t="s">
        <v>1157</v>
      </c>
      <c r="C214" s="86" t="s">
        <v>220</v>
      </c>
      <c r="D214" s="152">
        <v>1</v>
      </c>
      <c r="E214" s="96">
        <v>6495.4008000000003</v>
      </c>
      <c r="F214" s="102">
        <f t="shared" si="72"/>
        <v>6495.4</v>
      </c>
      <c r="G214" s="102">
        <f t="shared" si="76"/>
        <v>7794.48</v>
      </c>
      <c r="J214" s="438"/>
      <c r="K214" s="438">
        <f t="shared" si="75"/>
        <v>0</v>
      </c>
    </row>
    <row r="215" spans="1:11" s="56" customFormat="1" ht="15.75" customHeight="1" x14ac:dyDescent="0.3">
      <c r="A215" s="86">
        <f t="shared" si="74"/>
        <v>132</v>
      </c>
      <c r="B215" s="243" t="s">
        <v>1212</v>
      </c>
      <c r="C215" s="86" t="s">
        <v>220</v>
      </c>
      <c r="D215" s="152">
        <v>1</v>
      </c>
      <c r="E215" s="96">
        <v>1675.4010000000003</v>
      </c>
      <c r="F215" s="102">
        <f t="shared" si="72"/>
        <v>1675.4</v>
      </c>
      <c r="G215" s="102">
        <f t="shared" si="76"/>
        <v>2010.48</v>
      </c>
      <c r="J215" s="438"/>
      <c r="K215" s="438">
        <f t="shared" si="75"/>
        <v>0</v>
      </c>
    </row>
    <row r="216" spans="1:11" x14ac:dyDescent="0.3">
      <c r="A216" s="153"/>
      <c r="B216" s="537" t="s">
        <v>615</v>
      </c>
      <c r="C216" s="538"/>
      <c r="D216" s="538"/>
      <c r="E216" s="340"/>
      <c r="F216" s="156"/>
      <c r="G216" s="125"/>
      <c r="J216" s="438"/>
      <c r="K216" s="438">
        <f t="shared" si="75"/>
        <v>0</v>
      </c>
    </row>
    <row r="217" spans="1:11" x14ac:dyDescent="0.3">
      <c r="A217" s="65"/>
      <c r="B217" s="61" t="s">
        <v>688</v>
      </c>
      <c r="C217" s="65"/>
      <c r="D217" s="70"/>
      <c r="E217" s="96">
        <v>0</v>
      </c>
      <c r="F217" s="150"/>
      <c r="G217" s="124"/>
      <c r="J217" s="438"/>
      <c r="K217" s="438">
        <f t="shared" si="75"/>
        <v>0</v>
      </c>
    </row>
    <row r="218" spans="1:11" s="56" customFormat="1" x14ac:dyDescent="0.3">
      <c r="A218" s="86">
        <f>A215+1</f>
        <v>133</v>
      </c>
      <c r="B218" s="243" t="s">
        <v>1234</v>
      </c>
      <c r="C218" s="86" t="s">
        <v>193</v>
      </c>
      <c r="D218" s="152">
        <v>104</v>
      </c>
      <c r="E218" s="96">
        <v>1546.5240000000001</v>
      </c>
      <c r="F218" s="102">
        <f>ROUND(E218*D218,2)</f>
        <v>160838.5</v>
      </c>
      <c r="G218" s="102">
        <f t="shared" ref="G218" si="77">ROUND(F218*1.2,2)</f>
        <v>193006.2</v>
      </c>
      <c r="J218" s="438"/>
      <c r="K218" s="438">
        <f t="shared" si="75"/>
        <v>0</v>
      </c>
    </row>
    <row r="219" spans="1:11" x14ac:dyDescent="0.3">
      <c r="A219" s="65"/>
      <c r="B219" s="61" t="s">
        <v>616</v>
      </c>
      <c r="C219" s="65"/>
      <c r="D219" s="70"/>
      <c r="E219" s="96">
        <v>0</v>
      </c>
      <c r="F219" s="150"/>
      <c r="G219" s="124"/>
      <c r="J219" s="438"/>
      <c r="K219" s="438">
        <f t="shared" si="75"/>
        <v>0</v>
      </c>
    </row>
    <row r="220" spans="1:11" x14ac:dyDescent="0.3">
      <c r="A220" s="65">
        <f>A218+1</f>
        <v>134</v>
      </c>
      <c r="B220" s="66" t="s">
        <v>617</v>
      </c>
      <c r="C220" s="65" t="s">
        <v>194</v>
      </c>
      <c r="D220" s="70">
        <v>163</v>
      </c>
      <c r="E220" s="96">
        <v>8789.4114000000009</v>
      </c>
      <c r="F220" s="101">
        <f>ROUND(E220*D220,2)</f>
        <v>1432674.06</v>
      </c>
      <c r="G220" s="101">
        <f t="shared" ref="G220:G222" si="78">ROUND(F220*1.2,2)</f>
        <v>1719208.87</v>
      </c>
      <c r="J220" s="438"/>
      <c r="K220" s="438">
        <f t="shared" si="75"/>
        <v>0</v>
      </c>
    </row>
    <row r="221" spans="1:11" ht="27.6" x14ac:dyDescent="0.3">
      <c r="A221" s="65">
        <f>A220+1</f>
        <v>135</v>
      </c>
      <c r="B221" s="66" t="s">
        <v>618</v>
      </c>
      <c r="C221" s="65" t="s">
        <v>194</v>
      </c>
      <c r="D221" s="70">
        <v>163</v>
      </c>
      <c r="E221" s="96">
        <v>15877.646400000003</v>
      </c>
      <c r="F221" s="101">
        <f>ROUND(E221*D221,2)</f>
        <v>2588056.36</v>
      </c>
      <c r="G221" s="101">
        <f t="shared" si="78"/>
        <v>3105667.63</v>
      </c>
      <c r="J221" s="438"/>
      <c r="K221" s="438">
        <f t="shared" si="75"/>
        <v>0</v>
      </c>
    </row>
    <row r="222" spans="1:11" x14ac:dyDescent="0.3">
      <c r="A222" s="65">
        <f>A221+1</f>
        <v>136</v>
      </c>
      <c r="B222" s="79" t="s">
        <v>619</v>
      </c>
      <c r="C222" s="65" t="s">
        <v>193</v>
      </c>
      <c r="D222" s="67">
        <f>15.4+0.67</f>
        <v>16.07</v>
      </c>
      <c r="E222" s="96">
        <v>1763.03736</v>
      </c>
      <c r="F222" s="101">
        <f>ROUND(E222*D222,2)</f>
        <v>28332.01</v>
      </c>
      <c r="G222" s="101">
        <f t="shared" si="78"/>
        <v>33998.410000000003</v>
      </c>
      <c r="J222" s="438"/>
      <c r="K222" s="438">
        <f t="shared" si="75"/>
        <v>0</v>
      </c>
    </row>
    <row r="223" spans="1:11" x14ac:dyDescent="0.3">
      <c r="A223" s="65"/>
      <c r="B223" s="61" t="s">
        <v>1216</v>
      </c>
      <c r="C223" s="65"/>
      <c r="D223" s="70"/>
      <c r="E223" s="96">
        <v>0</v>
      </c>
      <c r="F223" s="150"/>
      <c r="G223" s="124"/>
      <c r="J223" s="438"/>
      <c r="K223" s="438">
        <f t="shared" si="75"/>
        <v>0</v>
      </c>
    </row>
    <row r="224" spans="1:11" ht="27.6" x14ac:dyDescent="0.3">
      <c r="A224" s="65">
        <f>A222+1</f>
        <v>137</v>
      </c>
      <c r="B224" s="66" t="s">
        <v>620</v>
      </c>
      <c r="C224" s="65" t="s">
        <v>239</v>
      </c>
      <c r="D224" s="67">
        <f>297.03*1.9</f>
        <v>564.35699999999997</v>
      </c>
      <c r="E224" s="96">
        <v>5978.6040300000004</v>
      </c>
      <c r="F224" s="101">
        <f t="shared" ref="F224:F229" si="79">ROUND(E224*D224,2)</f>
        <v>3374067.03</v>
      </c>
      <c r="G224" s="101">
        <f t="shared" ref="G224:G228" si="80">ROUND(F224*1.2,2)</f>
        <v>4048880.44</v>
      </c>
      <c r="J224" s="438"/>
      <c r="K224" s="438">
        <f t="shared" si="75"/>
        <v>0</v>
      </c>
    </row>
    <row r="225" spans="1:11" ht="27.6" x14ac:dyDescent="0.3">
      <c r="A225" s="65">
        <f t="shared" ref="A225:A229" si="81">A224+1</f>
        <v>138</v>
      </c>
      <c r="B225" s="66" t="s">
        <v>621</v>
      </c>
      <c r="C225" s="65" t="s">
        <v>193</v>
      </c>
      <c r="D225" s="67">
        <v>499</v>
      </c>
      <c r="E225" s="96">
        <v>5706.6735599999993</v>
      </c>
      <c r="F225" s="101">
        <f t="shared" si="79"/>
        <v>2847630.11</v>
      </c>
      <c r="G225" s="101">
        <f t="shared" si="80"/>
        <v>3417156.13</v>
      </c>
      <c r="J225" s="438"/>
      <c r="K225" s="438">
        <f t="shared" si="75"/>
        <v>0</v>
      </c>
    </row>
    <row r="226" spans="1:11" x14ac:dyDescent="0.3">
      <c r="A226" s="65">
        <f t="shared" si="81"/>
        <v>139</v>
      </c>
      <c r="B226" s="66" t="s">
        <v>622</v>
      </c>
      <c r="C226" s="65" t="s">
        <v>193</v>
      </c>
      <c r="D226" s="67">
        <v>935.63</v>
      </c>
      <c r="E226" s="96">
        <v>5162.8126200000006</v>
      </c>
      <c r="F226" s="101">
        <f t="shared" si="79"/>
        <v>4830482.37</v>
      </c>
      <c r="G226" s="101">
        <f t="shared" si="80"/>
        <v>5796578.8399999999</v>
      </c>
      <c r="J226" s="438"/>
      <c r="K226" s="438">
        <f t="shared" si="75"/>
        <v>0</v>
      </c>
    </row>
    <row r="227" spans="1:11" x14ac:dyDescent="0.3">
      <c r="A227" s="65">
        <f t="shared" si="81"/>
        <v>140</v>
      </c>
      <c r="B227" s="66" t="s">
        <v>623</v>
      </c>
      <c r="C227" s="65" t="s">
        <v>193</v>
      </c>
      <c r="D227" s="67">
        <v>1960.36</v>
      </c>
      <c r="E227" s="96">
        <v>2038.8341399999999</v>
      </c>
      <c r="F227" s="101">
        <f t="shared" si="79"/>
        <v>3996848.89</v>
      </c>
      <c r="G227" s="101">
        <f t="shared" si="80"/>
        <v>4796218.67</v>
      </c>
      <c r="J227" s="438"/>
      <c r="K227" s="438">
        <f t="shared" si="75"/>
        <v>0</v>
      </c>
    </row>
    <row r="228" spans="1:11" ht="29.25" customHeight="1" x14ac:dyDescent="0.3">
      <c r="A228" s="65">
        <f t="shared" si="81"/>
        <v>141</v>
      </c>
      <c r="B228" s="66" t="s">
        <v>624</v>
      </c>
      <c r="C228" s="65" t="s">
        <v>193</v>
      </c>
      <c r="D228" s="67">
        <v>1960.36</v>
      </c>
      <c r="E228" s="96">
        <v>2038.8341399999999</v>
      </c>
      <c r="F228" s="101">
        <f t="shared" si="79"/>
        <v>3996848.89</v>
      </c>
      <c r="G228" s="101">
        <f t="shared" si="80"/>
        <v>4796218.67</v>
      </c>
      <c r="J228" s="438"/>
      <c r="K228" s="438">
        <f t="shared" si="75"/>
        <v>0</v>
      </c>
    </row>
    <row r="229" spans="1:11" s="56" customFormat="1" ht="20.25" customHeight="1" x14ac:dyDescent="0.3">
      <c r="A229" s="86">
        <f t="shared" si="81"/>
        <v>142</v>
      </c>
      <c r="B229" s="264" t="s">
        <v>1235</v>
      </c>
      <c r="C229" s="86" t="s">
        <v>220</v>
      </c>
      <c r="D229" s="152">
        <v>144</v>
      </c>
      <c r="E229" s="96">
        <v>335.08019999999999</v>
      </c>
      <c r="F229" s="102">
        <f t="shared" si="79"/>
        <v>48251.55</v>
      </c>
      <c r="G229" s="102">
        <f t="shared" ref="G229" si="82">ROUND(F229*1.2,2)</f>
        <v>57901.86</v>
      </c>
      <c r="J229" s="438"/>
      <c r="K229" s="438">
        <f t="shared" si="75"/>
        <v>0</v>
      </c>
    </row>
    <row r="230" spans="1:11" ht="19.5" customHeight="1" x14ac:dyDescent="0.3">
      <c r="A230" s="247"/>
      <c r="B230" s="61" t="s">
        <v>1224</v>
      </c>
      <c r="C230" s="65"/>
      <c r="D230" s="67"/>
      <c r="E230" s="96">
        <v>0</v>
      </c>
      <c r="F230" s="101"/>
      <c r="G230" s="101"/>
      <c r="J230" s="438"/>
      <c r="K230" s="438">
        <f t="shared" si="75"/>
        <v>0</v>
      </c>
    </row>
    <row r="231" spans="1:11" ht="26.25" customHeight="1" x14ac:dyDescent="0.3">
      <c r="A231" s="65">
        <f>A229+1</f>
        <v>143</v>
      </c>
      <c r="B231" s="66" t="s">
        <v>622</v>
      </c>
      <c r="C231" s="65" t="s">
        <v>193</v>
      </c>
      <c r="D231" s="67">
        <v>565.42999999999995</v>
      </c>
      <c r="E231" s="96">
        <v>5162.8126200000006</v>
      </c>
      <c r="F231" s="101">
        <f>ROUND(E231*D231,2)</f>
        <v>2919209.14</v>
      </c>
      <c r="G231" s="101">
        <f t="shared" ref="G231" si="83">ROUND(F231*1.2,2)</f>
        <v>3503050.97</v>
      </c>
      <c r="J231" s="438"/>
      <c r="K231" s="438">
        <f t="shared" si="75"/>
        <v>0</v>
      </c>
    </row>
    <row r="232" spans="1:11" ht="19.5" customHeight="1" x14ac:dyDescent="0.3">
      <c r="A232" s="65"/>
      <c r="B232" s="61" t="s">
        <v>1226</v>
      </c>
      <c r="C232" s="65"/>
      <c r="D232" s="67"/>
      <c r="E232" s="96">
        <v>0</v>
      </c>
      <c r="F232" s="101"/>
      <c r="G232" s="101"/>
      <c r="J232" s="438"/>
      <c r="K232" s="438">
        <f t="shared" si="75"/>
        <v>0</v>
      </c>
    </row>
    <row r="233" spans="1:11" s="56" customFormat="1" ht="17.25" customHeight="1" x14ac:dyDescent="0.3">
      <c r="A233" s="86">
        <f>A231+1</f>
        <v>144</v>
      </c>
      <c r="B233" s="243" t="s">
        <v>1227</v>
      </c>
      <c r="C233" s="86" t="s">
        <v>220</v>
      </c>
      <c r="D233" s="152">
        <v>22</v>
      </c>
      <c r="E233" s="96">
        <v>19728.491160000001</v>
      </c>
      <c r="F233" s="102">
        <f>ROUND(E233*D233,2)</f>
        <v>434026.81</v>
      </c>
      <c r="G233" s="102">
        <f t="shared" ref="G233:G237" si="84">ROUND(F233*1.2,2)</f>
        <v>520832.17</v>
      </c>
      <c r="J233" s="438"/>
      <c r="K233" s="438">
        <f t="shared" si="75"/>
        <v>0</v>
      </c>
    </row>
    <row r="234" spans="1:11" s="56" customFormat="1" ht="17.25" customHeight="1" x14ac:dyDescent="0.3">
      <c r="A234" s="86">
        <f>A233+1</f>
        <v>145</v>
      </c>
      <c r="B234" s="243" t="s">
        <v>1228</v>
      </c>
      <c r="C234" s="86" t="s">
        <v>220</v>
      </c>
      <c r="D234" s="152">
        <v>44</v>
      </c>
      <c r="E234" s="96">
        <v>7732.62</v>
      </c>
      <c r="F234" s="102">
        <f>ROUND(E234*D234,2)</f>
        <v>340235.28</v>
      </c>
      <c r="G234" s="102">
        <f t="shared" si="84"/>
        <v>408282.34</v>
      </c>
      <c r="J234" s="438"/>
      <c r="K234" s="438">
        <f t="shared" si="75"/>
        <v>0</v>
      </c>
    </row>
    <row r="235" spans="1:11" s="56" customFormat="1" ht="17.25" customHeight="1" x14ac:dyDescent="0.3">
      <c r="A235" s="86">
        <f t="shared" ref="A235:A237" si="85">A234+1</f>
        <v>146</v>
      </c>
      <c r="B235" s="243" t="s">
        <v>1229</v>
      </c>
      <c r="C235" s="86" t="s">
        <v>220</v>
      </c>
      <c r="D235" s="152">
        <v>22</v>
      </c>
      <c r="E235" s="96">
        <v>502.62030000000004</v>
      </c>
      <c r="F235" s="102">
        <f>ROUND(E235*D235,2)</f>
        <v>11057.65</v>
      </c>
      <c r="G235" s="102">
        <f t="shared" si="84"/>
        <v>13269.18</v>
      </c>
      <c r="J235" s="438"/>
      <c r="K235" s="438">
        <f t="shared" si="75"/>
        <v>0</v>
      </c>
    </row>
    <row r="236" spans="1:11" s="56" customFormat="1" ht="17.25" customHeight="1" x14ac:dyDescent="0.3">
      <c r="A236" s="86">
        <f t="shared" si="85"/>
        <v>147</v>
      </c>
      <c r="B236" s="243" t="s">
        <v>1230</v>
      </c>
      <c r="C236" s="86" t="s">
        <v>220</v>
      </c>
      <c r="D236" s="152">
        <v>44</v>
      </c>
      <c r="E236" s="96">
        <v>3093.0480000000002</v>
      </c>
      <c r="F236" s="102">
        <f>ROUND(E236*D236,2)</f>
        <v>136094.10999999999</v>
      </c>
      <c r="G236" s="102">
        <f t="shared" si="84"/>
        <v>163312.93</v>
      </c>
      <c r="J236" s="438"/>
      <c r="K236" s="438">
        <f t="shared" si="75"/>
        <v>0</v>
      </c>
    </row>
    <row r="237" spans="1:11" s="56" customFormat="1" ht="17.25" customHeight="1" x14ac:dyDescent="0.3">
      <c r="A237" s="86">
        <f t="shared" si="85"/>
        <v>148</v>
      </c>
      <c r="B237" s="243" t="s">
        <v>1231</v>
      </c>
      <c r="C237" s="86" t="s">
        <v>220</v>
      </c>
      <c r="D237" s="152">
        <v>1</v>
      </c>
      <c r="E237" s="96">
        <v>5567.4864000000007</v>
      </c>
      <c r="F237" s="102">
        <f>ROUND(E237*D237,2)</f>
        <v>5567.49</v>
      </c>
      <c r="G237" s="102">
        <f t="shared" si="84"/>
        <v>6680.99</v>
      </c>
      <c r="J237" s="438"/>
      <c r="K237" s="438">
        <f t="shared" si="75"/>
        <v>0</v>
      </c>
    </row>
    <row r="238" spans="1:11" ht="21.75" customHeight="1" x14ac:dyDescent="0.3">
      <c r="A238" s="65"/>
      <c r="B238" s="61" t="s">
        <v>1232</v>
      </c>
      <c r="C238" s="65"/>
      <c r="D238" s="67"/>
      <c r="E238" s="96">
        <v>0</v>
      </c>
      <c r="F238" s="101"/>
      <c r="G238" s="101"/>
      <c r="J238" s="438"/>
      <c r="K238" s="438">
        <f t="shared" si="75"/>
        <v>0</v>
      </c>
    </row>
    <row r="239" spans="1:11" ht="18.75" customHeight="1" x14ac:dyDescent="0.3">
      <c r="A239" s="65">
        <f>A237+1</f>
        <v>149</v>
      </c>
      <c r="B239" s="66" t="s">
        <v>372</v>
      </c>
      <c r="C239" s="73" t="s">
        <v>254</v>
      </c>
      <c r="D239" s="67">
        <v>1.41</v>
      </c>
      <c r="E239" s="96">
        <v>626.34222</v>
      </c>
      <c r="F239" s="101">
        <f>ROUND(E239*D239,2)</f>
        <v>883.14</v>
      </c>
      <c r="G239" s="101">
        <f t="shared" ref="G239:G241" si="86">ROUND(F239*1.2,2)</f>
        <v>1059.77</v>
      </c>
      <c r="J239" s="438"/>
      <c r="K239" s="438">
        <f t="shared" si="75"/>
        <v>0</v>
      </c>
    </row>
    <row r="240" spans="1:11" ht="18.75" customHeight="1" x14ac:dyDescent="0.3">
      <c r="A240" s="65">
        <f>A239+1</f>
        <v>150</v>
      </c>
      <c r="B240" s="66" t="s">
        <v>373</v>
      </c>
      <c r="C240" s="73" t="s">
        <v>254</v>
      </c>
      <c r="D240" s="67">
        <v>1.17</v>
      </c>
      <c r="E240" s="96">
        <v>835.12296000000003</v>
      </c>
      <c r="F240" s="101">
        <f>ROUND(E240*D240,2)</f>
        <v>977.09</v>
      </c>
      <c r="G240" s="101">
        <f t="shared" si="86"/>
        <v>1172.51</v>
      </c>
      <c r="J240" s="438"/>
      <c r="K240" s="438">
        <f t="shared" si="75"/>
        <v>0</v>
      </c>
    </row>
    <row r="241" spans="1:11" ht="18.75" customHeight="1" x14ac:dyDescent="0.3">
      <c r="A241" s="65">
        <f>A240+1</f>
        <v>151</v>
      </c>
      <c r="B241" s="66" t="s">
        <v>374</v>
      </c>
      <c r="C241" s="73" t="s">
        <v>254</v>
      </c>
      <c r="D241" s="67">
        <v>1.2</v>
      </c>
      <c r="E241" s="96">
        <v>1630.2940500000002</v>
      </c>
      <c r="F241" s="101">
        <f>ROUND(E241*D241,2)</f>
        <v>1956.35</v>
      </c>
      <c r="G241" s="101">
        <f t="shared" si="86"/>
        <v>2347.62</v>
      </c>
      <c r="J241" s="438"/>
      <c r="K241" s="438">
        <f t="shared" si="75"/>
        <v>0</v>
      </c>
    </row>
    <row r="242" spans="1:11" s="517" customFormat="1" x14ac:dyDescent="0.3">
      <c r="A242" s="514"/>
      <c r="B242" s="537" t="s">
        <v>1238</v>
      </c>
      <c r="C242" s="538"/>
      <c r="D242" s="538"/>
      <c r="E242" s="427"/>
      <c r="F242" s="515"/>
      <c r="G242" s="516"/>
      <c r="J242" s="438"/>
      <c r="K242" s="438">
        <f t="shared" si="75"/>
        <v>0</v>
      </c>
    </row>
    <row r="243" spans="1:11" s="517" customFormat="1" x14ac:dyDescent="0.3">
      <c r="A243" s="65"/>
      <c r="B243" s="61" t="s">
        <v>625</v>
      </c>
      <c r="C243" s="65"/>
      <c r="D243" s="67"/>
      <c r="E243" s="201">
        <v>0</v>
      </c>
      <c r="F243" s="518"/>
      <c r="G243" s="519"/>
      <c r="J243" s="438"/>
      <c r="K243" s="438">
        <f t="shared" si="75"/>
        <v>0</v>
      </c>
    </row>
    <row r="244" spans="1:11" s="517" customFormat="1" x14ac:dyDescent="0.3">
      <c r="A244" s="65">
        <f>A241+1</f>
        <v>152</v>
      </c>
      <c r="B244" s="66" t="s">
        <v>626</v>
      </c>
      <c r="C244" s="65" t="s">
        <v>194</v>
      </c>
      <c r="D244" s="70">
        <f>180+300+80</f>
        <v>560</v>
      </c>
      <c r="E244" s="201">
        <v>481.99998000000005</v>
      </c>
      <c r="F244" s="202">
        <f>ROUND(E244*D244,2)</f>
        <v>269919.99</v>
      </c>
      <c r="G244" s="202">
        <f t="shared" ref="G244:G247" si="87">ROUND(F244*1.2,2)</f>
        <v>323903.99</v>
      </c>
      <c r="J244" s="438">
        <v>0</v>
      </c>
      <c r="K244" s="438">
        <f t="shared" si="75"/>
        <v>0</v>
      </c>
    </row>
    <row r="245" spans="1:11" s="521" customFormat="1" x14ac:dyDescent="0.3">
      <c r="A245" s="86">
        <f t="shared" ref="A245:A247" si="88">A244+1</f>
        <v>153</v>
      </c>
      <c r="B245" s="243" t="s">
        <v>1241</v>
      </c>
      <c r="C245" s="86" t="s">
        <v>220</v>
      </c>
      <c r="D245" s="152">
        <v>4</v>
      </c>
      <c r="E245" s="201">
        <v>3337.9143000000004</v>
      </c>
      <c r="F245" s="520">
        <f>ROUND(E245*D245,2)</f>
        <v>13351.66</v>
      </c>
      <c r="G245" s="520">
        <f t="shared" si="87"/>
        <v>16021.99</v>
      </c>
      <c r="J245" s="438">
        <v>0</v>
      </c>
      <c r="K245" s="438">
        <f t="shared" si="75"/>
        <v>0</v>
      </c>
    </row>
    <row r="246" spans="1:11" s="517" customFormat="1" x14ac:dyDescent="0.3">
      <c r="A246" s="65">
        <f t="shared" si="88"/>
        <v>154</v>
      </c>
      <c r="B246" s="66" t="s">
        <v>627</v>
      </c>
      <c r="C246" s="65" t="s">
        <v>220</v>
      </c>
      <c r="D246" s="70">
        <v>480</v>
      </c>
      <c r="E246" s="201">
        <v>32.219250000000002</v>
      </c>
      <c r="F246" s="202">
        <f>ROUND(E246*D246,2)</f>
        <v>15465.24</v>
      </c>
      <c r="G246" s="202">
        <f t="shared" si="87"/>
        <v>18558.29</v>
      </c>
      <c r="J246" s="438">
        <v>0</v>
      </c>
      <c r="K246" s="438">
        <f t="shared" si="75"/>
        <v>0</v>
      </c>
    </row>
    <row r="247" spans="1:11" s="517" customFormat="1" x14ac:dyDescent="0.3">
      <c r="A247" s="65">
        <f t="shared" si="88"/>
        <v>155</v>
      </c>
      <c r="B247" s="66" t="s">
        <v>824</v>
      </c>
      <c r="C247" s="65" t="s">
        <v>220</v>
      </c>
      <c r="D247" s="81" t="s">
        <v>762</v>
      </c>
      <c r="E247" s="201">
        <v>10348.823100000001</v>
      </c>
      <c r="F247" s="202">
        <f>ROUND(E247*D247,2)</f>
        <v>10348.82</v>
      </c>
      <c r="G247" s="202">
        <f t="shared" si="87"/>
        <v>12418.58</v>
      </c>
      <c r="J247" s="438">
        <v>0</v>
      </c>
      <c r="K247" s="438">
        <f t="shared" si="75"/>
        <v>0</v>
      </c>
    </row>
    <row r="248" spans="1:11" x14ac:dyDescent="0.3">
      <c r="A248" s="153"/>
      <c r="B248" s="537" t="s">
        <v>1239</v>
      </c>
      <c r="C248" s="538"/>
      <c r="D248" s="538"/>
      <c r="E248" s="340"/>
      <c r="F248" s="156"/>
      <c r="G248" s="125"/>
      <c r="J248" s="438"/>
      <c r="K248" s="438">
        <f t="shared" si="75"/>
        <v>0</v>
      </c>
    </row>
    <row r="249" spans="1:11" x14ac:dyDescent="0.3">
      <c r="A249" s="65"/>
      <c r="B249" s="61" t="s">
        <v>632</v>
      </c>
      <c r="C249" s="65"/>
      <c r="D249" s="67"/>
      <c r="E249" s="96">
        <v>0</v>
      </c>
      <c r="F249" s="150"/>
      <c r="G249" s="124"/>
      <c r="J249" s="438"/>
      <c r="K249" s="438">
        <f t="shared" si="75"/>
        <v>0</v>
      </c>
    </row>
    <row r="250" spans="1:11" s="56" customFormat="1" x14ac:dyDescent="0.3">
      <c r="A250" s="86">
        <f>A247+1</f>
        <v>156</v>
      </c>
      <c r="B250" s="243" t="s">
        <v>633</v>
      </c>
      <c r="C250" s="86" t="s">
        <v>194</v>
      </c>
      <c r="D250" s="152">
        <v>300</v>
      </c>
      <c r="E250" s="96">
        <v>1219.1764200000002</v>
      </c>
      <c r="F250" s="102">
        <f t="shared" ref="F250:F255" si="89">ROUND(E250*D250,2)</f>
        <v>365752.93</v>
      </c>
      <c r="G250" s="102">
        <f t="shared" ref="G250:G255" si="90">ROUND(F250*1.2,2)</f>
        <v>438903.52</v>
      </c>
      <c r="J250" s="438"/>
      <c r="K250" s="438">
        <f t="shared" si="75"/>
        <v>0</v>
      </c>
    </row>
    <row r="251" spans="1:11" s="56" customFormat="1" x14ac:dyDescent="0.3">
      <c r="A251" s="86">
        <f t="shared" ref="A251:A252" si="91">A250+1</f>
        <v>157</v>
      </c>
      <c r="B251" s="243" t="s">
        <v>634</v>
      </c>
      <c r="C251" s="86" t="s">
        <v>220</v>
      </c>
      <c r="D251" s="152">
        <v>12</v>
      </c>
      <c r="E251" s="96">
        <v>9639.999600000001</v>
      </c>
      <c r="F251" s="102">
        <f t="shared" si="89"/>
        <v>115680</v>
      </c>
      <c r="G251" s="102">
        <f t="shared" si="90"/>
        <v>138816</v>
      </c>
      <c r="J251" s="438"/>
      <c r="K251" s="438">
        <f t="shared" si="75"/>
        <v>0</v>
      </c>
    </row>
    <row r="252" spans="1:11" s="56" customFormat="1" x14ac:dyDescent="0.3">
      <c r="A252" s="86">
        <f t="shared" si="91"/>
        <v>158</v>
      </c>
      <c r="B252" s="243" t="s">
        <v>635</v>
      </c>
      <c r="C252" s="86" t="s">
        <v>194</v>
      </c>
      <c r="D252" s="152">
        <v>180</v>
      </c>
      <c r="E252" s="96">
        <v>510.3529200000001</v>
      </c>
      <c r="F252" s="102">
        <f t="shared" si="89"/>
        <v>91863.53</v>
      </c>
      <c r="G252" s="102">
        <f t="shared" si="90"/>
        <v>110236.24</v>
      </c>
      <c r="J252" s="438"/>
      <c r="K252" s="438">
        <f t="shared" si="75"/>
        <v>0</v>
      </c>
    </row>
    <row r="253" spans="1:11" s="56" customFormat="1" x14ac:dyDescent="0.3">
      <c r="A253" s="86">
        <f>A251+1</f>
        <v>158</v>
      </c>
      <c r="B253" s="243" t="s">
        <v>234</v>
      </c>
      <c r="C253" s="86" t="s">
        <v>193</v>
      </c>
      <c r="D253" s="227">
        <v>16.7</v>
      </c>
      <c r="E253" s="96">
        <v>1701.1764000000003</v>
      </c>
      <c r="F253" s="102">
        <f t="shared" si="89"/>
        <v>28409.65</v>
      </c>
      <c r="G253" s="102">
        <f t="shared" si="90"/>
        <v>34091.58</v>
      </c>
      <c r="J253" s="438"/>
      <c r="K253" s="438">
        <f t="shared" si="75"/>
        <v>0</v>
      </c>
    </row>
    <row r="254" spans="1:11" s="56" customFormat="1" x14ac:dyDescent="0.3">
      <c r="A254" s="86">
        <f t="shared" ref="A254" si="92">A253+1</f>
        <v>159</v>
      </c>
      <c r="B254" s="243" t="s">
        <v>824</v>
      </c>
      <c r="C254" s="86" t="s">
        <v>220</v>
      </c>
      <c r="D254" s="237" t="s">
        <v>762</v>
      </c>
      <c r="E254" s="96">
        <v>10348.823100000001</v>
      </c>
      <c r="F254" s="102">
        <f t="shared" si="89"/>
        <v>10348.82</v>
      </c>
      <c r="G254" s="102">
        <f t="shared" si="90"/>
        <v>12418.58</v>
      </c>
      <c r="J254" s="438"/>
      <c r="K254" s="438">
        <f t="shared" si="75"/>
        <v>0</v>
      </c>
    </row>
    <row r="255" spans="1:11" s="56" customFormat="1" x14ac:dyDescent="0.3">
      <c r="A255" s="86">
        <f>A254+1</f>
        <v>160</v>
      </c>
      <c r="B255" s="243" t="s">
        <v>1249</v>
      </c>
      <c r="C255" s="86" t="s">
        <v>194</v>
      </c>
      <c r="D255" s="152">
        <v>60</v>
      </c>
      <c r="E255" s="96">
        <v>24.873261000000003</v>
      </c>
      <c r="F255" s="102">
        <f t="shared" si="89"/>
        <v>1492.4</v>
      </c>
      <c r="G255" s="102">
        <f t="shared" si="90"/>
        <v>1790.88</v>
      </c>
      <c r="J255" s="438"/>
      <c r="K255" s="438">
        <f t="shared" si="75"/>
        <v>0</v>
      </c>
    </row>
    <row r="256" spans="1:11" s="56" customFormat="1" x14ac:dyDescent="0.3">
      <c r="A256" s="86"/>
      <c r="B256" s="84" t="s">
        <v>636</v>
      </c>
      <c r="C256" s="86"/>
      <c r="D256" s="152"/>
      <c r="E256" s="96">
        <v>0</v>
      </c>
      <c r="F256" s="304"/>
      <c r="G256" s="305"/>
      <c r="J256" s="438"/>
      <c r="K256" s="438">
        <f t="shared" si="75"/>
        <v>0</v>
      </c>
    </row>
    <row r="257" spans="1:11" s="56" customFormat="1" x14ac:dyDescent="0.3">
      <c r="A257" s="86">
        <f>A252+1</f>
        <v>159</v>
      </c>
      <c r="B257" s="243" t="s">
        <v>637</v>
      </c>
      <c r="C257" s="86" t="s">
        <v>194</v>
      </c>
      <c r="D257" s="152">
        <v>80</v>
      </c>
      <c r="E257" s="96">
        <v>1403.4705300000001</v>
      </c>
      <c r="F257" s="102">
        <f t="shared" ref="F257:F262" si="93">ROUND(E257*D257,2)</f>
        <v>112277.64</v>
      </c>
      <c r="G257" s="102">
        <f>ROUND(F257*1.2,2)</f>
        <v>134733.17000000001</v>
      </c>
      <c r="J257" s="438"/>
      <c r="K257" s="438">
        <f t="shared" si="75"/>
        <v>0</v>
      </c>
    </row>
    <row r="258" spans="1:11" s="56" customFormat="1" x14ac:dyDescent="0.3">
      <c r="A258" s="86">
        <f>A257+1</f>
        <v>160</v>
      </c>
      <c r="B258" s="243" t="s">
        <v>634</v>
      </c>
      <c r="C258" s="86" t="s">
        <v>220</v>
      </c>
      <c r="D258" s="152">
        <v>4</v>
      </c>
      <c r="E258" s="96">
        <v>9639.999600000001</v>
      </c>
      <c r="F258" s="102">
        <f t="shared" si="93"/>
        <v>38560</v>
      </c>
      <c r="G258" s="102">
        <f t="shared" ref="G258:G262" si="94">ROUND(F258*1.2,2)</f>
        <v>46272</v>
      </c>
      <c r="J258" s="438"/>
      <c r="K258" s="438">
        <f t="shared" si="75"/>
        <v>0</v>
      </c>
    </row>
    <row r="259" spans="1:11" s="56" customFormat="1" x14ac:dyDescent="0.3">
      <c r="A259" s="86">
        <f>A258+1</f>
        <v>161</v>
      </c>
      <c r="B259" s="243" t="s">
        <v>635</v>
      </c>
      <c r="C259" s="86" t="s">
        <v>194</v>
      </c>
      <c r="D259" s="152">
        <v>60</v>
      </c>
      <c r="E259" s="96">
        <v>510.3529200000001</v>
      </c>
      <c r="F259" s="102">
        <f t="shared" si="93"/>
        <v>30621.18</v>
      </c>
      <c r="G259" s="102">
        <f t="shared" si="94"/>
        <v>36745.42</v>
      </c>
      <c r="J259" s="438"/>
      <c r="K259" s="438">
        <f t="shared" si="75"/>
        <v>0</v>
      </c>
    </row>
    <row r="260" spans="1:11" s="56" customFormat="1" x14ac:dyDescent="0.3">
      <c r="A260" s="86">
        <f>A258+1</f>
        <v>161</v>
      </c>
      <c r="B260" s="243" t="s">
        <v>234</v>
      </c>
      <c r="C260" s="86" t="s">
        <v>193</v>
      </c>
      <c r="D260" s="227">
        <v>5.6</v>
      </c>
      <c r="E260" s="96">
        <v>1701.1764000000003</v>
      </c>
      <c r="F260" s="102">
        <f t="shared" si="93"/>
        <v>9526.59</v>
      </c>
      <c r="G260" s="102">
        <f t="shared" si="94"/>
        <v>11431.91</v>
      </c>
      <c r="J260" s="438"/>
      <c r="K260" s="438">
        <f t="shared" si="75"/>
        <v>0</v>
      </c>
    </row>
    <row r="261" spans="1:11" s="56" customFormat="1" x14ac:dyDescent="0.3">
      <c r="A261" s="86">
        <f t="shared" ref="A261" si="95">A260+1</f>
        <v>162</v>
      </c>
      <c r="B261" s="243" t="s">
        <v>824</v>
      </c>
      <c r="C261" s="86" t="s">
        <v>220</v>
      </c>
      <c r="D261" s="237" t="s">
        <v>762</v>
      </c>
      <c r="E261" s="96">
        <v>10348.823100000001</v>
      </c>
      <c r="F261" s="102">
        <f t="shared" si="93"/>
        <v>10348.82</v>
      </c>
      <c r="G261" s="102">
        <f t="shared" si="94"/>
        <v>12418.58</v>
      </c>
      <c r="J261" s="438"/>
      <c r="K261" s="438">
        <f t="shared" si="75"/>
        <v>0</v>
      </c>
    </row>
    <row r="262" spans="1:11" s="56" customFormat="1" x14ac:dyDescent="0.3">
      <c r="A262" s="86">
        <f>A261+1</f>
        <v>163</v>
      </c>
      <c r="B262" s="243" t="s">
        <v>1249</v>
      </c>
      <c r="C262" s="86" t="s">
        <v>194</v>
      </c>
      <c r="D262" s="152">
        <v>30</v>
      </c>
      <c r="E262" s="96">
        <v>24.873261000000003</v>
      </c>
      <c r="F262" s="102">
        <f t="shared" si="93"/>
        <v>746.2</v>
      </c>
      <c r="G262" s="102">
        <f t="shared" si="94"/>
        <v>895.44</v>
      </c>
      <c r="J262" s="438"/>
      <c r="K262" s="438">
        <f t="shared" ref="K262:K279" si="96">E262*J262*1.2</f>
        <v>0</v>
      </c>
    </row>
    <row r="263" spans="1:11" x14ac:dyDescent="0.3">
      <c r="A263" s="65"/>
      <c r="B263" s="61" t="s">
        <v>628</v>
      </c>
      <c r="C263" s="65"/>
      <c r="D263" s="70"/>
      <c r="E263" s="96">
        <v>0</v>
      </c>
      <c r="F263" s="150"/>
      <c r="G263" s="124"/>
      <c r="J263" s="438"/>
      <c r="K263" s="438">
        <f t="shared" si="96"/>
        <v>0</v>
      </c>
    </row>
    <row r="264" spans="1:11" x14ac:dyDescent="0.3">
      <c r="A264" s="65">
        <f>A259+1</f>
        <v>162</v>
      </c>
      <c r="B264" s="66" t="s">
        <v>629</v>
      </c>
      <c r="C264" s="65" t="s">
        <v>194</v>
      </c>
      <c r="D264" s="70">
        <v>160</v>
      </c>
      <c r="E264" s="96">
        <v>1176.6470100000001</v>
      </c>
      <c r="F264" s="101">
        <f t="shared" ref="F264:F269" si="97">ROUND(E264*D264,2)</f>
        <v>188263.52</v>
      </c>
      <c r="G264" s="101">
        <f t="shared" ref="G264:G269" si="98">ROUND(F264*1.2,2)</f>
        <v>225916.22</v>
      </c>
      <c r="J264" s="438"/>
      <c r="K264" s="438">
        <f t="shared" si="96"/>
        <v>0</v>
      </c>
    </row>
    <row r="265" spans="1:11" x14ac:dyDescent="0.3">
      <c r="A265" s="65">
        <f>A264+1</f>
        <v>163</v>
      </c>
      <c r="B265" s="66" t="s">
        <v>630</v>
      </c>
      <c r="C265" s="65" t="s">
        <v>220</v>
      </c>
      <c r="D265" s="70">
        <v>16</v>
      </c>
      <c r="E265" s="96">
        <v>9639.999600000001</v>
      </c>
      <c r="F265" s="101">
        <f t="shared" si="97"/>
        <v>154239.99</v>
      </c>
      <c r="G265" s="101">
        <f t="shared" si="98"/>
        <v>185087.99</v>
      </c>
      <c r="J265" s="438"/>
      <c r="K265" s="438">
        <f t="shared" si="96"/>
        <v>0</v>
      </c>
    </row>
    <row r="266" spans="1:11" ht="21.75" customHeight="1" x14ac:dyDescent="0.3">
      <c r="A266" s="65">
        <f>A265+1</f>
        <v>164</v>
      </c>
      <c r="B266" s="66" t="s">
        <v>631</v>
      </c>
      <c r="C266" s="65" t="s">
        <v>220</v>
      </c>
      <c r="D266" s="70">
        <v>160</v>
      </c>
      <c r="E266" s="96">
        <v>510.3529200000001</v>
      </c>
      <c r="F266" s="101">
        <f t="shared" si="97"/>
        <v>81656.47</v>
      </c>
      <c r="G266" s="101">
        <f t="shared" si="98"/>
        <v>97987.76</v>
      </c>
      <c r="J266" s="438"/>
      <c r="K266" s="438">
        <f t="shared" si="96"/>
        <v>0</v>
      </c>
    </row>
    <row r="267" spans="1:11" x14ac:dyDescent="0.3">
      <c r="A267" s="65">
        <f>A265+1</f>
        <v>164</v>
      </c>
      <c r="B267" s="66" t="s">
        <v>234</v>
      </c>
      <c r="C267" s="65" t="s">
        <v>193</v>
      </c>
      <c r="D267" s="70">
        <v>15</v>
      </c>
      <c r="E267" s="96">
        <v>1701.1764000000003</v>
      </c>
      <c r="F267" s="101">
        <f t="shared" si="97"/>
        <v>25517.65</v>
      </c>
      <c r="G267" s="101">
        <f t="shared" si="98"/>
        <v>30621.18</v>
      </c>
      <c r="J267" s="438"/>
      <c r="K267" s="438">
        <f t="shared" si="96"/>
        <v>0</v>
      </c>
    </row>
    <row r="268" spans="1:11" x14ac:dyDescent="0.3">
      <c r="A268" s="65">
        <f t="shared" ref="A268" si="99">A267+1</f>
        <v>165</v>
      </c>
      <c r="B268" s="66" t="s">
        <v>824</v>
      </c>
      <c r="C268" s="65" t="s">
        <v>220</v>
      </c>
      <c r="D268" s="81" t="s">
        <v>762</v>
      </c>
      <c r="E268" s="96">
        <v>10348.823100000001</v>
      </c>
      <c r="F268" s="101">
        <f t="shared" si="97"/>
        <v>10348.82</v>
      </c>
      <c r="G268" s="101">
        <f t="shared" si="98"/>
        <v>12418.58</v>
      </c>
      <c r="J268" s="438"/>
      <c r="K268" s="438">
        <f t="shared" si="96"/>
        <v>0</v>
      </c>
    </row>
    <row r="269" spans="1:11" x14ac:dyDescent="0.3">
      <c r="A269" s="86">
        <f>A268+1</f>
        <v>166</v>
      </c>
      <c r="B269" s="243" t="s">
        <v>1249</v>
      </c>
      <c r="C269" s="86" t="s">
        <v>194</v>
      </c>
      <c r="D269" s="152">
        <v>60</v>
      </c>
      <c r="E269" s="96">
        <v>24.873261000000003</v>
      </c>
      <c r="F269" s="102">
        <f t="shared" si="97"/>
        <v>1492.4</v>
      </c>
      <c r="G269" s="102">
        <f t="shared" si="98"/>
        <v>1790.88</v>
      </c>
      <c r="J269" s="438"/>
      <c r="K269" s="438">
        <f t="shared" si="96"/>
        <v>0</v>
      </c>
    </row>
    <row r="270" spans="1:11" x14ac:dyDescent="0.3">
      <c r="A270" s="86"/>
      <c r="B270" s="84" t="s">
        <v>638</v>
      </c>
      <c r="C270" s="86"/>
      <c r="D270" s="226"/>
      <c r="E270" s="96">
        <v>0</v>
      </c>
      <c r="F270" s="304"/>
      <c r="G270" s="305"/>
      <c r="J270" s="438"/>
      <c r="K270" s="438">
        <f t="shared" si="96"/>
        <v>0</v>
      </c>
    </row>
    <row r="271" spans="1:11" x14ac:dyDescent="0.3">
      <c r="A271" s="86">
        <f>A268+1</f>
        <v>166</v>
      </c>
      <c r="B271" s="243" t="s">
        <v>234</v>
      </c>
      <c r="C271" s="86" t="s">
        <v>193</v>
      </c>
      <c r="D271" s="227">
        <v>14.9</v>
      </c>
      <c r="E271" s="96">
        <v>1701.1764000000003</v>
      </c>
      <c r="F271" s="102">
        <f t="shared" ref="F271:F279" si="100">ROUND(E271*D271,2)</f>
        <v>25347.53</v>
      </c>
      <c r="G271" s="102">
        <f t="shared" ref="G271" si="101">ROUND(F271*1.2,2)</f>
        <v>30417.040000000001</v>
      </c>
      <c r="J271" s="438"/>
      <c r="K271" s="438">
        <f t="shared" si="96"/>
        <v>0</v>
      </c>
    </row>
    <row r="272" spans="1:11" x14ac:dyDescent="0.3">
      <c r="A272" s="86">
        <f>A259+1</f>
        <v>162</v>
      </c>
      <c r="B272" s="243" t="s">
        <v>639</v>
      </c>
      <c r="C272" s="86" t="s">
        <v>194</v>
      </c>
      <c r="D272" s="152">
        <v>420</v>
      </c>
      <c r="E272" s="96">
        <v>935.64702000000023</v>
      </c>
      <c r="F272" s="102">
        <f t="shared" si="100"/>
        <v>392971.75</v>
      </c>
      <c r="G272" s="102">
        <f t="shared" ref="G272:G279" si="102">ROUND(F272*1.2,2)</f>
        <v>471566.1</v>
      </c>
      <c r="J272" s="438"/>
      <c r="K272" s="438">
        <f t="shared" si="96"/>
        <v>0</v>
      </c>
    </row>
    <row r="273" spans="1:11" x14ac:dyDescent="0.3">
      <c r="A273" s="86">
        <f>A272+1</f>
        <v>163</v>
      </c>
      <c r="B273" s="243" t="s">
        <v>640</v>
      </c>
      <c r="C273" s="86" t="s">
        <v>220</v>
      </c>
      <c r="D273" s="152">
        <v>2</v>
      </c>
      <c r="E273" s="96">
        <v>7088.2349999999997</v>
      </c>
      <c r="F273" s="102">
        <f t="shared" si="100"/>
        <v>14176.47</v>
      </c>
      <c r="G273" s="102">
        <f t="shared" si="102"/>
        <v>17011.759999999998</v>
      </c>
      <c r="J273" s="438"/>
      <c r="K273" s="438">
        <f t="shared" si="96"/>
        <v>0</v>
      </c>
    </row>
    <row r="274" spans="1:11" x14ac:dyDescent="0.3">
      <c r="A274" s="86">
        <f>A273+1</f>
        <v>164</v>
      </c>
      <c r="B274" s="243" t="s">
        <v>1248</v>
      </c>
      <c r="C274" s="86" t="s">
        <v>220</v>
      </c>
      <c r="D274" s="152">
        <v>2</v>
      </c>
      <c r="E274" s="96">
        <v>2502.7913400000002</v>
      </c>
      <c r="F274" s="102">
        <f t="shared" si="100"/>
        <v>5005.58</v>
      </c>
      <c r="G274" s="102">
        <f t="shared" ref="G274" si="103">ROUND(F274*1.2,2)</f>
        <v>6006.7</v>
      </c>
      <c r="J274" s="438"/>
      <c r="K274" s="438">
        <f t="shared" si="96"/>
        <v>0</v>
      </c>
    </row>
    <row r="275" spans="1:11" x14ac:dyDescent="0.3">
      <c r="A275" s="86">
        <f>A274+1</f>
        <v>165</v>
      </c>
      <c r="B275" s="243" t="s">
        <v>1249</v>
      </c>
      <c r="C275" s="86" t="s">
        <v>194</v>
      </c>
      <c r="D275" s="152">
        <v>100</v>
      </c>
      <c r="E275" s="96">
        <v>24.873261000000003</v>
      </c>
      <c r="F275" s="102">
        <f t="shared" si="100"/>
        <v>2487.33</v>
      </c>
      <c r="G275" s="102">
        <f t="shared" ref="G275:G276" si="104">ROUND(F275*1.2,2)</f>
        <v>2984.8</v>
      </c>
      <c r="J275" s="438"/>
      <c r="K275" s="438">
        <f t="shared" si="96"/>
        <v>0</v>
      </c>
    </row>
    <row r="276" spans="1:11" x14ac:dyDescent="0.3">
      <c r="A276" s="86">
        <f t="shared" ref="A276:A279" si="105">A275+1</f>
        <v>166</v>
      </c>
      <c r="B276" s="243" t="s">
        <v>824</v>
      </c>
      <c r="C276" s="86" t="s">
        <v>220</v>
      </c>
      <c r="D276" s="237" t="s">
        <v>762</v>
      </c>
      <c r="E276" s="96">
        <v>10348.823100000001</v>
      </c>
      <c r="F276" s="102">
        <f t="shared" si="100"/>
        <v>10348.82</v>
      </c>
      <c r="G276" s="102">
        <f t="shared" si="104"/>
        <v>12418.58</v>
      </c>
      <c r="J276" s="438"/>
      <c r="K276" s="438">
        <f t="shared" si="96"/>
        <v>0</v>
      </c>
    </row>
    <row r="277" spans="1:11" x14ac:dyDescent="0.3">
      <c r="A277" s="86">
        <f t="shared" si="105"/>
        <v>167</v>
      </c>
      <c r="B277" s="243" t="s">
        <v>1250</v>
      </c>
      <c r="C277" s="86" t="s">
        <v>194</v>
      </c>
      <c r="D277" s="152">
        <v>160</v>
      </c>
      <c r="E277" s="96">
        <v>528.39570000000015</v>
      </c>
      <c r="F277" s="102">
        <f t="shared" si="100"/>
        <v>84543.31</v>
      </c>
      <c r="G277" s="102">
        <f t="shared" ref="G277" si="106">ROUND(F277*1.2,2)</f>
        <v>101451.97</v>
      </c>
      <c r="J277" s="438"/>
      <c r="K277" s="438">
        <f t="shared" si="96"/>
        <v>0</v>
      </c>
    </row>
    <row r="278" spans="1:11" x14ac:dyDescent="0.3">
      <c r="A278" s="86">
        <f t="shared" si="105"/>
        <v>168</v>
      </c>
      <c r="B278" s="243" t="s">
        <v>1251</v>
      </c>
      <c r="C278" s="86" t="s">
        <v>220</v>
      </c>
      <c r="D278" s="152">
        <v>320</v>
      </c>
      <c r="E278" s="96">
        <v>125.01069</v>
      </c>
      <c r="F278" s="102">
        <f t="shared" si="100"/>
        <v>40003.42</v>
      </c>
      <c r="G278" s="102">
        <f t="shared" ref="G278" si="107">ROUND(F278*1.2,2)</f>
        <v>48004.1</v>
      </c>
      <c r="J278" s="438"/>
      <c r="K278" s="438">
        <f t="shared" si="96"/>
        <v>0</v>
      </c>
    </row>
    <row r="279" spans="1:11" x14ac:dyDescent="0.3">
      <c r="A279" s="86">
        <f t="shared" si="105"/>
        <v>169</v>
      </c>
      <c r="B279" s="243" t="s">
        <v>635</v>
      </c>
      <c r="C279" s="86" t="s">
        <v>194</v>
      </c>
      <c r="D279" s="152">
        <v>50</v>
      </c>
      <c r="E279" s="96">
        <v>510.3529200000001</v>
      </c>
      <c r="F279" s="102">
        <f t="shared" si="100"/>
        <v>25517.65</v>
      </c>
      <c r="G279" s="102">
        <f t="shared" si="102"/>
        <v>30621.18</v>
      </c>
      <c r="J279" s="438"/>
      <c r="K279" s="438">
        <f t="shared" si="96"/>
        <v>0</v>
      </c>
    </row>
    <row r="280" spans="1:11" x14ac:dyDescent="0.3">
      <c r="A280" s="158"/>
      <c r="B280" s="593" t="s">
        <v>721</v>
      </c>
      <c r="C280" s="594"/>
      <c r="D280" s="594"/>
      <c r="E280" s="595"/>
      <c r="F280" s="157">
        <f>SUM(F5:F279)</f>
        <v>55427240.580000006</v>
      </c>
      <c r="G280" s="157">
        <f>SUM(G5:G279)</f>
        <v>66512688.640000008</v>
      </c>
      <c r="J280" s="438"/>
      <c r="K280" s="436">
        <f>SUM(K5:K279)</f>
        <v>15564908.071819331</v>
      </c>
    </row>
  </sheetData>
  <mergeCells count="20">
    <mergeCell ref="J1:J3"/>
    <mergeCell ref="K1:K3"/>
    <mergeCell ref="G1:G2"/>
    <mergeCell ref="A1:A2"/>
    <mergeCell ref="B1:B2"/>
    <mergeCell ref="C1:C2"/>
    <mergeCell ref="D1:D2"/>
    <mergeCell ref="E1:E2"/>
    <mergeCell ref="F1:F2"/>
    <mergeCell ref="B41:D41"/>
    <mergeCell ref="B28:D28"/>
    <mergeCell ref="B4:D4"/>
    <mergeCell ref="B92:D92"/>
    <mergeCell ref="B280:E280"/>
    <mergeCell ref="B216:D216"/>
    <mergeCell ref="B242:D242"/>
    <mergeCell ref="B248:D248"/>
    <mergeCell ref="B193:D193"/>
    <mergeCell ref="B118:D118"/>
    <mergeCell ref="B105:D105"/>
  </mergeCells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3DEE-1D93-4683-8B32-D4B38578C3CF}">
  <sheetPr>
    <tabColor rgb="FFFF0000"/>
  </sheetPr>
  <dimension ref="A1:I19"/>
  <sheetViews>
    <sheetView zoomScaleNormal="100" workbookViewId="0">
      <selection activeCell="I10" sqref="I10"/>
    </sheetView>
  </sheetViews>
  <sheetFormatPr defaultRowHeight="14.4" x14ac:dyDescent="0.3"/>
  <cols>
    <col min="1" max="1" width="21" customWidth="1"/>
    <col min="2" max="2" width="17.21875" customWidth="1"/>
    <col min="3" max="7" width="15.44140625" customWidth="1"/>
    <col min="8" max="8" width="5.33203125" customWidth="1"/>
    <col min="9" max="9" width="80" customWidth="1"/>
    <col min="10" max="11" width="56.77734375" customWidth="1"/>
  </cols>
  <sheetData>
    <row r="1" spans="1:9" x14ac:dyDescent="0.3">
      <c r="B1" s="491" t="s">
        <v>1667</v>
      </c>
      <c r="C1" s="491" t="s">
        <v>1668</v>
      </c>
    </row>
    <row r="2" spans="1:9" ht="57.6" x14ac:dyDescent="0.3">
      <c r="A2" s="37" t="s">
        <v>503</v>
      </c>
      <c r="B2" s="35">
        <v>1361.6</v>
      </c>
      <c r="C2" s="35">
        <v>4948.6400000000003</v>
      </c>
    </row>
    <row r="3" spans="1:9" ht="57.6" x14ac:dyDescent="0.3">
      <c r="A3" s="37" t="s">
        <v>429</v>
      </c>
      <c r="B3" s="35">
        <v>1361.6</v>
      </c>
      <c r="C3" s="35">
        <v>6648.49</v>
      </c>
    </row>
    <row r="4" spans="1:9" x14ac:dyDescent="0.3">
      <c r="B4" s="596" t="s">
        <v>1668</v>
      </c>
      <c r="C4" s="596"/>
      <c r="D4" s="596"/>
      <c r="E4" s="597" t="s">
        <v>1669</v>
      </c>
      <c r="F4" s="597"/>
      <c r="G4" s="597"/>
      <c r="I4" s="524" t="s">
        <v>1671</v>
      </c>
    </row>
    <row r="5" spans="1:9" x14ac:dyDescent="0.3">
      <c r="A5" s="446" t="s">
        <v>1659</v>
      </c>
      <c r="B5" s="447" t="s">
        <v>1660</v>
      </c>
      <c r="C5" s="447" t="s">
        <v>1661</v>
      </c>
      <c r="D5" s="447" t="s">
        <v>721</v>
      </c>
      <c r="E5" s="450" t="s">
        <v>1660</v>
      </c>
      <c r="F5" s="450" t="s">
        <v>1661</v>
      </c>
      <c r="G5" s="450" t="s">
        <v>721</v>
      </c>
      <c r="I5" s="525" t="s">
        <v>1672</v>
      </c>
    </row>
    <row r="6" spans="1:9" x14ac:dyDescent="0.3">
      <c r="A6" s="444" t="s">
        <v>730</v>
      </c>
      <c r="B6" s="448">
        <f>'СМР трнсбрдр (2)'!G236</f>
        <v>45223857.109999999</v>
      </c>
      <c r="C6" s="448">
        <f>'мат трнсбрдр (2)'!G301</f>
        <v>22464309.089999989</v>
      </c>
      <c r="D6" s="449">
        <f>B6+C6</f>
        <v>67688166.199999988</v>
      </c>
      <c r="E6" s="451">
        <f>'СМР трнсбрдр (2)'!K236</f>
        <v>742008.01477920008</v>
      </c>
      <c r="F6" s="451">
        <f>'мат трнсбрдр (2)'!K301</f>
        <v>309428.50645475998</v>
      </c>
      <c r="G6" s="452">
        <f>E6+F6</f>
        <v>1051436.5212339601</v>
      </c>
      <c r="H6" s="30"/>
      <c r="I6" s="525" t="s">
        <v>1673</v>
      </c>
    </row>
    <row r="7" spans="1:9" x14ac:dyDescent="0.3">
      <c r="A7" s="444" t="s">
        <v>1662</v>
      </c>
      <c r="B7" s="448">
        <f>'СМР 417 путь'!G35</f>
        <v>58149137.150000006</v>
      </c>
      <c r="C7" s="448">
        <f>'мат 417 путь'!G30</f>
        <v>188454247.16</v>
      </c>
      <c r="D7" s="449">
        <f t="shared" ref="D7:D13" si="0">B7+C7</f>
        <v>246603384.31</v>
      </c>
      <c r="E7" s="451">
        <f>'СМР 417 путь'!K36</f>
        <v>0</v>
      </c>
      <c r="F7" s="451">
        <f>'мат 417 путь'!K30</f>
        <v>0</v>
      </c>
      <c r="G7" s="452">
        <f t="shared" ref="G7:G12" si="1">E7+F7</f>
        <v>0</v>
      </c>
      <c r="I7" s="525" t="s">
        <v>1674</v>
      </c>
    </row>
    <row r="8" spans="1:9" x14ac:dyDescent="0.3">
      <c r="A8" s="444" t="s">
        <v>1663</v>
      </c>
      <c r="B8" s="448">
        <f>'СМР комм-ции 417'!G386</f>
        <v>94175272.870000005</v>
      </c>
      <c r="C8" s="448">
        <f>'мат комм-ции 417'!G280</f>
        <v>66512688.640000008</v>
      </c>
      <c r="D8" s="449">
        <f t="shared" si="0"/>
        <v>160687961.51000002</v>
      </c>
      <c r="E8" s="451">
        <f>'СМР комм-ции 417'!K386</f>
        <v>15297573.652323255</v>
      </c>
      <c r="F8" s="451">
        <f>'мат комм-ции 417'!K280</f>
        <v>15564908.071819331</v>
      </c>
      <c r="G8" s="452">
        <f t="shared" si="1"/>
        <v>30862481.724142589</v>
      </c>
      <c r="I8" s="525" t="s">
        <v>1675</v>
      </c>
    </row>
    <row r="9" spans="1:9" x14ac:dyDescent="0.3">
      <c r="A9" s="444" t="s">
        <v>1347</v>
      </c>
      <c r="B9" s="448">
        <f>'СМР ГСН'!G42</f>
        <v>4535107.13</v>
      </c>
      <c r="C9" s="448">
        <f>'мат ГСН'!G32</f>
        <v>2927851.1699999995</v>
      </c>
      <c r="D9" s="449">
        <f t="shared" si="0"/>
        <v>7462958.2999999989</v>
      </c>
      <c r="E9" s="451">
        <f>'СМР ГСН'!K42</f>
        <v>623652.97500692948</v>
      </c>
      <c r="F9" s="451">
        <f>'мат ГСН'!K32</f>
        <v>597702.87891320733</v>
      </c>
      <c r="G9" s="452">
        <f t="shared" si="1"/>
        <v>1221355.8539201368</v>
      </c>
      <c r="I9" s="525" t="s">
        <v>1676</v>
      </c>
    </row>
    <row r="10" spans="1:9" x14ac:dyDescent="0.3">
      <c r="A10" s="444" t="s">
        <v>1664</v>
      </c>
      <c r="B10" s="448">
        <f>'СМР эстакада'!G100</f>
        <v>10275266.000000002</v>
      </c>
      <c r="C10" s="448">
        <f>'мат эстакада'!G87</f>
        <v>3474621.46</v>
      </c>
      <c r="D10" s="449">
        <f t="shared" si="0"/>
        <v>13749887.460000001</v>
      </c>
      <c r="E10" s="451">
        <f>'СМР эстакада'!K100</f>
        <v>0</v>
      </c>
      <c r="F10" s="451">
        <f>'мат эстакада'!K87</f>
        <v>0</v>
      </c>
      <c r="G10" s="452">
        <f t="shared" si="1"/>
        <v>0</v>
      </c>
      <c r="I10" s="525" t="s">
        <v>1670</v>
      </c>
    </row>
    <row r="11" spans="1:9" x14ac:dyDescent="0.3">
      <c r="A11" s="444" t="s">
        <v>1348</v>
      </c>
      <c r="B11" s="448">
        <f>'СМР ТС2'!G89</f>
        <v>2612340.3499999996</v>
      </c>
      <c r="C11" s="448">
        <f>'мат ТС2'!G99</f>
        <v>1596757.52</v>
      </c>
      <c r="D11" s="449">
        <f t="shared" si="0"/>
        <v>4209097.8699999992</v>
      </c>
      <c r="E11" s="451">
        <f>'СМР ТС2'!K89</f>
        <v>0</v>
      </c>
      <c r="F11" s="451">
        <f>'мат ТС2'!K99</f>
        <v>0</v>
      </c>
      <c r="G11" s="452">
        <f t="shared" si="1"/>
        <v>0</v>
      </c>
      <c r="I11" s="238"/>
    </row>
    <row r="12" spans="1:9" x14ac:dyDescent="0.3">
      <c r="A12" s="444" t="s">
        <v>1349</v>
      </c>
      <c r="B12" s="448">
        <f>'СМР ТС3'!G103</f>
        <v>4828600.88</v>
      </c>
      <c r="C12" s="448">
        <f>'мат ТС3'!G93</f>
        <v>2527815.7100000009</v>
      </c>
      <c r="D12" s="449">
        <f t="shared" si="0"/>
        <v>7356416.5900000008</v>
      </c>
      <c r="E12" s="451">
        <f>'СМР ТС3'!K103</f>
        <v>0</v>
      </c>
      <c r="F12" s="451">
        <f>'мат ТС3'!K93</f>
        <v>0</v>
      </c>
      <c r="G12" s="452">
        <f t="shared" si="1"/>
        <v>0</v>
      </c>
      <c r="I12" s="238"/>
    </row>
    <row r="13" spans="1:9" x14ac:dyDescent="0.3">
      <c r="A13" s="445" t="s">
        <v>1665</v>
      </c>
      <c r="B13" s="448">
        <f>SUM(B6:B12)</f>
        <v>219799581.48999998</v>
      </c>
      <c r="C13" s="448">
        <f t="shared" ref="C13" si="2">SUM(C6:C12)</f>
        <v>287958290.74999994</v>
      </c>
      <c r="D13" s="449">
        <f t="shared" si="0"/>
        <v>507757872.23999989</v>
      </c>
      <c r="E13" s="451">
        <f>SUM(E6:E12)</f>
        <v>16663234.642109385</v>
      </c>
      <c r="F13" s="451">
        <f t="shared" ref="F13" si="3">SUM(F6:F12)</f>
        <v>16472039.457187299</v>
      </c>
      <c r="G13" s="452">
        <f>E13+F13</f>
        <v>33135274.099296682</v>
      </c>
      <c r="H13" s="30"/>
    </row>
    <row r="19" spans="2:2" x14ac:dyDescent="0.3">
      <c r="B19" s="30"/>
    </row>
  </sheetData>
  <mergeCells count="2">
    <mergeCell ref="B4:D4"/>
    <mergeCell ref="E4:G4"/>
  </mergeCells>
  <pageMargins left="0.7" right="0.7" top="0.75" bottom="0.75" header="0.3" footer="0.3"/>
  <pageSetup paperSize="9" orientation="portrait" r:id="rId1"/>
  <ignoredErrors>
    <ignoredError sqref="D13" formula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8" max="8" width="12.21875" hidden="1" customWidth="1"/>
    <col min="9" max="9" width="0" hidden="1" customWidth="1"/>
  </cols>
  <sheetData>
    <row r="1" spans="1:9" x14ac:dyDescent="0.3">
      <c r="A1" s="565" t="s">
        <v>226</v>
      </c>
      <c r="B1" s="545" t="s">
        <v>201</v>
      </c>
      <c r="C1" s="545" t="s">
        <v>230</v>
      </c>
      <c r="D1" s="545" t="s">
        <v>202</v>
      </c>
      <c r="E1" s="545" t="s">
        <v>703</v>
      </c>
      <c r="F1" s="545"/>
      <c r="G1" s="545"/>
    </row>
    <row r="2" spans="1:9" ht="27.6" x14ac:dyDescent="0.3">
      <c r="A2" s="565"/>
      <c r="B2" s="545"/>
      <c r="C2" s="545"/>
      <c r="D2" s="545"/>
      <c r="E2" s="89" t="s">
        <v>441</v>
      </c>
      <c r="F2" s="89" t="s">
        <v>433</v>
      </c>
      <c r="G2" s="100" t="s">
        <v>409</v>
      </c>
    </row>
    <row r="3" spans="1:9" ht="17.2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</row>
    <row r="4" spans="1:9" ht="28.5" customHeight="1" x14ac:dyDescent="0.3">
      <c r="A4" s="153"/>
      <c r="B4" s="589" t="s">
        <v>737</v>
      </c>
      <c r="C4" s="590"/>
      <c r="D4" s="598"/>
      <c r="E4" s="154"/>
      <c r="F4" s="155"/>
      <c r="G4" s="167"/>
    </row>
    <row r="5" spans="1:9" ht="18" customHeight="1" x14ac:dyDescent="0.3">
      <c r="A5" s="151"/>
      <c r="B5" s="84" t="s">
        <v>513</v>
      </c>
      <c r="C5" s="159"/>
      <c r="D5" s="159"/>
      <c r="E5" s="162"/>
      <c r="F5" s="85"/>
      <c r="G5" s="168"/>
      <c r="H5" s="209" t="s">
        <v>923</v>
      </c>
    </row>
    <row r="6" spans="1:9" ht="35.25" customHeight="1" x14ac:dyDescent="0.3">
      <c r="A6" s="86">
        <v>1</v>
      </c>
      <c r="B6" s="66" t="s">
        <v>830</v>
      </c>
      <c r="C6" s="108" t="s">
        <v>193</v>
      </c>
      <c r="D6" s="163">
        <v>322</v>
      </c>
      <c r="E6" s="170">
        <v>90.47</v>
      </c>
      <c r="F6" s="101">
        <f t="shared" ref="F6:F40" si="0">ROUND(E6*D6,2)</f>
        <v>29131.34</v>
      </c>
      <c r="G6" s="101">
        <f>ROUND(F6*1.2,2)</f>
        <v>34957.61</v>
      </c>
      <c r="H6">
        <v>325</v>
      </c>
    </row>
    <row r="7" spans="1:9" ht="15.6" x14ac:dyDescent="0.3">
      <c r="A7" s="86">
        <f>A6+1</f>
        <v>2</v>
      </c>
      <c r="B7" s="66" t="s">
        <v>831</v>
      </c>
      <c r="C7" s="108" t="s">
        <v>193</v>
      </c>
      <c r="D7" s="205" t="s">
        <v>600</v>
      </c>
      <c r="E7" s="170">
        <v>1860.11</v>
      </c>
      <c r="F7" s="101">
        <f t="shared" si="0"/>
        <v>18601.099999999999</v>
      </c>
      <c r="G7" s="101">
        <f t="shared" ref="G7:G32" si="1">ROUND(F7*1.2,2)</f>
        <v>22321.32</v>
      </c>
      <c r="H7">
        <v>1777</v>
      </c>
    </row>
    <row r="8" spans="1:9" ht="15.6" x14ac:dyDescent="0.3">
      <c r="A8" s="86">
        <f>A7+1</f>
        <v>3</v>
      </c>
      <c r="B8" s="66" t="s">
        <v>832</v>
      </c>
      <c r="C8" s="108" t="s">
        <v>193</v>
      </c>
      <c r="D8" s="205" t="s">
        <v>796</v>
      </c>
      <c r="E8" s="170">
        <v>1155.67</v>
      </c>
      <c r="F8" s="101">
        <f t="shared" si="0"/>
        <v>13868.04</v>
      </c>
      <c r="G8" s="101">
        <f t="shared" si="1"/>
        <v>16641.650000000001</v>
      </c>
    </row>
    <row r="9" spans="1:9" ht="15.6" x14ac:dyDescent="0.3">
      <c r="A9" s="86">
        <f t="shared" ref="A9:A15" si="2">A8+1</f>
        <v>4</v>
      </c>
      <c r="B9" s="66" t="s">
        <v>521</v>
      </c>
      <c r="C9" s="108" t="s">
        <v>193</v>
      </c>
      <c r="D9" s="205" t="s">
        <v>836</v>
      </c>
      <c r="E9" s="170">
        <v>1456.66</v>
      </c>
      <c r="F9" s="101">
        <f t="shared" si="0"/>
        <v>3350.32</v>
      </c>
      <c r="G9" s="101">
        <f t="shared" si="1"/>
        <v>4020.38</v>
      </c>
      <c r="H9">
        <v>1379</v>
      </c>
    </row>
    <row r="10" spans="1:9" ht="15.6" x14ac:dyDescent="0.3">
      <c r="A10" s="86">
        <f t="shared" si="2"/>
        <v>5</v>
      </c>
      <c r="B10" s="66" t="s">
        <v>833</v>
      </c>
      <c r="C10" s="108" t="s">
        <v>193</v>
      </c>
      <c r="D10" s="205" t="s">
        <v>796</v>
      </c>
      <c r="E10" s="170">
        <v>856.54</v>
      </c>
      <c r="F10" s="101">
        <f t="shared" si="0"/>
        <v>10278.48</v>
      </c>
      <c r="G10" s="101">
        <f t="shared" si="1"/>
        <v>12334.18</v>
      </c>
      <c r="H10">
        <v>1379</v>
      </c>
    </row>
    <row r="11" spans="1:9" ht="15.6" x14ac:dyDescent="0.3">
      <c r="A11" s="86">
        <f t="shared" si="2"/>
        <v>6</v>
      </c>
      <c r="B11" s="66" t="s">
        <v>516</v>
      </c>
      <c r="C11" s="108" t="s">
        <v>193</v>
      </c>
      <c r="D11" s="205" t="s">
        <v>837</v>
      </c>
      <c r="E11" s="170">
        <v>9.73</v>
      </c>
      <c r="F11" s="101">
        <f t="shared" si="0"/>
        <v>2860.62</v>
      </c>
      <c r="G11" s="101">
        <f t="shared" si="1"/>
        <v>3432.74</v>
      </c>
      <c r="H11">
        <v>125</v>
      </c>
    </row>
    <row r="12" spans="1:9" ht="15.6" x14ac:dyDescent="0.3">
      <c r="A12" s="86">
        <f t="shared" si="2"/>
        <v>7</v>
      </c>
      <c r="B12" s="66" t="s">
        <v>451</v>
      </c>
      <c r="C12" s="108" t="s">
        <v>193</v>
      </c>
      <c r="D12" s="205" t="s">
        <v>837</v>
      </c>
      <c r="E12" s="170">
        <v>197.58</v>
      </c>
      <c r="F12" s="101">
        <f t="shared" si="0"/>
        <v>58088.52</v>
      </c>
      <c r="G12" s="101">
        <f t="shared" si="1"/>
        <v>69706.22</v>
      </c>
      <c r="H12">
        <v>198</v>
      </c>
    </row>
    <row r="13" spans="1:9" ht="15.6" x14ac:dyDescent="0.3">
      <c r="A13" s="86">
        <f t="shared" si="2"/>
        <v>8</v>
      </c>
      <c r="B13" s="66" t="s">
        <v>517</v>
      </c>
      <c r="C13" s="108" t="s">
        <v>193</v>
      </c>
      <c r="D13" s="205" t="s">
        <v>838</v>
      </c>
      <c r="E13" s="170">
        <v>856.54</v>
      </c>
      <c r="F13" s="101">
        <f t="shared" si="0"/>
        <v>12848.1</v>
      </c>
      <c r="G13" s="101">
        <f t="shared" si="1"/>
        <v>15417.72</v>
      </c>
      <c r="H13">
        <v>899</v>
      </c>
    </row>
    <row r="14" spans="1:9" ht="27.6" x14ac:dyDescent="0.3">
      <c r="A14" s="86">
        <f t="shared" si="2"/>
        <v>9</v>
      </c>
      <c r="B14" s="66" t="s">
        <v>834</v>
      </c>
      <c r="C14" s="108" t="s">
        <v>239</v>
      </c>
      <c r="D14" s="206">
        <v>36.799999999999997</v>
      </c>
      <c r="E14" s="170">
        <v>67.760000000000005</v>
      </c>
      <c r="F14" s="101">
        <f t="shared" si="0"/>
        <v>2493.5700000000002</v>
      </c>
      <c r="G14" s="101">
        <f t="shared" si="1"/>
        <v>2992.28</v>
      </c>
      <c r="H14">
        <v>325</v>
      </c>
    </row>
    <row r="15" spans="1:9" ht="27.6" x14ac:dyDescent="0.3">
      <c r="A15" s="86">
        <f t="shared" si="2"/>
        <v>10</v>
      </c>
      <c r="B15" s="66" t="s">
        <v>835</v>
      </c>
      <c r="C15" s="65" t="s">
        <v>239</v>
      </c>
      <c r="D15" s="206">
        <v>36.799999999999997</v>
      </c>
      <c r="E15" s="170">
        <v>312.27999999999997</v>
      </c>
      <c r="F15" s="101">
        <f t="shared" si="0"/>
        <v>11491.9</v>
      </c>
      <c r="G15" s="101">
        <f t="shared" si="1"/>
        <v>13790.28</v>
      </c>
      <c r="H15">
        <v>3460</v>
      </c>
      <c r="I15" s="209" t="s">
        <v>922</v>
      </c>
    </row>
    <row r="16" spans="1:9" ht="15.6" x14ac:dyDescent="0.3">
      <c r="A16" s="86"/>
      <c r="B16" s="61" t="s">
        <v>523</v>
      </c>
      <c r="C16" s="65"/>
      <c r="D16" s="70"/>
      <c r="E16" s="170"/>
      <c r="F16" s="101"/>
      <c r="G16" s="101"/>
    </row>
    <row r="17" spans="1:8" ht="27.6" x14ac:dyDescent="0.3">
      <c r="A17" s="86">
        <f>A15+1</f>
        <v>11</v>
      </c>
      <c r="B17" s="66" t="s">
        <v>839</v>
      </c>
      <c r="C17" s="65" t="s">
        <v>194</v>
      </c>
      <c r="D17" s="70">
        <v>31</v>
      </c>
      <c r="E17" s="170">
        <v>1223.9000000000001</v>
      </c>
      <c r="F17" s="101">
        <f t="shared" si="0"/>
        <v>37940.9</v>
      </c>
      <c r="G17" s="101">
        <f t="shared" si="1"/>
        <v>45529.08</v>
      </c>
    </row>
    <row r="18" spans="1:8" ht="41.4" x14ac:dyDescent="0.3">
      <c r="A18" s="86">
        <f>A17+1</f>
        <v>12</v>
      </c>
      <c r="B18" s="66" t="s">
        <v>840</v>
      </c>
      <c r="C18" s="65" t="s">
        <v>194</v>
      </c>
      <c r="D18" s="70">
        <v>6</v>
      </c>
      <c r="E18" s="170">
        <v>10557.31</v>
      </c>
      <c r="F18" s="101">
        <f t="shared" si="0"/>
        <v>63343.86</v>
      </c>
      <c r="G18" s="101">
        <f t="shared" si="1"/>
        <v>76012.63</v>
      </c>
    </row>
    <row r="19" spans="1:8" ht="27.6" x14ac:dyDescent="0.3">
      <c r="A19" s="86">
        <f t="shared" ref="A19:A29" si="3">A18+1</f>
        <v>13</v>
      </c>
      <c r="B19" s="66" t="s">
        <v>841</v>
      </c>
      <c r="C19" s="65" t="s">
        <v>220</v>
      </c>
      <c r="D19" s="70">
        <v>2</v>
      </c>
      <c r="E19" s="170">
        <v>10242.23</v>
      </c>
      <c r="F19" s="101">
        <f t="shared" si="0"/>
        <v>20484.46</v>
      </c>
      <c r="G19" s="101">
        <f t="shared" si="1"/>
        <v>24581.35</v>
      </c>
    </row>
    <row r="20" spans="1:8" ht="27.6" x14ac:dyDescent="0.3">
      <c r="A20" s="86">
        <f t="shared" si="3"/>
        <v>14</v>
      </c>
      <c r="B20" s="66" t="s">
        <v>842</v>
      </c>
      <c r="C20" s="65" t="s">
        <v>220</v>
      </c>
      <c r="D20" s="70">
        <v>2</v>
      </c>
      <c r="E20" s="170">
        <v>6691.94</v>
      </c>
      <c r="F20" s="101">
        <f t="shared" si="0"/>
        <v>13383.88</v>
      </c>
      <c r="G20" s="101">
        <f t="shared" si="1"/>
        <v>16060.66</v>
      </c>
    </row>
    <row r="21" spans="1:8" ht="15.6" x14ac:dyDescent="0.3">
      <c r="A21" s="86">
        <f t="shared" si="3"/>
        <v>15</v>
      </c>
      <c r="B21" s="66" t="s">
        <v>865</v>
      </c>
      <c r="C21" s="65" t="s">
        <v>220</v>
      </c>
      <c r="D21" s="70">
        <v>36</v>
      </c>
      <c r="E21" s="170">
        <v>592.5</v>
      </c>
      <c r="F21" s="101">
        <f t="shared" si="0"/>
        <v>21330</v>
      </c>
      <c r="G21" s="101">
        <f t="shared" si="1"/>
        <v>25596</v>
      </c>
    </row>
    <row r="22" spans="1:8" ht="27.6" x14ac:dyDescent="0.3">
      <c r="A22" s="86">
        <f t="shared" si="3"/>
        <v>16</v>
      </c>
      <c r="B22" s="66" t="s">
        <v>843</v>
      </c>
      <c r="C22" s="65" t="s">
        <v>220</v>
      </c>
      <c r="D22" s="70">
        <v>36</v>
      </c>
      <c r="E22" s="170">
        <v>210.41</v>
      </c>
      <c r="F22" s="101">
        <f t="shared" si="0"/>
        <v>7574.76</v>
      </c>
      <c r="G22" s="101">
        <f t="shared" si="1"/>
        <v>9089.7099999999991</v>
      </c>
    </row>
    <row r="23" spans="1:8" ht="41.4" x14ac:dyDescent="0.3">
      <c r="A23" s="86">
        <f t="shared" si="3"/>
        <v>17</v>
      </c>
      <c r="B23" s="66" t="s">
        <v>844</v>
      </c>
      <c r="C23" s="65" t="s">
        <v>220</v>
      </c>
      <c r="D23" s="70">
        <v>2</v>
      </c>
      <c r="E23" s="170">
        <v>1207.4100000000001</v>
      </c>
      <c r="F23" s="101">
        <f t="shared" si="0"/>
        <v>2414.8200000000002</v>
      </c>
      <c r="G23" s="101">
        <f t="shared" si="1"/>
        <v>2897.78</v>
      </c>
    </row>
    <row r="24" spans="1:8" ht="41.4" x14ac:dyDescent="0.3">
      <c r="A24" s="86">
        <f t="shared" si="3"/>
        <v>18</v>
      </c>
      <c r="B24" s="66" t="s">
        <v>845</v>
      </c>
      <c r="C24" s="65" t="s">
        <v>220</v>
      </c>
      <c r="D24" s="70">
        <v>2</v>
      </c>
      <c r="E24" s="170">
        <v>7231.84</v>
      </c>
      <c r="F24" s="101">
        <f t="shared" si="0"/>
        <v>14463.68</v>
      </c>
      <c r="G24" s="101">
        <f t="shared" si="1"/>
        <v>17356.419999999998</v>
      </c>
    </row>
    <row r="25" spans="1:8" ht="41.4" x14ac:dyDescent="0.3">
      <c r="A25" s="86">
        <f t="shared" si="3"/>
        <v>19</v>
      </c>
      <c r="B25" s="66" t="s">
        <v>846</v>
      </c>
      <c r="C25" s="65" t="s">
        <v>220</v>
      </c>
      <c r="D25" s="70">
        <v>1</v>
      </c>
      <c r="E25" s="170">
        <v>12816.51</v>
      </c>
      <c r="F25" s="101">
        <f t="shared" si="0"/>
        <v>12816.51</v>
      </c>
      <c r="G25" s="101">
        <f t="shared" si="1"/>
        <v>15379.81</v>
      </c>
    </row>
    <row r="26" spans="1:8" ht="15.6" x14ac:dyDescent="0.3">
      <c r="A26" s="86">
        <f t="shared" si="3"/>
        <v>20</v>
      </c>
      <c r="B26" s="66" t="s">
        <v>847</v>
      </c>
      <c r="C26" s="65" t="s">
        <v>220</v>
      </c>
      <c r="D26" s="70">
        <v>1</v>
      </c>
      <c r="E26" s="170">
        <v>3933.74</v>
      </c>
      <c r="F26" s="101">
        <f t="shared" si="0"/>
        <v>3933.74</v>
      </c>
      <c r="G26" s="101">
        <f t="shared" si="1"/>
        <v>4720.49</v>
      </c>
    </row>
    <row r="27" spans="1:8" ht="15.6" x14ac:dyDescent="0.3">
      <c r="A27" s="86">
        <f t="shared" si="3"/>
        <v>21</v>
      </c>
      <c r="B27" s="66" t="s">
        <v>848</v>
      </c>
      <c r="C27" s="65" t="s">
        <v>220</v>
      </c>
      <c r="D27" s="70">
        <v>1</v>
      </c>
      <c r="E27" s="170">
        <v>10242.219999999999</v>
      </c>
      <c r="F27" s="101">
        <f t="shared" si="0"/>
        <v>10242.219999999999</v>
      </c>
      <c r="G27" s="101">
        <f t="shared" si="1"/>
        <v>12290.66</v>
      </c>
    </row>
    <row r="28" spans="1:8" ht="27.6" x14ac:dyDescent="0.3">
      <c r="A28" s="86">
        <f t="shared" si="3"/>
        <v>22</v>
      </c>
      <c r="B28" s="66" t="s">
        <v>849</v>
      </c>
      <c r="C28" s="65" t="s">
        <v>220</v>
      </c>
      <c r="D28" s="70">
        <v>1</v>
      </c>
      <c r="E28" s="170">
        <v>3397.31</v>
      </c>
      <c r="F28" s="101">
        <f t="shared" si="0"/>
        <v>3397.31</v>
      </c>
      <c r="G28" s="101">
        <f t="shared" si="1"/>
        <v>4076.77</v>
      </c>
    </row>
    <row r="29" spans="1:8" ht="27.6" x14ac:dyDescent="0.3">
      <c r="A29" s="86">
        <f t="shared" si="3"/>
        <v>23</v>
      </c>
      <c r="B29" s="66" t="s">
        <v>850</v>
      </c>
      <c r="C29" s="65" t="s">
        <v>924</v>
      </c>
      <c r="D29" s="70">
        <v>1</v>
      </c>
      <c r="E29" s="170">
        <v>35713.949999999997</v>
      </c>
      <c r="F29" s="101">
        <f t="shared" si="0"/>
        <v>35713.949999999997</v>
      </c>
      <c r="G29" s="101">
        <f t="shared" si="1"/>
        <v>42856.74</v>
      </c>
    </row>
    <row r="30" spans="1:8" ht="15.6" x14ac:dyDescent="0.3">
      <c r="A30" s="86"/>
      <c r="B30" s="61" t="s">
        <v>851</v>
      </c>
      <c r="C30" s="65"/>
      <c r="D30" s="70"/>
      <c r="E30" s="170"/>
      <c r="F30" s="101"/>
      <c r="G30" s="101"/>
    </row>
    <row r="31" spans="1:8" ht="15.6" x14ac:dyDescent="0.3">
      <c r="A31" s="86">
        <f>A29+1</f>
        <v>24</v>
      </c>
      <c r="B31" s="66" t="s">
        <v>920</v>
      </c>
      <c r="C31" s="65" t="s">
        <v>193</v>
      </c>
      <c r="D31" s="71">
        <v>0.7</v>
      </c>
      <c r="E31" s="170">
        <v>4259.21</v>
      </c>
      <c r="F31" s="101">
        <f t="shared" si="0"/>
        <v>2981.45</v>
      </c>
      <c r="G31" s="101">
        <f t="shared" si="1"/>
        <v>3577.74</v>
      </c>
    </row>
    <row r="32" spans="1:8" ht="27.6" x14ac:dyDescent="0.3">
      <c r="A32" s="86">
        <f>A31+1</f>
        <v>25</v>
      </c>
      <c r="B32" s="66" t="s">
        <v>852</v>
      </c>
      <c r="C32" s="65" t="s">
        <v>193</v>
      </c>
      <c r="D32" s="75">
        <v>1.7350000000000001</v>
      </c>
      <c r="E32" s="170">
        <v>32605.8</v>
      </c>
      <c r="F32" s="101">
        <f t="shared" si="0"/>
        <v>56571.06</v>
      </c>
      <c r="G32" s="101">
        <f t="shared" si="1"/>
        <v>67885.27</v>
      </c>
      <c r="H32">
        <v>18174</v>
      </c>
    </row>
    <row r="33" spans="1:8" ht="15.6" x14ac:dyDescent="0.3">
      <c r="A33" s="86"/>
      <c r="B33" s="61" t="s">
        <v>853</v>
      </c>
      <c r="C33" s="65"/>
      <c r="D33" s="70"/>
      <c r="E33" s="170"/>
      <c r="F33" s="101"/>
      <c r="G33" s="101"/>
    </row>
    <row r="34" spans="1:8" ht="27.6" x14ac:dyDescent="0.3">
      <c r="A34" s="86">
        <f>A32+1</f>
        <v>26</v>
      </c>
      <c r="B34" s="66" t="s">
        <v>854</v>
      </c>
      <c r="C34" s="65" t="s">
        <v>193</v>
      </c>
      <c r="D34" s="70">
        <v>2</v>
      </c>
      <c r="E34" s="170">
        <v>26084.63</v>
      </c>
      <c r="F34" s="101">
        <f t="shared" si="0"/>
        <v>52169.26</v>
      </c>
      <c r="G34" s="101">
        <f t="shared" ref="G34:G36" si="4">ROUND(F34*1.2,2)</f>
        <v>62603.11</v>
      </c>
    </row>
    <row r="35" spans="1:8" ht="15.6" x14ac:dyDescent="0.3">
      <c r="A35" s="86"/>
      <c r="B35" s="66" t="s">
        <v>921</v>
      </c>
      <c r="C35" s="65" t="s">
        <v>239</v>
      </c>
      <c r="D35" s="71">
        <v>4.4000000000000004</v>
      </c>
      <c r="E35" s="170">
        <v>436.23</v>
      </c>
      <c r="F35" s="101">
        <f t="shared" si="0"/>
        <v>1919.41</v>
      </c>
      <c r="G35" s="101">
        <f t="shared" si="4"/>
        <v>2303.29</v>
      </c>
    </row>
    <row r="36" spans="1:8" ht="27.6" x14ac:dyDescent="0.3">
      <c r="A36" s="86">
        <f>A34+1</f>
        <v>27</v>
      </c>
      <c r="B36" s="66" t="s">
        <v>855</v>
      </c>
      <c r="C36" s="65" t="s">
        <v>239</v>
      </c>
      <c r="D36" s="71">
        <v>4.4000000000000004</v>
      </c>
      <c r="E36" s="170">
        <v>312.27999999999997</v>
      </c>
      <c r="F36" s="101">
        <f t="shared" si="0"/>
        <v>1374.03</v>
      </c>
      <c r="G36" s="101">
        <f t="shared" si="4"/>
        <v>1648.84</v>
      </c>
    </row>
    <row r="37" spans="1:8" ht="15.6" x14ac:dyDescent="0.3">
      <c r="A37" s="86"/>
      <c r="B37" s="61" t="s">
        <v>856</v>
      </c>
      <c r="C37" s="65"/>
      <c r="D37" s="67"/>
      <c r="E37" s="170"/>
      <c r="F37" s="101"/>
      <c r="G37" s="101"/>
    </row>
    <row r="38" spans="1:8" ht="15.6" x14ac:dyDescent="0.3">
      <c r="A38" s="86">
        <f>A36+1</f>
        <v>28</v>
      </c>
      <c r="B38" s="66" t="s">
        <v>857</v>
      </c>
      <c r="C38" s="65" t="s">
        <v>194</v>
      </c>
      <c r="D38" s="70">
        <v>31</v>
      </c>
      <c r="E38" s="170">
        <v>769.25</v>
      </c>
      <c r="F38" s="101">
        <f t="shared" si="0"/>
        <v>23846.75</v>
      </c>
      <c r="G38" s="101">
        <f t="shared" ref="G38:G40" si="5">ROUND(F38*1.2,2)</f>
        <v>28616.1</v>
      </c>
    </row>
    <row r="39" spans="1:8" ht="15.6" x14ac:dyDescent="0.3">
      <c r="A39" s="86">
        <f>A38+1</f>
        <v>29</v>
      </c>
      <c r="B39" s="66" t="s">
        <v>858</v>
      </c>
      <c r="C39" s="65" t="s">
        <v>239</v>
      </c>
      <c r="D39" s="67">
        <v>1.23</v>
      </c>
      <c r="E39" s="170">
        <v>433.62</v>
      </c>
      <c r="F39" s="101">
        <f t="shared" si="0"/>
        <v>533.35</v>
      </c>
      <c r="G39" s="101">
        <f t="shared" si="5"/>
        <v>640.02</v>
      </c>
    </row>
    <row r="40" spans="1:8" ht="27.6" x14ac:dyDescent="0.3">
      <c r="A40" s="86">
        <f>A39+1</f>
        <v>30</v>
      </c>
      <c r="B40" s="66" t="s">
        <v>859</v>
      </c>
      <c r="C40" s="65" t="s">
        <v>239</v>
      </c>
      <c r="D40" s="67">
        <v>1.23</v>
      </c>
      <c r="E40" s="170">
        <v>312.27999999999997</v>
      </c>
      <c r="F40" s="101">
        <f t="shared" si="0"/>
        <v>384.1</v>
      </c>
      <c r="G40" s="101">
        <f t="shared" si="5"/>
        <v>460.92</v>
      </c>
      <c r="H40" s="207"/>
    </row>
    <row r="41" spans="1:8" ht="28.5" customHeight="1" x14ac:dyDescent="0.3">
      <c r="A41" s="153"/>
      <c r="B41" s="589" t="s">
        <v>738</v>
      </c>
      <c r="C41" s="590"/>
      <c r="D41" s="598"/>
      <c r="E41" s="154"/>
      <c r="F41" s="155"/>
      <c r="G41" s="167"/>
    </row>
    <row r="42" spans="1:8" ht="16.5" customHeight="1" x14ac:dyDescent="0.3">
      <c r="A42" s="65"/>
      <c r="B42" s="61" t="s">
        <v>513</v>
      </c>
      <c r="C42" s="65"/>
      <c r="D42" s="169"/>
      <c r="E42" s="164"/>
      <c r="F42" s="160"/>
      <c r="G42" s="168"/>
    </row>
    <row r="43" spans="1:8" ht="27.6" x14ac:dyDescent="0.3">
      <c r="A43" s="65">
        <f>A40+1</f>
        <v>31</v>
      </c>
      <c r="B43" s="66" t="s">
        <v>860</v>
      </c>
      <c r="C43" s="108" t="s">
        <v>193</v>
      </c>
      <c r="D43" s="70">
        <v>759</v>
      </c>
      <c r="E43" s="170">
        <v>90.47</v>
      </c>
      <c r="F43" s="101">
        <f t="shared" ref="F43:F68" si="6">ROUND(E43*D43,2)</f>
        <v>68666.73</v>
      </c>
      <c r="G43" s="101">
        <f t="shared" ref="G43:G68" si="7">ROUND(F43*1.2,2)</f>
        <v>82400.08</v>
      </c>
      <c r="H43">
        <v>325</v>
      </c>
    </row>
    <row r="44" spans="1:8" ht="15.6" x14ac:dyDescent="0.3">
      <c r="A44" s="65">
        <f t="shared" ref="A44:A64" si="8">A43+1</f>
        <v>32</v>
      </c>
      <c r="B44" s="66" t="s">
        <v>831</v>
      </c>
      <c r="C44" s="108" t="s">
        <v>193</v>
      </c>
      <c r="D44" s="70">
        <v>23</v>
      </c>
      <c r="E44" s="170">
        <v>1860.11</v>
      </c>
      <c r="F44" s="101">
        <f t="shared" si="6"/>
        <v>42782.53</v>
      </c>
      <c r="G44" s="101">
        <f t="shared" si="7"/>
        <v>51339.040000000001</v>
      </c>
      <c r="H44">
        <v>1777</v>
      </c>
    </row>
    <row r="45" spans="1:8" ht="15.6" x14ac:dyDescent="0.3">
      <c r="A45" s="65">
        <f t="shared" si="8"/>
        <v>33</v>
      </c>
      <c r="B45" s="66" t="s">
        <v>832</v>
      </c>
      <c r="C45" s="108" t="s">
        <v>193</v>
      </c>
      <c r="D45" s="70">
        <v>39</v>
      </c>
      <c r="E45" s="170">
        <v>1155.67</v>
      </c>
      <c r="F45" s="101">
        <f t="shared" si="6"/>
        <v>45071.13</v>
      </c>
      <c r="G45" s="101">
        <f t="shared" si="7"/>
        <v>54085.36</v>
      </c>
    </row>
    <row r="46" spans="1:8" ht="15.6" x14ac:dyDescent="0.3">
      <c r="A46" s="65">
        <f t="shared" si="8"/>
        <v>34</v>
      </c>
      <c r="B46" s="66" t="s">
        <v>521</v>
      </c>
      <c r="C46" s="108" t="s">
        <v>193</v>
      </c>
      <c r="D46" s="70">
        <v>8</v>
      </c>
      <c r="E46" s="170">
        <v>1456.66</v>
      </c>
      <c r="F46" s="101">
        <f t="shared" si="6"/>
        <v>11653.28</v>
      </c>
      <c r="G46" s="101">
        <f t="shared" si="7"/>
        <v>13983.94</v>
      </c>
      <c r="H46">
        <v>1379</v>
      </c>
    </row>
    <row r="47" spans="1:8" ht="15.6" x14ac:dyDescent="0.3">
      <c r="A47" s="65">
        <f t="shared" si="8"/>
        <v>35</v>
      </c>
      <c r="B47" s="66" t="s">
        <v>833</v>
      </c>
      <c r="C47" s="108" t="s">
        <v>193</v>
      </c>
      <c r="D47" s="70">
        <v>39</v>
      </c>
      <c r="E47" s="170">
        <v>856.54</v>
      </c>
      <c r="F47" s="101">
        <f t="shared" si="6"/>
        <v>33405.06</v>
      </c>
      <c r="G47" s="101">
        <f t="shared" si="7"/>
        <v>40086.07</v>
      </c>
      <c r="H47">
        <v>1379</v>
      </c>
    </row>
    <row r="48" spans="1:8" ht="15.6" x14ac:dyDescent="0.3">
      <c r="A48" s="65">
        <f t="shared" si="8"/>
        <v>36</v>
      </c>
      <c r="B48" s="66" t="s">
        <v>516</v>
      </c>
      <c r="C48" s="108" t="s">
        <v>193</v>
      </c>
      <c r="D48" s="70">
        <v>694</v>
      </c>
      <c r="E48" s="170">
        <v>9.73</v>
      </c>
      <c r="F48" s="101">
        <f t="shared" si="6"/>
        <v>6752.62</v>
      </c>
      <c r="G48" s="101">
        <f t="shared" si="7"/>
        <v>8103.14</v>
      </c>
      <c r="H48">
        <v>125</v>
      </c>
    </row>
    <row r="49" spans="1:9" ht="15.6" x14ac:dyDescent="0.3">
      <c r="A49" s="65">
        <f t="shared" si="8"/>
        <v>37</v>
      </c>
      <c r="B49" s="66" t="s">
        <v>451</v>
      </c>
      <c r="C49" s="108" t="s">
        <v>193</v>
      </c>
      <c r="D49" s="70">
        <v>694</v>
      </c>
      <c r="E49" s="170">
        <v>197.58</v>
      </c>
      <c r="F49" s="101">
        <f t="shared" si="6"/>
        <v>137120.51999999999</v>
      </c>
      <c r="G49" s="101">
        <f t="shared" si="7"/>
        <v>164544.62</v>
      </c>
      <c r="H49">
        <v>198</v>
      </c>
    </row>
    <row r="50" spans="1:9" ht="15.6" x14ac:dyDescent="0.3">
      <c r="A50" s="65">
        <f t="shared" si="8"/>
        <v>38</v>
      </c>
      <c r="B50" s="66" t="s">
        <v>517</v>
      </c>
      <c r="C50" s="108" t="s">
        <v>193</v>
      </c>
      <c r="D50" s="70">
        <v>37</v>
      </c>
      <c r="E50" s="170">
        <v>856.54</v>
      </c>
      <c r="F50" s="101">
        <f t="shared" si="6"/>
        <v>31691.98</v>
      </c>
      <c r="G50" s="101">
        <f t="shared" si="7"/>
        <v>38030.379999999997</v>
      </c>
      <c r="H50">
        <v>899</v>
      </c>
    </row>
    <row r="51" spans="1:9" ht="27.6" x14ac:dyDescent="0.3">
      <c r="A51" s="65">
        <f t="shared" si="8"/>
        <v>39</v>
      </c>
      <c r="B51" s="66" t="s">
        <v>834</v>
      </c>
      <c r="C51" s="108" t="s">
        <v>239</v>
      </c>
      <c r="D51" s="71">
        <v>81.599999999999994</v>
      </c>
      <c r="E51" s="170">
        <v>67.760000000000005</v>
      </c>
      <c r="F51" s="101">
        <f t="shared" si="6"/>
        <v>5529.22</v>
      </c>
      <c r="G51" s="101">
        <f t="shared" si="7"/>
        <v>6635.06</v>
      </c>
      <c r="H51">
        <v>325</v>
      </c>
    </row>
    <row r="52" spans="1:9" ht="27.6" x14ac:dyDescent="0.3">
      <c r="A52" s="65">
        <f t="shared" si="8"/>
        <v>40</v>
      </c>
      <c r="B52" s="66" t="s">
        <v>835</v>
      </c>
      <c r="C52" s="65" t="s">
        <v>239</v>
      </c>
      <c r="D52" s="71">
        <v>81.599999999999994</v>
      </c>
      <c r="E52" s="170">
        <v>312.27999999999997</v>
      </c>
      <c r="F52" s="101">
        <f t="shared" si="6"/>
        <v>25482.05</v>
      </c>
      <c r="G52" s="101">
        <f t="shared" si="7"/>
        <v>30578.46</v>
      </c>
      <c r="H52">
        <v>3460</v>
      </c>
      <c r="I52" s="209" t="s">
        <v>922</v>
      </c>
    </row>
    <row r="53" spans="1:9" ht="15.6" x14ac:dyDescent="0.3">
      <c r="A53" s="65"/>
      <c r="B53" s="61" t="s">
        <v>523</v>
      </c>
      <c r="C53" s="65"/>
      <c r="D53" s="67"/>
      <c r="E53" s="170"/>
      <c r="F53" s="101"/>
      <c r="G53" s="101"/>
    </row>
    <row r="54" spans="1:9" ht="27.6" x14ac:dyDescent="0.3">
      <c r="A54" s="65">
        <f>A52+1</f>
        <v>41</v>
      </c>
      <c r="B54" s="66" t="s">
        <v>861</v>
      </c>
      <c r="C54" s="65" t="s">
        <v>194</v>
      </c>
      <c r="D54" s="70">
        <v>97</v>
      </c>
      <c r="E54" s="170">
        <v>1045.03</v>
      </c>
      <c r="F54" s="101">
        <f t="shared" si="6"/>
        <v>101367.91</v>
      </c>
      <c r="G54" s="101">
        <f t="shared" si="7"/>
        <v>121641.49</v>
      </c>
    </row>
    <row r="55" spans="1:9" ht="41.4" x14ac:dyDescent="0.3">
      <c r="A55" s="65">
        <f t="shared" si="8"/>
        <v>42</v>
      </c>
      <c r="B55" s="66" t="s">
        <v>862</v>
      </c>
      <c r="C55" s="65" t="s">
        <v>194</v>
      </c>
      <c r="D55" s="70">
        <v>6</v>
      </c>
      <c r="E55" s="170">
        <v>1960.07</v>
      </c>
      <c r="F55" s="101">
        <f t="shared" si="6"/>
        <v>11760.42</v>
      </c>
      <c r="G55" s="101">
        <f t="shared" si="7"/>
        <v>14112.5</v>
      </c>
    </row>
    <row r="56" spans="1:9" ht="27.6" x14ac:dyDescent="0.3">
      <c r="A56" s="65">
        <f t="shared" si="8"/>
        <v>43</v>
      </c>
      <c r="B56" s="66" t="s">
        <v>863</v>
      </c>
      <c r="C56" s="65" t="s">
        <v>220</v>
      </c>
      <c r="D56" s="70">
        <v>1</v>
      </c>
      <c r="E56" s="170">
        <v>8983.23</v>
      </c>
      <c r="F56" s="101">
        <f t="shared" si="6"/>
        <v>8983.23</v>
      </c>
      <c r="G56" s="101">
        <f t="shared" si="7"/>
        <v>10779.88</v>
      </c>
    </row>
    <row r="57" spans="1:9" ht="27.6" x14ac:dyDescent="0.3">
      <c r="A57" s="65">
        <f t="shared" si="8"/>
        <v>44</v>
      </c>
      <c r="B57" s="66" t="s">
        <v>864</v>
      </c>
      <c r="C57" s="65" t="s">
        <v>220</v>
      </c>
      <c r="D57" s="70">
        <v>1</v>
      </c>
      <c r="E57" s="170">
        <v>4477.97</v>
      </c>
      <c r="F57" s="101">
        <f t="shared" si="6"/>
        <v>4477.97</v>
      </c>
      <c r="G57" s="101">
        <f t="shared" si="7"/>
        <v>5373.56</v>
      </c>
    </row>
    <row r="58" spans="1:9" ht="15.6" x14ac:dyDescent="0.3">
      <c r="A58" s="65">
        <f t="shared" si="8"/>
        <v>45</v>
      </c>
      <c r="B58" s="66" t="s">
        <v>865</v>
      </c>
      <c r="C58" s="65" t="s">
        <v>220</v>
      </c>
      <c r="D58" s="70">
        <v>8</v>
      </c>
      <c r="E58" s="170">
        <v>592.5</v>
      </c>
      <c r="F58" s="101">
        <f t="shared" si="6"/>
        <v>4740</v>
      </c>
      <c r="G58" s="101">
        <f t="shared" si="7"/>
        <v>5688</v>
      </c>
    </row>
    <row r="59" spans="1:9" ht="27.6" x14ac:dyDescent="0.3">
      <c r="A59" s="65">
        <f t="shared" si="8"/>
        <v>46</v>
      </c>
      <c r="B59" s="66" t="s">
        <v>843</v>
      </c>
      <c r="C59" s="65" t="s">
        <v>220</v>
      </c>
      <c r="D59" s="70">
        <v>8</v>
      </c>
      <c r="E59" s="170">
        <v>210.41</v>
      </c>
      <c r="F59" s="101">
        <f t="shared" si="6"/>
        <v>1683.28</v>
      </c>
      <c r="G59" s="101">
        <f t="shared" si="7"/>
        <v>2019.94</v>
      </c>
    </row>
    <row r="60" spans="1:9" ht="41.4" x14ac:dyDescent="0.3">
      <c r="A60" s="65">
        <f t="shared" si="8"/>
        <v>47</v>
      </c>
      <c r="B60" s="66" t="s">
        <v>866</v>
      </c>
      <c r="C60" s="65" t="s">
        <v>220</v>
      </c>
      <c r="D60" s="70">
        <v>1</v>
      </c>
      <c r="E60" s="170">
        <v>2066.3000000000002</v>
      </c>
      <c r="F60" s="101">
        <f t="shared" si="6"/>
        <v>2066.3000000000002</v>
      </c>
      <c r="G60" s="101">
        <f t="shared" si="7"/>
        <v>2479.56</v>
      </c>
    </row>
    <row r="61" spans="1:9" ht="41.4" x14ac:dyDescent="0.3">
      <c r="A61" s="65">
        <f t="shared" si="8"/>
        <v>48</v>
      </c>
      <c r="B61" s="66" t="s">
        <v>867</v>
      </c>
      <c r="C61" s="65" t="s">
        <v>220</v>
      </c>
      <c r="D61" s="70">
        <v>1</v>
      </c>
      <c r="E61" s="170">
        <v>3397.31</v>
      </c>
      <c r="F61" s="101">
        <f t="shared" si="6"/>
        <v>3397.31</v>
      </c>
      <c r="G61" s="101">
        <f t="shared" si="7"/>
        <v>4076.77</v>
      </c>
    </row>
    <row r="62" spans="1:9" ht="27.6" x14ac:dyDescent="0.3">
      <c r="A62" s="65">
        <f t="shared" si="8"/>
        <v>49</v>
      </c>
      <c r="B62" s="66" t="s">
        <v>868</v>
      </c>
      <c r="C62" s="65" t="s">
        <v>220</v>
      </c>
      <c r="D62" s="70">
        <v>1</v>
      </c>
      <c r="E62" s="170">
        <v>3317.02</v>
      </c>
      <c r="F62" s="101">
        <f t="shared" si="6"/>
        <v>3317.02</v>
      </c>
      <c r="G62" s="101">
        <f t="shared" si="7"/>
        <v>3980.42</v>
      </c>
    </row>
    <row r="63" spans="1:9" ht="27.6" x14ac:dyDescent="0.3">
      <c r="A63" s="65">
        <f t="shared" si="8"/>
        <v>50</v>
      </c>
      <c r="B63" s="66" t="s">
        <v>869</v>
      </c>
      <c r="C63" s="65" t="s">
        <v>220</v>
      </c>
      <c r="D63" s="70">
        <v>1</v>
      </c>
      <c r="E63" s="170">
        <v>3397.31</v>
      </c>
      <c r="F63" s="101">
        <f t="shared" si="6"/>
        <v>3397.31</v>
      </c>
      <c r="G63" s="101">
        <f t="shared" si="7"/>
        <v>4076.77</v>
      </c>
    </row>
    <row r="64" spans="1:9" ht="27.6" x14ac:dyDescent="0.3">
      <c r="A64" s="65">
        <f t="shared" si="8"/>
        <v>51</v>
      </c>
      <c r="B64" s="66" t="s">
        <v>850</v>
      </c>
      <c r="C64" s="65" t="s">
        <v>924</v>
      </c>
      <c r="D64" s="70">
        <v>1</v>
      </c>
      <c r="E64" s="170">
        <v>30624.26</v>
      </c>
      <c r="F64" s="101">
        <f t="shared" si="6"/>
        <v>30624.26</v>
      </c>
      <c r="G64" s="101">
        <f t="shared" si="7"/>
        <v>36749.11</v>
      </c>
    </row>
    <row r="65" spans="1:9" ht="15.6" x14ac:dyDescent="0.3">
      <c r="A65" s="65"/>
      <c r="B65" s="61" t="s">
        <v>856</v>
      </c>
      <c r="C65" s="65"/>
      <c r="D65" s="70"/>
      <c r="E65" s="170"/>
      <c r="F65" s="101"/>
      <c r="G65" s="101"/>
    </row>
    <row r="66" spans="1:9" ht="15.6" x14ac:dyDescent="0.3">
      <c r="A66" s="65">
        <f>A64+1</f>
        <v>52</v>
      </c>
      <c r="B66" s="66" t="s">
        <v>870</v>
      </c>
      <c r="C66" s="65" t="s">
        <v>194</v>
      </c>
      <c r="D66" s="70">
        <v>97</v>
      </c>
      <c r="E66" s="170">
        <v>728.8</v>
      </c>
      <c r="F66" s="101">
        <f t="shared" si="6"/>
        <v>70693.600000000006</v>
      </c>
      <c r="G66" s="101">
        <f t="shared" ref="G66:G67" si="9">ROUND(F66*1.2,2)</f>
        <v>84832.320000000007</v>
      </c>
    </row>
    <row r="67" spans="1:9" ht="15.6" x14ac:dyDescent="0.3">
      <c r="A67" s="65">
        <f>A66+1</f>
        <v>53</v>
      </c>
      <c r="B67" s="66" t="s">
        <v>858</v>
      </c>
      <c r="C67" s="65" t="s">
        <v>239</v>
      </c>
      <c r="D67" s="70">
        <v>3</v>
      </c>
      <c r="E67" s="170">
        <v>433.62</v>
      </c>
      <c r="F67" s="101">
        <f t="shared" si="6"/>
        <v>1300.8599999999999</v>
      </c>
      <c r="G67" s="101">
        <f t="shared" si="9"/>
        <v>1561.03</v>
      </c>
    </row>
    <row r="68" spans="1:9" ht="27.6" x14ac:dyDescent="0.3">
      <c r="A68" s="65">
        <f>A67+1</f>
        <v>54</v>
      </c>
      <c r="B68" s="66" t="s">
        <v>859</v>
      </c>
      <c r="C68" s="65" t="s">
        <v>239</v>
      </c>
      <c r="D68" s="70">
        <v>3</v>
      </c>
      <c r="E68" s="170">
        <v>312.27999999999997</v>
      </c>
      <c r="F68" s="101">
        <f t="shared" si="6"/>
        <v>936.84</v>
      </c>
      <c r="G68" s="101">
        <f t="shared" si="7"/>
        <v>1124.21</v>
      </c>
    </row>
    <row r="69" spans="1:9" ht="34.5" customHeight="1" x14ac:dyDescent="0.3">
      <c r="A69" s="153"/>
      <c r="B69" s="589" t="s">
        <v>739</v>
      </c>
      <c r="C69" s="590"/>
      <c r="D69" s="598"/>
      <c r="E69" s="154"/>
      <c r="F69" s="155"/>
      <c r="G69" s="167"/>
    </row>
    <row r="70" spans="1:9" x14ac:dyDescent="0.3">
      <c r="A70" s="65"/>
      <c r="B70" s="61" t="s">
        <v>513</v>
      </c>
      <c r="C70" s="65"/>
      <c r="D70" s="169"/>
      <c r="E70" s="164"/>
      <c r="F70" s="160"/>
      <c r="G70" s="168"/>
    </row>
    <row r="71" spans="1:9" ht="27.6" x14ac:dyDescent="0.3">
      <c r="A71" s="65">
        <f>A68+1</f>
        <v>55</v>
      </c>
      <c r="B71" s="66" t="s">
        <v>830</v>
      </c>
      <c r="C71" s="65" t="s">
        <v>193</v>
      </c>
      <c r="D71" s="70">
        <v>1202</v>
      </c>
      <c r="E71" s="170">
        <v>90.47</v>
      </c>
      <c r="F71" s="101">
        <f t="shared" ref="F71:F96" si="10">ROUND(E71*D71,2)</f>
        <v>108744.94</v>
      </c>
      <c r="G71" s="101">
        <f t="shared" ref="G71:G88" si="11">ROUND(F71*1.2,2)</f>
        <v>130493.93</v>
      </c>
      <c r="H71">
        <v>325</v>
      </c>
    </row>
    <row r="72" spans="1:9" ht="15.6" x14ac:dyDescent="0.3">
      <c r="A72" s="65">
        <f>A71+1</f>
        <v>56</v>
      </c>
      <c r="B72" s="66" t="s">
        <v>831</v>
      </c>
      <c r="C72" s="65" t="s">
        <v>193</v>
      </c>
      <c r="D72" s="70">
        <v>36</v>
      </c>
      <c r="E72" s="170">
        <v>1860.11</v>
      </c>
      <c r="F72" s="101">
        <f t="shared" si="10"/>
        <v>66963.960000000006</v>
      </c>
      <c r="G72" s="101">
        <f t="shared" si="11"/>
        <v>80356.75</v>
      </c>
      <c r="H72">
        <v>1777</v>
      </c>
    </row>
    <row r="73" spans="1:9" ht="15.6" x14ac:dyDescent="0.3">
      <c r="A73" s="65">
        <f t="shared" ref="A73:A80" si="12">A72+1</f>
        <v>57</v>
      </c>
      <c r="B73" s="66" t="s">
        <v>832</v>
      </c>
      <c r="C73" s="65" t="s">
        <v>193</v>
      </c>
      <c r="D73" s="70">
        <v>46</v>
      </c>
      <c r="E73" s="170">
        <v>1205.9100000000001</v>
      </c>
      <c r="F73" s="101">
        <f t="shared" si="10"/>
        <v>55471.86</v>
      </c>
      <c r="G73" s="101">
        <f t="shared" si="11"/>
        <v>66566.23</v>
      </c>
    </row>
    <row r="74" spans="1:9" ht="15.6" x14ac:dyDescent="0.3">
      <c r="A74" s="65">
        <f t="shared" si="12"/>
        <v>58</v>
      </c>
      <c r="B74" s="66" t="s">
        <v>521</v>
      </c>
      <c r="C74" s="65" t="s">
        <v>193</v>
      </c>
      <c r="D74" s="70">
        <v>8</v>
      </c>
      <c r="E74" s="170">
        <v>1456.66</v>
      </c>
      <c r="F74" s="101">
        <f t="shared" si="10"/>
        <v>11653.28</v>
      </c>
      <c r="G74" s="101">
        <f t="shared" si="11"/>
        <v>13983.94</v>
      </c>
      <c r="H74">
        <v>1379</v>
      </c>
    </row>
    <row r="75" spans="1:9" ht="15.6" x14ac:dyDescent="0.3">
      <c r="A75" s="65">
        <f t="shared" si="12"/>
        <v>59</v>
      </c>
      <c r="B75" s="66" t="s">
        <v>833</v>
      </c>
      <c r="C75" s="65" t="s">
        <v>193</v>
      </c>
      <c r="D75" s="70">
        <v>48</v>
      </c>
      <c r="E75" s="170">
        <v>856.54</v>
      </c>
      <c r="F75" s="101">
        <f t="shared" si="10"/>
        <v>41113.919999999998</v>
      </c>
      <c r="G75" s="101">
        <f t="shared" si="11"/>
        <v>49336.7</v>
      </c>
      <c r="H75">
        <v>1379</v>
      </c>
    </row>
    <row r="76" spans="1:9" ht="15.6" x14ac:dyDescent="0.3">
      <c r="A76" s="65">
        <f t="shared" si="12"/>
        <v>60</v>
      </c>
      <c r="B76" s="66" t="s">
        <v>871</v>
      </c>
      <c r="C76" s="65" t="s">
        <v>193</v>
      </c>
      <c r="D76" s="70">
        <v>1116</v>
      </c>
      <c r="E76" s="170">
        <v>9.73</v>
      </c>
      <c r="F76" s="101">
        <f t="shared" si="10"/>
        <v>10858.68</v>
      </c>
      <c r="G76" s="101">
        <f t="shared" si="11"/>
        <v>13030.42</v>
      </c>
      <c r="H76">
        <v>125</v>
      </c>
    </row>
    <row r="77" spans="1:9" ht="15.6" x14ac:dyDescent="0.3">
      <c r="A77" s="65">
        <f t="shared" si="12"/>
        <v>61</v>
      </c>
      <c r="B77" s="66" t="s">
        <v>451</v>
      </c>
      <c r="C77" s="65" t="s">
        <v>193</v>
      </c>
      <c r="D77" s="70">
        <v>1116</v>
      </c>
      <c r="E77" s="170">
        <v>197.58</v>
      </c>
      <c r="F77" s="101">
        <f t="shared" si="10"/>
        <v>220499.28</v>
      </c>
      <c r="G77" s="101">
        <f t="shared" si="11"/>
        <v>264599.14</v>
      </c>
      <c r="H77">
        <v>198</v>
      </c>
    </row>
    <row r="78" spans="1:9" ht="15.6" x14ac:dyDescent="0.3">
      <c r="A78" s="65">
        <f t="shared" si="12"/>
        <v>62</v>
      </c>
      <c r="B78" s="66" t="s">
        <v>872</v>
      </c>
      <c r="C78" s="65" t="s">
        <v>193</v>
      </c>
      <c r="D78" s="70">
        <v>59</v>
      </c>
      <c r="E78" s="170">
        <v>856.54</v>
      </c>
      <c r="F78" s="101">
        <f t="shared" si="10"/>
        <v>50535.86</v>
      </c>
      <c r="G78" s="101">
        <f t="shared" si="11"/>
        <v>60643.03</v>
      </c>
      <c r="H78">
        <v>899</v>
      </c>
    </row>
    <row r="79" spans="1:9" ht="27.6" x14ac:dyDescent="0.3">
      <c r="A79" s="65">
        <f t="shared" si="12"/>
        <v>63</v>
      </c>
      <c r="B79" s="66" t="s">
        <v>873</v>
      </c>
      <c r="C79" s="65" t="s">
        <v>239</v>
      </c>
      <c r="D79" s="71">
        <v>100.8</v>
      </c>
      <c r="E79" s="170">
        <v>67.760000000000005</v>
      </c>
      <c r="F79" s="101">
        <f t="shared" si="10"/>
        <v>6830.21</v>
      </c>
      <c r="G79" s="101">
        <f t="shared" si="11"/>
        <v>8196.25</v>
      </c>
      <c r="H79">
        <v>325</v>
      </c>
    </row>
    <row r="80" spans="1:9" ht="27.6" x14ac:dyDescent="0.3">
      <c r="A80" s="65">
        <f t="shared" si="12"/>
        <v>64</v>
      </c>
      <c r="B80" s="66" t="s">
        <v>835</v>
      </c>
      <c r="C80" s="65" t="s">
        <v>239</v>
      </c>
      <c r="D80" s="71">
        <v>100.8</v>
      </c>
      <c r="E80" s="170">
        <v>312.27999999999997</v>
      </c>
      <c r="F80" s="101">
        <f t="shared" si="10"/>
        <v>31477.82</v>
      </c>
      <c r="G80" s="101">
        <f t="shared" si="11"/>
        <v>37773.379999999997</v>
      </c>
      <c r="H80">
        <v>3460</v>
      </c>
      <c r="I80" s="209" t="s">
        <v>922</v>
      </c>
    </row>
    <row r="81" spans="1:7" ht="15.6" x14ac:dyDescent="0.3">
      <c r="A81" s="65"/>
      <c r="B81" s="61" t="s">
        <v>523</v>
      </c>
      <c r="C81" s="65"/>
      <c r="D81" s="67"/>
      <c r="E81" s="170"/>
      <c r="F81" s="101"/>
      <c r="G81" s="101"/>
    </row>
    <row r="82" spans="1:7" ht="27.6" x14ac:dyDescent="0.3">
      <c r="A82" s="65">
        <f>A80+1</f>
        <v>65</v>
      </c>
      <c r="B82" s="66" t="s">
        <v>874</v>
      </c>
      <c r="C82" s="65" t="s">
        <v>194</v>
      </c>
      <c r="D82" s="70">
        <v>82</v>
      </c>
      <c r="E82" s="170">
        <v>1494.21</v>
      </c>
      <c r="F82" s="101">
        <f t="shared" si="10"/>
        <v>122525.22</v>
      </c>
      <c r="G82" s="101">
        <f t="shared" si="11"/>
        <v>147030.26</v>
      </c>
    </row>
    <row r="83" spans="1:7" ht="27.6" x14ac:dyDescent="0.3">
      <c r="A83" s="65">
        <f>A82+1</f>
        <v>66</v>
      </c>
      <c r="B83" s="66" t="s">
        <v>875</v>
      </c>
      <c r="C83" s="65" t="s">
        <v>194</v>
      </c>
      <c r="D83" s="70">
        <v>41</v>
      </c>
      <c r="E83" s="170">
        <v>2559.31</v>
      </c>
      <c r="F83" s="101">
        <f t="shared" si="10"/>
        <v>104931.71</v>
      </c>
      <c r="G83" s="101">
        <f t="shared" si="11"/>
        <v>125918.05</v>
      </c>
    </row>
    <row r="84" spans="1:7" ht="15.6" x14ac:dyDescent="0.3">
      <c r="A84" s="65">
        <f t="shared" ref="A84:A92" si="13">A83+1</f>
        <v>67</v>
      </c>
      <c r="B84" s="66" t="s">
        <v>876</v>
      </c>
      <c r="C84" s="65"/>
      <c r="D84" s="70">
        <v>1</v>
      </c>
      <c r="E84" s="170">
        <v>1504.77</v>
      </c>
      <c r="F84" s="101">
        <f t="shared" si="10"/>
        <v>1504.77</v>
      </c>
      <c r="G84" s="101">
        <f t="shared" si="11"/>
        <v>1805.72</v>
      </c>
    </row>
    <row r="85" spans="1:7" ht="27.6" x14ac:dyDescent="0.3">
      <c r="A85" s="65">
        <f t="shared" si="13"/>
        <v>68</v>
      </c>
      <c r="B85" s="66" t="s">
        <v>877</v>
      </c>
      <c r="C85" s="65" t="s">
        <v>220</v>
      </c>
      <c r="D85" s="70">
        <v>2</v>
      </c>
      <c r="E85" s="170">
        <v>7253.94</v>
      </c>
      <c r="F85" s="101">
        <f t="shared" si="10"/>
        <v>14507.88</v>
      </c>
      <c r="G85" s="101">
        <f t="shared" si="11"/>
        <v>17409.46</v>
      </c>
    </row>
    <row r="86" spans="1:7" ht="27.6" x14ac:dyDescent="0.3">
      <c r="A86" s="65">
        <f t="shared" si="13"/>
        <v>69</v>
      </c>
      <c r="B86" s="66" t="s">
        <v>878</v>
      </c>
      <c r="C86" s="65" t="s">
        <v>220</v>
      </c>
      <c r="D86" s="70">
        <v>2</v>
      </c>
      <c r="E86" s="170">
        <v>6691.94</v>
      </c>
      <c r="F86" s="101">
        <f t="shared" si="10"/>
        <v>13383.88</v>
      </c>
      <c r="G86" s="101">
        <f t="shared" si="11"/>
        <v>16060.66</v>
      </c>
    </row>
    <row r="87" spans="1:7" ht="15.6" x14ac:dyDescent="0.3">
      <c r="A87" s="65">
        <f t="shared" si="13"/>
        <v>70</v>
      </c>
      <c r="B87" s="66" t="s">
        <v>865</v>
      </c>
      <c r="C87" s="65" t="s">
        <v>220</v>
      </c>
      <c r="D87" s="70">
        <v>24</v>
      </c>
      <c r="E87" s="170">
        <v>592.5</v>
      </c>
      <c r="F87" s="101">
        <f t="shared" si="10"/>
        <v>14220</v>
      </c>
      <c r="G87" s="101">
        <f t="shared" si="11"/>
        <v>17064</v>
      </c>
    </row>
    <row r="88" spans="1:7" ht="27.6" x14ac:dyDescent="0.3">
      <c r="A88" s="65">
        <f t="shared" si="13"/>
        <v>71</v>
      </c>
      <c r="B88" s="66" t="s">
        <v>843</v>
      </c>
      <c r="C88" s="65" t="s">
        <v>220</v>
      </c>
      <c r="D88" s="70">
        <v>24</v>
      </c>
      <c r="E88" s="170">
        <v>210.41</v>
      </c>
      <c r="F88" s="101">
        <f t="shared" si="10"/>
        <v>5049.84</v>
      </c>
      <c r="G88" s="101">
        <f t="shared" si="11"/>
        <v>6059.81</v>
      </c>
    </row>
    <row r="89" spans="1:7" ht="41.4" x14ac:dyDescent="0.3">
      <c r="A89" s="65">
        <f t="shared" si="13"/>
        <v>72</v>
      </c>
      <c r="B89" s="66" t="s">
        <v>879</v>
      </c>
      <c r="C89" s="65" t="s">
        <v>220</v>
      </c>
      <c r="D89" s="70">
        <v>2</v>
      </c>
      <c r="E89" s="170">
        <v>2752.92</v>
      </c>
      <c r="F89" s="101">
        <f t="shared" si="10"/>
        <v>5505.84</v>
      </c>
      <c r="G89" s="101">
        <f t="shared" ref="G89:G96" si="14">ROUND(F89*1.2,2)</f>
        <v>6607.01</v>
      </c>
    </row>
    <row r="90" spans="1:7" ht="41.4" x14ac:dyDescent="0.3">
      <c r="A90" s="65">
        <f t="shared" si="13"/>
        <v>73</v>
      </c>
      <c r="B90" s="66" t="s">
        <v>880</v>
      </c>
      <c r="C90" s="65" t="s">
        <v>220</v>
      </c>
      <c r="D90" s="70">
        <v>2</v>
      </c>
      <c r="E90" s="170">
        <v>5356.92</v>
      </c>
      <c r="F90" s="101">
        <f t="shared" si="10"/>
        <v>10713.84</v>
      </c>
      <c r="G90" s="101">
        <f t="shared" si="14"/>
        <v>12856.61</v>
      </c>
    </row>
    <row r="91" spans="1:7" ht="27.6" x14ac:dyDescent="0.3">
      <c r="A91" s="65">
        <f t="shared" si="13"/>
        <v>74</v>
      </c>
      <c r="B91" s="66" t="s">
        <v>881</v>
      </c>
      <c r="C91" s="65" t="s">
        <v>220</v>
      </c>
      <c r="D91" s="70">
        <v>6</v>
      </c>
      <c r="E91" s="170">
        <v>3397.3</v>
      </c>
      <c r="F91" s="101">
        <f t="shared" si="10"/>
        <v>20383.8</v>
      </c>
      <c r="G91" s="101">
        <f t="shared" si="14"/>
        <v>24460.560000000001</v>
      </c>
    </row>
    <row r="92" spans="1:7" ht="27.6" x14ac:dyDescent="0.3">
      <c r="A92" s="65">
        <f t="shared" si="13"/>
        <v>75</v>
      </c>
      <c r="B92" s="66" t="s">
        <v>850</v>
      </c>
      <c r="C92" s="65" t="s">
        <v>924</v>
      </c>
      <c r="D92" s="70">
        <v>1</v>
      </c>
      <c r="E92" s="170">
        <v>42094.04</v>
      </c>
      <c r="F92" s="101">
        <f t="shared" si="10"/>
        <v>42094.04</v>
      </c>
      <c r="G92" s="101">
        <f t="shared" si="14"/>
        <v>50512.85</v>
      </c>
    </row>
    <row r="93" spans="1:7" ht="15.6" x14ac:dyDescent="0.3">
      <c r="A93" s="65"/>
      <c r="B93" s="61" t="s">
        <v>856</v>
      </c>
      <c r="C93" s="65"/>
      <c r="D93" s="70"/>
      <c r="E93" s="170"/>
      <c r="F93" s="101"/>
      <c r="G93" s="101"/>
    </row>
    <row r="94" spans="1:7" ht="23.25" customHeight="1" x14ac:dyDescent="0.3">
      <c r="A94" s="65">
        <f>A92+1</f>
        <v>76</v>
      </c>
      <c r="B94" s="66" t="s">
        <v>882</v>
      </c>
      <c r="C94" s="65" t="s">
        <v>194</v>
      </c>
      <c r="D94" s="70">
        <v>85</v>
      </c>
      <c r="E94" s="170">
        <v>915.99</v>
      </c>
      <c r="F94" s="101">
        <f t="shared" si="10"/>
        <v>77859.149999999994</v>
      </c>
      <c r="G94" s="101">
        <f t="shared" si="14"/>
        <v>93430.98</v>
      </c>
    </row>
    <row r="95" spans="1:7" ht="15.6" x14ac:dyDescent="0.3">
      <c r="A95" s="65">
        <f>A94+1</f>
        <v>77</v>
      </c>
      <c r="B95" s="66" t="s">
        <v>858</v>
      </c>
      <c r="C95" s="65" t="s">
        <v>239</v>
      </c>
      <c r="D95" s="70">
        <v>4</v>
      </c>
      <c r="E95" s="170">
        <v>433.62</v>
      </c>
      <c r="F95" s="101">
        <f t="shared" si="10"/>
        <v>1734.48</v>
      </c>
      <c r="G95" s="101">
        <f t="shared" si="14"/>
        <v>2081.38</v>
      </c>
    </row>
    <row r="96" spans="1:7" ht="15.6" x14ac:dyDescent="0.3">
      <c r="A96" s="65">
        <f>A95+1</f>
        <v>78</v>
      </c>
      <c r="B96" s="66" t="s">
        <v>883</v>
      </c>
      <c r="C96" s="65" t="s">
        <v>239</v>
      </c>
      <c r="D96" s="70">
        <v>4</v>
      </c>
      <c r="E96" s="170">
        <v>312.27999999999997</v>
      </c>
      <c r="F96" s="101">
        <f t="shared" si="10"/>
        <v>1249.1199999999999</v>
      </c>
      <c r="G96" s="101">
        <f t="shared" si="14"/>
        <v>1498.94</v>
      </c>
    </row>
    <row r="97" spans="1:9" ht="32.25" customHeight="1" x14ac:dyDescent="0.3">
      <c r="A97" s="153"/>
      <c r="B97" s="589" t="s">
        <v>740</v>
      </c>
      <c r="C97" s="590"/>
      <c r="D97" s="598"/>
      <c r="E97" s="154"/>
      <c r="F97" s="155"/>
      <c r="G97" s="167"/>
    </row>
    <row r="98" spans="1:9" x14ac:dyDescent="0.3">
      <c r="A98" s="65"/>
      <c r="B98" s="61" t="s">
        <v>513</v>
      </c>
      <c r="C98" s="65"/>
      <c r="D98" s="70"/>
      <c r="E98" s="164"/>
      <c r="F98" s="160"/>
      <c r="G98" s="168"/>
    </row>
    <row r="99" spans="1:9" ht="27.6" x14ac:dyDescent="0.3">
      <c r="A99" s="65">
        <f>A96+1</f>
        <v>79</v>
      </c>
      <c r="B99" s="66" t="s">
        <v>830</v>
      </c>
      <c r="C99" s="65" t="s">
        <v>193</v>
      </c>
      <c r="D99" s="70">
        <v>1328</v>
      </c>
      <c r="E99" s="170">
        <v>90.47</v>
      </c>
      <c r="F99" s="101">
        <f t="shared" ref="F99:F120" si="15">ROUND(E99*D99,2)</f>
        <v>120144.16</v>
      </c>
      <c r="G99" s="101">
        <f t="shared" ref="G99:G120" si="16">ROUND(F99*1.2,2)</f>
        <v>144172.99</v>
      </c>
      <c r="H99">
        <v>325</v>
      </c>
    </row>
    <row r="100" spans="1:9" ht="15.6" x14ac:dyDescent="0.3">
      <c r="A100" s="65">
        <f>A99+1</f>
        <v>80</v>
      </c>
      <c r="B100" s="66" t="s">
        <v>831</v>
      </c>
      <c r="C100" s="65" t="s">
        <v>193</v>
      </c>
      <c r="D100" s="70">
        <v>40</v>
      </c>
      <c r="E100" s="170">
        <v>1860.11</v>
      </c>
      <c r="F100" s="101">
        <f t="shared" si="15"/>
        <v>74404.399999999994</v>
      </c>
      <c r="G100" s="101">
        <f t="shared" si="16"/>
        <v>89285.28</v>
      </c>
      <c r="H100">
        <v>1777</v>
      </c>
    </row>
    <row r="101" spans="1:9" ht="15.6" x14ac:dyDescent="0.3">
      <c r="A101" s="65">
        <f t="shared" ref="A101:A109" si="17">A100+1</f>
        <v>81</v>
      </c>
      <c r="B101" s="66" t="s">
        <v>832</v>
      </c>
      <c r="C101" s="65" t="s">
        <v>193</v>
      </c>
      <c r="D101" s="70">
        <v>15</v>
      </c>
      <c r="E101" s="170">
        <v>1155.67</v>
      </c>
      <c r="F101" s="101">
        <f t="shared" si="15"/>
        <v>17335.05</v>
      </c>
      <c r="G101" s="101">
        <f t="shared" si="16"/>
        <v>20802.060000000001</v>
      </c>
    </row>
    <row r="102" spans="1:9" ht="15.6" x14ac:dyDescent="0.3">
      <c r="A102" s="65">
        <f t="shared" si="17"/>
        <v>82</v>
      </c>
      <c r="B102" s="66" t="s">
        <v>521</v>
      </c>
      <c r="C102" s="65" t="s">
        <v>193</v>
      </c>
      <c r="D102" s="70">
        <v>4</v>
      </c>
      <c r="E102" s="170">
        <v>1456.66</v>
      </c>
      <c r="F102" s="101">
        <f t="shared" si="15"/>
        <v>5826.64</v>
      </c>
      <c r="G102" s="101">
        <f t="shared" si="16"/>
        <v>6991.97</v>
      </c>
      <c r="H102">
        <v>1379</v>
      </c>
    </row>
    <row r="103" spans="1:9" ht="15.6" x14ac:dyDescent="0.3">
      <c r="A103" s="65">
        <f t="shared" si="17"/>
        <v>83</v>
      </c>
      <c r="B103" s="66" t="s">
        <v>833</v>
      </c>
      <c r="C103" s="65" t="s">
        <v>193</v>
      </c>
      <c r="D103" s="70">
        <v>15</v>
      </c>
      <c r="E103" s="170">
        <v>856.54</v>
      </c>
      <c r="F103" s="101">
        <f t="shared" si="15"/>
        <v>12848.1</v>
      </c>
      <c r="G103" s="101">
        <f t="shared" si="16"/>
        <v>15417.72</v>
      </c>
      <c r="H103">
        <v>1379</v>
      </c>
    </row>
    <row r="104" spans="1:9" ht="15.6" x14ac:dyDescent="0.3">
      <c r="A104" s="65">
        <f t="shared" si="17"/>
        <v>84</v>
      </c>
      <c r="B104" s="66" t="s">
        <v>871</v>
      </c>
      <c r="C104" s="65" t="s">
        <v>193</v>
      </c>
      <c r="D104" s="70">
        <v>1280</v>
      </c>
      <c r="E104" s="170">
        <v>9.73</v>
      </c>
      <c r="F104" s="101">
        <f t="shared" si="15"/>
        <v>12454.4</v>
      </c>
      <c r="G104" s="101">
        <f t="shared" si="16"/>
        <v>14945.28</v>
      </c>
      <c r="H104">
        <v>125</v>
      </c>
    </row>
    <row r="105" spans="1:9" ht="15.6" x14ac:dyDescent="0.3">
      <c r="A105" s="65">
        <f t="shared" si="17"/>
        <v>85</v>
      </c>
      <c r="B105" s="66" t="s">
        <v>451</v>
      </c>
      <c r="C105" s="65" t="s">
        <v>193</v>
      </c>
      <c r="D105" s="70">
        <v>1280</v>
      </c>
      <c r="E105" s="170">
        <v>197.58</v>
      </c>
      <c r="F105" s="101">
        <f t="shared" si="15"/>
        <v>252902.39999999999</v>
      </c>
      <c r="G105" s="101">
        <f t="shared" si="16"/>
        <v>303482.88</v>
      </c>
      <c r="H105">
        <v>198</v>
      </c>
    </row>
    <row r="106" spans="1:9" ht="15.6" x14ac:dyDescent="0.3">
      <c r="A106" s="65">
        <f t="shared" si="17"/>
        <v>86</v>
      </c>
      <c r="B106" s="66" t="s">
        <v>872</v>
      </c>
      <c r="C106" s="65" t="s">
        <v>193</v>
      </c>
      <c r="D106" s="70">
        <v>67</v>
      </c>
      <c r="E106" s="170">
        <v>856.54</v>
      </c>
      <c r="F106" s="101">
        <f t="shared" si="15"/>
        <v>57388.18</v>
      </c>
      <c r="G106" s="101">
        <f t="shared" si="16"/>
        <v>68865.820000000007</v>
      </c>
      <c r="H106">
        <v>899</v>
      </c>
    </row>
    <row r="107" spans="1:9" ht="27.6" x14ac:dyDescent="0.3">
      <c r="A107" s="65">
        <f t="shared" si="17"/>
        <v>87</v>
      </c>
      <c r="B107" s="66" t="s">
        <v>873</v>
      </c>
      <c r="C107" s="65" t="s">
        <v>239</v>
      </c>
      <c r="D107" s="71">
        <v>33.6</v>
      </c>
      <c r="E107" s="170">
        <v>67.760000000000005</v>
      </c>
      <c r="F107" s="101">
        <f t="shared" si="15"/>
        <v>2276.7399999999998</v>
      </c>
      <c r="G107" s="101">
        <f t="shared" si="16"/>
        <v>2732.09</v>
      </c>
      <c r="H107">
        <v>325</v>
      </c>
    </row>
    <row r="108" spans="1:9" ht="27.6" x14ac:dyDescent="0.3">
      <c r="A108" s="65">
        <f t="shared" si="17"/>
        <v>88</v>
      </c>
      <c r="B108" s="66" t="s">
        <v>835</v>
      </c>
      <c r="C108" s="65" t="s">
        <v>239</v>
      </c>
      <c r="D108" s="71">
        <v>33.6</v>
      </c>
      <c r="E108" s="170">
        <v>312.27999999999997</v>
      </c>
      <c r="F108" s="101">
        <f t="shared" si="15"/>
        <v>10492.61</v>
      </c>
      <c r="G108" s="101">
        <f t="shared" si="16"/>
        <v>12591.13</v>
      </c>
      <c r="H108">
        <v>3460</v>
      </c>
      <c r="I108" s="209" t="s">
        <v>922</v>
      </c>
    </row>
    <row r="109" spans="1:9" ht="27.6" x14ac:dyDescent="0.3">
      <c r="A109" s="65">
        <f t="shared" si="17"/>
        <v>89</v>
      </c>
      <c r="B109" s="66" t="s">
        <v>884</v>
      </c>
      <c r="C109" s="65" t="s">
        <v>431</v>
      </c>
      <c r="D109" s="70">
        <v>127</v>
      </c>
      <c r="E109" s="170">
        <v>306.77</v>
      </c>
      <c r="F109" s="101">
        <f t="shared" si="15"/>
        <v>38959.79</v>
      </c>
      <c r="G109" s="101">
        <f t="shared" si="16"/>
        <v>46751.75</v>
      </c>
    </row>
    <row r="110" spans="1:9" ht="21.75" customHeight="1" x14ac:dyDescent="0.3">
      <c r="A110" s="65"/>
      <c r="B110" s="61" t="s">
        <v>523</v>
      </c>
      <c r="C110" s="65"/>
      <c r="D110" s="70"/>
      <c r="E110" s="170"/>
      <c r="F110" s="101"/>
      <c r="G110" s="101"/>
    </row>
    <row r="111" spans="1:9" ht="27.6" x14ac:dyDescent="0.3">
      <c r="A111" s="65">
        <f>A109+1</f>
        <v>90</v>
      </c>
      <c r="B111" s="66" t="s">
        <v>885</v>
      </c>
      <c r="C111" s="65" t="s">
        <v>194</v>
      </c>
      <c r="D111" s="70">
        <v>42</v>
      </c>
      <c r="E111" s="170">
        <v>1045.03</v>
      </c>
      <c r="F111" s="101">
        <f t="shared" si="15"/>
        <v>43891.26</v>
      </c>
      <c r="G111" s="101">
        <f t="shared" si="16"/>
        <v>52669.51</v>
      </c>
    </row>
    <row r="112" spans="1:9" ht="41.4" x14ac:dyDescent="0.3">
      <c r="A112" s="65">
        <f>A111+1</f>
        <v>91</v>
      </c>
      <c r="B112" s="66" t="s">
        <v>886</v>
      </c>
      <c r="C112" s="65" t="s">
        <v>194</v>
      </c>
      <c r="D112" s="70">
        <v>6</v>
      </c>
      <c r="E112" s="170">
        <v>1960.07</v>
      </c>
      <c r="F112" s="101">
        <f t="shared" si="15"/>
        <v>11760.42</v>
      </c>
      <c r="G112" s="101">
        <f t="shared" si="16"/>
        <v>14112.5</v>
      </c>
    </row>
    <row r="113" spans="1:8" ht="41.4" x14ac:dyDescent="0.3">
      <c r="A113" s="65">
        <f t="shared" ref="A113:A116" si="18">A112+1</f>
        <v>92</v>
      </c>
      <c r="B113" s="66" t="s">
        <v>887</v>
      </c>
      <c r="C113" s="65" t="s">
        <v>220</v>
      </c>
      <c r="D113" s="70">
        <v>2</v>
      </c>
      <c r="E113" s="170">
        <v>1871.48</v>
      </c>
      <c r="F113" s="101">
        <f t="shared" si="15"/>
        <v>3742.96</v>
      </c>
      <c r="G113" s="101">
        <f t="shared" si="16"/>
        <v>4491.55</v>
      </c>
    </row>
    <row r="114" spans="1:8" ht="41.4" x14ac:dyDescent="0.3">
      <c r="A114" s="65">
        <f t="shared" si="18"/>
        <v>93</v>
      </c>
      <c r="B114" s="66" t="s">
        <v>888</v>
      </c>
      <c r="C114" s="65" t="s">
        <v>220</v>
      </c>
      <c r="D114" s="70">
        <v>2</v>
      </c>
      <c r="E114" s="170">
        <v>6085.16</v>
      </c>
      <c r="F114" s="101">
        <f t="shared" si="15"/>
        <v>12170.32</v>
      </c>
      <c r="G114" s="101">
        <f t="shared" si="16"/>
        <v>14604.38</v>
      </c>
    </row>
    <row r="115" spans="1:8" ht="27.6" x14ac:dyDescent="0.3">
      <c r="A115" s="65">
        <f t="shared" si="18"/>
        <v>94</v>
      </c>
      <c r="B115" s="66" t="s">
        <v>849</v>
      </c>
      <c r="C115" s="65" t="s">
        <v>220</v>
      </c>
      <c r="D115" s="70">
        <v>1</v>
      </c>
      <c r="E115" s="170">
        <v>3397.31</v>
      </c>
      <c r="F115" s="101">
        <f t="shared" si="15"/>
        <v>3397.31</v>
      </c>
      <c r="G115" s="101">
        <f t="shared" si="16"/>
        <v>4076.77</v>
      </c>
    </row>
    <row r="116" spans="1:8" ht="30" customHeight="1" x14ac:dyDescent="0.3">
      <c r="A116" s="65">
        <f t="shared" si="18"/>
        <v>95</v>
      </c>
      <c r="B116" s="66" t="s">
        <v>850</v>
      </c>
      <c r="C116" s="65" t="s">
        <v>924</v>
      </c>
      <c r="D116" s="70">
        <v>1</v>
      </c>
      <c r="E116" s="170">
        <v>30624.26</v>
      </c>
      <c r="F116" s="101">
        <f t="shared" si="15"/>
        <v>30624.26</v>
      </c>
      <c r="G116" s="101">
        <f t="shared" si="16"/>
        <v>36749.11</v>
      </c>
    </row>
    <row r="117" spans="1:8" ht="22.5" customHeight="1" x14ac:dyDescent="0.3">
      <c r="A117" s="65"/>
      <c r="B117" s="61" t="s">
        <v>856</v>
      </c>
      <c r="C117" s="65"/>
      <c r="D117" s="70"/>
      <c r="E117" s="170"/>
      <c r="F117" s="101"/>
      <c r="G117" s="101"/>
    </row>
    <row r="118" spans="1:8" ht="15.6" x14ac:dyDescent="0.3">
      <c r="A118" s="65">
        <f>A116+1</f>
        <v>96</v>
      </c>
      <c r="B118" s="66" t="s">
        <v>889</v>
      </c>
      <c r="C118" s="65" t="s">
        <v>194</v>
      </c>
      <c r="D118" s="70">
        <v>42</v>
      </c>
      <c r="E118" s="170">
        <v>728.05</v>
      </c>
      <c r="F118" s="101">
        <f t="shared" si="15"/>
        <v>30578.1</v>
      </c>
      <c r="G118" s="101">
        <f t="shared" si="16"/>
        <v>36693.72</v>
      </c>
    </row>
    <row r="119" spans="1:8" ht="15.6" x14ac:dyDescent="0.3">
      <c r="A119" s="65">
        <f>A118+1</f>
        <v>97</v>
      </c>
      <c r="B119" s="66" t="s">
        <v>891</v>
      </c>
      <c r="C119" s="65" t="s">
        <v>239</v>
      </c>
      <c r="D119" s="71">
        <v>0.6</v>
      </c>
      <c r="E119" s="170">
        <v>436.17</v>
      </c>
      <c r="F119" s="101">
        <f t="shared" si="15"/>
        <v>261.7</v>
      </c>
      <c r="G119" s="101">
        <f t="shared" si="16"/>
        <v>314.04000000000002</v>
      </c>
    </row>
    <row r="120" spans="1:8" ht="15.6" x14ac:dyDescent="0.3">
      <c r="A120" s="65">
        <f>A119+1</f>
        <v>98</v>
      </c>
      <c r="B120" s="66" t="s">
        <v>890</v>
      </c>
      <c r="C120" s="65" t="s">
        <v>239</v>
      </c>
      <c r="D120" s="71">
        <v>0.6</v>
      </c>
      <c r="E120" s="170">
        <v>312.27999999999997</v>
      </c>
      <c r="F120" s="101">
        <f t="shared" si="15"/>
        <v>187.37</v>
      </c>
      <c r="G120" s="101">
        <f t="shared" si="16"/>
        <v>224.84</v>
      </c>
    </row>
    <row r="121" spans="1:8" ht="33.75" customHeight="1" x14ac:dyDescent="0.3">
      <c r="A121" s="153"/>
      <c r="B121" s="589" t="s">
        <v>741</v>
      </c>
      <c r="C121" s="590"/>
      <c r="D121" s="598"/>
      <c r="E121" s="154"/>
      <c r="F121" s="155"/>
      <c r="G121" s="167"/>
    </row>
    <row r="122" spans="1:8" x14ac:dyDescent="0.3">
      <c r="A122" s="65"/>
      <c r="B122" s="61" t="s">
        <v>513</v>
      </c>
      <c r="C122" s="65"/>
      <c r="D122" s="70"/>
      <c r="E122" s="164"/>
      <c r="F122" s="160"/>
      <c r="G122" s="168"/>
    </row>
    <row r="123" spans="1:8" ht="27.6" x14ac:dyDescent="0.3">
      <c r="A123" s="65">
        <f>A120+1</f>
        <v>99</v>
      </c>
      <c r="B123" s="66" t="s">
        <v>830</v>
      </c>
      <c r="C123" s="65" t="s">
        <v>193</v>
      </c>
      <c r="D123" s="70">
        <v>835</v>
      </c>
      <c r="E123" s="170">
        <v>90.47</v>
      </c>
      <c r="F123" s="101">
        <f t="shared" ref="F123:F139" si="19">ROUND(E123*D123,2)</f>
        <v>75542.45</v>
      </c>
      <c r="G123" s="101">
        <f t="shared" ref="G123:G139" si="20">ROUND(F123*1.2,2)</f>
        <v>90650.94</v>
      </c>
      <c r="H123">
        <v>325</v>
      </c>
    </row>
    <row r="124" spans="1:8" ht="15.6" x14ac:dyDescent="0.3">
      <c r="A124" s="65">
        <f>A123+1</f>
        <v>100</v>
      </c>
      <c r="B124" s="66" t="s">
        <v>831</v>
      </c>
      <c r="C124" s="65" t="s">
        <v>193</v>
      </c>
      <c r="D124" s="70">
        <v>25</v>
      </c>
      <c r="E124" s="170">
        <v>1860.11</v>
      </c>
      <c r="F124" s="101">
        <f t="shared" si="19"/>
        <v>46502.75</v>
      </c>
      <c r="G124" s="101">
        <f t="shared" si="20"/>
        <v>55803.3</v>
      </c>
      <c r="H124">
        <v>1777</v>
      </c>
    </row>
    <row r="125" spans="1:8" ht="15.6" x14ac:dyDescent="0.3">
      <c r="A125" s="65">
        <f>A124+1</f>
        <v>101</v>
      </c>
      <c r="B125" s="66" t="s">
        <v>832</v>
      </c>
      <c r="C125" s="65" t="s">
        <v>193</v>
      </c>
      <c r="D125" s="70">
        <v>9</v>
      </c>
      <c r="E125" s="170">
        <v>1155.67</v>
      </c>
      <c r="F125" s="101">
        <f t="shared" si="19"/>
        <v>10401.030000000001</v>
      </c>
      <c r="G125" s="101">
        <f t="shared" si="20"/>
        <v>12481.24</v>
      </c>
    </row>
    <row r="126" spans="1:8" ht="15.6" x14ac:dyDescent="0.3">
      <c r="A126" s="65">
        <f t="shared" ref="A126:A132" si="21">A125+1</f>
        <v>102</v>
      </c>
      <c r="B126" s="66" t="s">
        <v>521</v>
      </c>
      <c r="C126" s="65" t="s">
        <v>193</v>
      </c>
      <c r="D126" s="70">
        <v>2</v>
      </c>
      <c r="E126" s="170">
        <v>1456.66</v>
      </c>
      <c r="F126" s="101">
        <f t="shared" si="19"/>
        <v>2913.32</v>
      </c>
      <c r="G126" s="101">
        <f t="shared" si="20"/>
        <v>3495.98</v>
      </c>
      <c r="H126">
        <v>1379</v>
      </c>
    </row>
    <row r="127" spans="1:8" ht="15.6" x14ac:dyDescent="0.3">
      <c r="A127" s="65">
        <f t="shared" si="21"/>
        <v>103</v>
      </c>
      <c r="B127" s="66" t="s">
        <v>833</v>
      </c>
      <c r="C127" s="65" t="s">
        <v>193</v>
      </c>
      <c r="D127" s="70">
        <v>9</v>
      </c>
      <c r="E127" s="170">
        <v>856.54</v>
      </c>
      <c r="F127" s="101">
        <f t="shared" si="19"/>
        <v>7708.86</v>
      </c>
      <c r="G127" s="101">
        <f t="shared" si="20"/>
        <v>9250.6299999999992</v>
      </c>
      <c r="H127">
        <v>1379</v>
      </c>
    </row>
    <row r="128" spans="1:8" ht="15.6" x14ac:dyDescent="0.3">
      <c r="A128" s="65">
        <f t="shared" si="21"/>
        <v>104</v>
      </c>
      <c r="B128" s="66" t="s">
        <v>871</v>
      </c>
      <c r="C128" s="65" t="s">
        <v>193</v>
      </c>
      <c r="D128" s="70">
        <v>805</v>
      </c>
      <c r="E128" s="170">
        <v>9.73</v>
      </c>
      <c r="F128" s="101">
        <f t="shared" si="19"/>
        <v>7832.65</v>
      </c>
      <c r="G128" s="101">
        <f t="shared" si="20"/>
        <v>9399.18</v>
      </c>
      <c r="H128">
        <v>125</v>
      </c>
    </row>
    <row r="129" spans="1:9" ht="15.6" x14ac:dyDescent="0.3">
      <c r="A129" s="65">
        <f t="shared" si="21"/>
        <v>105</v>
      </c>
      <c r="B129" s="66" t="s">
        <v>451</v>
      </c>
      <c r="C129" s="65" t="s">
        <v>193</v>
      </c>
      <c r="D129" s="70">
        <v>805</v>
      </c>
      <c r="E129" s="170">
        <v>197.58</v>
      </c>
      <c r="F129" s="101">
        <f t="shared" si="19"/>
        <v>159051.9</v>
      </c>
      <c r="G129" s="101">
        <f t="shared" si="20"/>
        <v>190862.28</v>
      </c>
      <c r="H129">
        <v>198</v>
      </c>
    </row>
    <row r="130" spans="1:9" ht="15.6" x14ac:dyDescent="0.3">
      <c r="A130" s="65">
        <f t="shared" si="21"/>
        <v>106</v>
      </c>
      <c r="B130" s="66" t="s">
        <v>872</v>
      </c>
      <c r="C130" s="65" t="s">
        <v>193</v>
      </c>
      <c r="D130" s="70">
        <v>42</v>
      </c>
      <c r="E130" s="170">
        <v>856.54</v>
      </c>
      <c r="F130" s="101">
        <f t="shared" si="19"/>
        <v>35974.68</v>
      </c>
      <c r="G130" s="101">
        <f t="shared" si="20"/>
        <v>43169.62</v>
      </c>
      <c r="H130">
        <v>899</v>
      </c>
    </row>
    <row r="131" spans="1:9" ht="27.6" x14ac:dyDescent="0.3">
      <c r="A131" s="65">
        <f t="shared" si="21"/>
        <v>107</v>
      </c>
      <c r="B131" s="66" t="s">
        <v>873</v>
      </c>
      <c r="C131" s="65" t="s">
        <v>239</v>
      </c>
      <c r="D131" s="71">
        <v>20.8</v>
      </c>
      <c r="E131" s="170">
        <v>67.760000000000005</v>
      </c>
      <c r="F131" s="101">
        <f t="shared" si="19"/>
        <v>1409.41</v>
      </c>
      <c r="G131" s="101">
        <f t="shared" si="20"/>
        <v>1691.29</v>
      </c>
      <c r="H131">
        <v>325</v>
      </c>
    </row>
    <row r="132" spans="1:9" ht="27.6" x14ac:dyDescent="0.3">
      <c r="A132" s="65">
        <f t="shared" si="21"/>
        <v>108</v>
      </c>
      <c r="B132" s="66" t="s">
        <v>835</v>
      </c>
      <c r="C132" s="65" t="s">
        <v>239</v>
      </c>
      <c r="D132" s="71">
        <v>20.8</v>
      </c>
      <c r="E132" s="170">
        <v>312.27999999999997</v>
      </c>
      <c r="F132" s="101">
        <f t="shared" si="19"/>
        <v>6495.42</v>
      </c>
      <c r="G132" s="101">
        <f t="shared" si="20"/>
        <v>7794.5</v>
      </c>
      <c r="H132">
        <v>3460</v>
      </c>
      <c r="I132" s="209" t="s">
        <v>922</v>
      </c>
    </row>
    <row r="133" spans="1:9" ht="22.5" customHeight="1" x14ac:dyDescent="0.3">
      <c r="A133" s="65"/>
      <c r="B133" s="61" t="s">
        <v>523</v>
      </c>
      <c r="C133" s="65"/>
      <c r="D133" s="71"/>
      <c r="E133" s="170"/>
      <c r="F133" s="101"/>
      <c r="G133" s="101"/>
    </row>
    <row r="134" spans="1:9" ht="27.6" x14ac:dyDescent="0.3">
      <c r="A134" s="65">
        <f>A132+1</f>
        <v>109</v>
      </c>
      <c r="B134" s="66" t="s">
        <v>885</v>
      </c>
      <c r="C134" s="65" t="s">
        <v>194</v>
      </c>
      <c r="D134" s="70">
        <v>23</v>
      </c>
      <c r="E134" s="170">
        <v>1045.03</v>
      </c>
      <c r="F134" s="101">
        <f t="shared" si="19"/>
        <v>24035.69</v>
      </c>
      <c r="G134" s="101">
        <f t="shared" si="20"/>
        <v>28842.83</v>
      </c>
    </row>
    <row r="135" spans="1:9" ht="41.4" x14ac:dyDescent="0.3">
      <c r="A135" s="65">
        <f>A134+1</f>
        <v>110</v>
      </c>
      <c r="B135" s="66" t="s">
        <v>892</v>
      </c>
      <c r="C135" s="65" t="s">
        <v>194</v>
      </c>
      <c r="D135" s="70">
        <v>6</v>
      </c>
      <c r="E135" s="170">
        <v>1960.07</v>
      </c>
      <c r="F135" s="101">
        <f t="shared" si="19"/>
        <v>11760.42</v>
      </c>
      <c r="G135" s="101">
        <f t="shared" si="20"/>
        <v>14112.5</v>
      </c>
    </row>
    <row r="136" spans="1:9" ht="41.4" x14ac:dyDescent="0.3">
      <c r="A136" s="65">
        <f t="shared" ref="A136:A139" si="22">A135+1</f>
        <v>111</v>
      </c>
      <c r="B136" s="66" t="s">
        <v>887</v>
      </c>
      <c r="C136" s="65" t="s">
        <v>220</v>
      </c>
      <c r="D136" s="70">
        <v>4</v>
      </c>
      <c r="E136" s="170">
        <v>1871.49</v>
      </c>
      <c r="F136" s="101">
        <f t="shared" si="19"/>
        <v>7485.96</v>
      </c>
      <c r="G136" s="101">
        <f t="shared" si="20"/>
        <v>8983.15</v>
      </c>
    </row>
    <row r="137" spans="1:9" ht="41.4" x14ac:dyDescent="0.3">
      <c r="A137" s="65">
        <f t="shared" si="22"/>
        <v>112</v>
      </c>
      <c r="B137" s="66" t="s">
        <v>888</v>
      </c>
      <c r="C137" s="65" t="s">
        <v>220</v>
      </c>
      <c r="D137" s="70">
        <v>4</v>
      </c>
      <c r="E137" s="170">
        <v>6085.15</v>
      </c>
      <c r="F137" s="101">
        <f t="shared" si="19"/>
        <v>24340.6</v>
      </c>
      <c r="G137" s="101">
        <f t="shared" si="20"/>
        <v>29208.720000000001</v>
      </c>
    </row>
    <row r="138" spans="1:9" ht="27.6" x14ac:dyDescent="0.3">
      <c r="A138" s="65">
        <f t="shared" si="22"/>
        <v>113</v>
      </c>
      <c r="B138" s="66" t="s">
        <v>849</v>
      </c>
      <c r="C138" s="65" t="s">
        <v>220</v>
      </c>
      <c r="D138" s="70">
        <v>1</v>
      </c>
      <c r="E138" s="170">
        <v>3397.31</v>
      </c>
      <c r="F138" s="101">
        <f t="shared" si="19"/>
        <v>3397.31</v>
      </c>
      <c r="G138" s="101">
        <f t="shared" si="20"/>
        <v>4076.77</v>
      </c>
    </row>
    <row r="139" spans="1:9" ht="27.6" x14ac:dyDescent="0.3">
      <c r="A139" s="65">
        <f t="shared" si="22"/>
        <v>114</v>
      </c>
      <c r="B139" s="66" t="s">
        <v>850</v>
      </c>
      <c r="C139" s="65" t="s">
        <v>924</v>
      </c>
      <c r="D139" s="70">
        <v>1</v>
      </c>
      <c r="E139" s="170">
        <v>30624.26</v>
      </c>
      <c r="F139" s="101">
        <f t="shared" si="19"/>
        <v>30624.26</v>
      </c>
      <c r="G139" s="101">
        <f t="shared" si="20"/>
        <v>36749.11</v>
      </c>
    </row>
    <row r="140" spans="1:9" ht="34.5" customHeight="1" x14ac:dyDescent="0.3">
      <c r="A140" s="153"/>
      <c r="B140" s="589" t="s">
        <v>742</v>
      </c>
      <c r="C140" s="590"/>
      <c r="D140" s="598"/>
      <c r="E140" s="154"/>
      <c r="F140" s="155"/>
      <c r="G140" s="167"/>
    </row>
    <row r="141" spans="1:9" ht="25.5" customHeight="1" x14ac:dyDescent="0.3">
      <c r="A141" s="65"/>
      <c r="B141" s="61" t="s">
        <v>513</v>
      </c>
      <c r="C141" s="65"/>
      <c r="D141" s="70"/>
      <c r="E141" s="87"/>
      <c r="F141" s="160"/>
      <c r="G141" s="168"/>
    </row>
    <row r="142" spans="1:9" ht="27.6" x14ac:dyDescent="0.3">
      <c r="A142" s="65">
        <f>A139+1</f>
        <v>115</v>
      </c>
      <c r="B142" s="66" t="s">
        <v>830</v>
      </c>
      <c r="C142" s="65" t="s">
        <v>193</v>
      </c>
      <c r="D142" s="70">
        <v>845</v>
      </c>
      <c r="E142" s="170">
        <v>90.47</v>
      </c>
      <c r="F142" s="101">
        <f t="shared" ref="F142:F162" si="23">ROUND(E142*D142,2)</f>
        <v>76447.149999999994</v>
      </c>
      <c r="G142" s="101">
        <f t="shared" ref="G142:G162" si="24">ROUND(F142*1.2,2)</f>
        <v>91736.58</v>
      </c>
      <c r="H142">
        <v>325</v>
      </c>
    </row>
    <row r="143" spans="1:9" ht="15.6" x14ac:dyDescent="0.3">
      <c r="A143" s="65">
        <f>A142+1</f>
        <v>116</v>
      </c>
      <c r="B143" s="66" t="s">
        <v>831</v>
      </c>
      <c r="C143" s="65" t="s">
        <v>193</v>
      </c>
      <c r="D143" s="70">
        <v>25</v>
      </c>
      <c r="E143" s="170">
        <v>1860.11</v>
      </c>
      <c r="F143" s="101">
        <f t="shared" si="23"/>
        <v>46502.75</v>
      </c>
      <c r="G143" s="101">
        <f t="shared" si="24"/>
        <v>55803.3</v>
      </c>
      <c r="H143">
        <v>1777</v>
      </c>
    </row>
    <row r="144" spans="1:9" ht="15.6" x14ac:dyDescent="0.3">
      <c r="A144" s="65">
        <f>A143+1</f>
        <v>117</v>
      </c>
      <c r="B144" s="66" t="s">
        <v>832</v>
      </c>
      <c r="C144" s="65" t="s">
        <v>193</v>
      </c>
      <c r="D144" s="70">
        <v>37</v>
      </c>
      <c r="E144" s="170">
        <v>1155.67</v>
      </c>
      <c r="F144" s="101">
        <f t="shared" si="23"/>
        <v>42759.79</v>
      </c>
      <c r="G144" s="101">
        <f t="shared" si="24"/>
        <v>51311.75</v>
      </c>
    </row>
    <row r="145" spans="1:9" ht="15.6" x14ac:dyDescent="0.3">
      <c r="A145" s="65">
        <f t="shared" ref="A145:A151" si="25">A144+1</f>
        <v>118</v>
      </c>
      <c r="B145" s="66" t="s">
        <v>521</v>
      </c>
      <c r="C145" s="65" t="s">
        <v>193</v>
      </c>
      <c r="D145" s="70">
        <v>5</v>
      </c>
      <c r="E145" s="170">
        <v>1456.65</v>
      </c>
      <c r="F145" s="101">
        <f t="shared" si="23"/>
        <v>7283.25</v>
      </c>
      <c r="G145" s="101">
        <f t="shared" si="24"/>
        <v>8739.9</v>
      </c>
      <c r="H145">
        <v>1379</v>
      </c>
    </row>
    <row r="146" spans="1:9" ht="15.6" x14ac:dyDescent="0.3">
      <c r="A146" s="65">
        <f t="shared" si="25"/>
        <v>119</v>
      </c>
      <c r="B146" s="66" t="s">
        <v>833</v>
      </c>
      <c r="C146" s="65" t="s">
        <v>193</v>
      </c>
      <c r="D146" s="70">
        <v>37</v>
      </c>
      <c r="E146" s="170">
        <v>856.54</v>
      </c>
      <c r="F146" s="101">
        <f t="shared" si="23"/>
        <v>31691.98</v>
      </c>
      <c r="G146" s="101">
        <f t="shared" si="24"/>
        <v>38030.379999999997</v>
      </c>
      <c r="H146">
        <v>1379</v>
      </c>
    </row>
    <row r="147" spans="1:9" ht="15.6" x14ac:dyDescent="0.3">
      <c r="A147" s="65">
        <f t="shared" si="25"/>
        <v>120</v>
      </c>
      <c r="B147" s="66" t="s">
        <v>871</v>
      </c>
      <c r="C147" s="65" t="s">
        <v>193</v>
      </c>
      <c r="D147" s="70">
        <v>761</v>
      </c>
      <c r="E147" s="170">
        <v>9.73</v>
      </c>
      <c r="F147" s="101">
        <f t="shared" si="23"/>
        <v>7404.53</v>
      </c>
      <c r="G147" s="101">
        <f t="shared" si="24"/>
        <v>8885.44</v>
      </c>
      <c r="H147">
        <v>125</v>
      </c>
    </row>
    <row r="148" spans="1:9" ht="15.6" x14ac:dyDescent="0.3">
      <c r="A148" s="65">
        <f t="shared" si="25"/>
        <v>121</v>
      </c>
      <c r="B148" s="66" t="s">
        <v>451</v>
      </c>
      <c r="C148" s="65" t="s">
        <v>193</v>
      </c>
      <c r="D148" s="70">
        <v>761</v>
      </c>
      <c r="E148" s="170">
        <v>197.58</v>
      </c>
      <c r="F148" s="101">
        <f t="shared" si="23"/>
        <v>150358.38</v>
      </c>
      <c r="G148" s="101">
        <f t="shared" si="24"/>
        <v>180430.06</v>
      </c>
      <c r="H148">
        <v>198</v>
      </c>
    </row>
    <row r="149" spans="1:9" ht="15.6" x14ac:dyDescent="0.3">
      <c r="A149" s="65">
        <f t="shared" si="25"/>
        <v>122</v>
      </c>
      <c r="B149" s="66" t="s">
        <v>872</v>
      </c>
      <c r="C149" s="65" t="s">
        <v>193</v>
      </c>
      <c r="D149" s="70">
        <v>40</v>
      </c>
      <c r="E149" s="170">
        <v>856.54</v>
      </c>
      <c r="F149" s="101">
        <f t="shared" si="23"/>
        <v>34261.599999999999</v>
      </c>
      <c r="G149" s="101">
        <f t="shared" si="24"/>
        <v>41113.919999999998</v>
      </c>
      <c r="H149">
        <v>899</v>
      </c>
    </row>
    <row r="150" spans="1:9" ht="27.6" x14ac:dyDescent="0.3">
      <c r="A150" s="65">
        <f t="shared" si="25"/>
        <v>123</v>
      </c>
      <c r="B150" s="66" t="s">
        <v>873</v>
      </c>
      <c r="C150" s="65" t="s">
        <v>239</v>
      </c>
      <c r="D150" s="71">
        <v>110.4</v>
      </c>
      <c r="E150" s="170">
        <v>67.760000000000005</v>
      </c>
      <c r="F150" s="101">
        <f t="shared" si="23"/>
        <v>7480.7</v>
      </c>
      <c r="G150" s="101">
        <f t="shared" si="24"/>
        <v>8976.84</v>
      </c>
      <c r="H150">
        <v>325</v>
      </c>
    </row>
    <row r="151" spans="1:9" ht="27.6" x14ac:dyDescent="0.3">
      <c r="A151" s="65">
        <f t="shared" si="25"/>
        <v>124</v>
      </c>
      <c r="B151" s="66" t="s">
        <v>835</v>
      </c>
      <c r="C151" s="65" t="s">
        <v>239</v>
      </c>
      <c r="D151" s="71">
        <v>110.4</v>
      </c>
      <c r="E151" s="170">
        <v>312.27999999999997</v>
      </c>
      <c r="F151" s="101">
        <f t="shared" si="23"/>
        <v>34475.71</v>
      </c>
      <c r="G151" s="101">
        <f t="shared" si="24"/>
        <v>41370.85</v>
      </c>
      <c r="H151">
        <v>3460</v>
      </c>
      <c r="I151" s="209" t="s">
        <v>922</v>
      </c>
    </row>
    <row r="152" spans="1:9" ht="22.5" customHeight="1" x14ac:dyDescent="0.3">
      <c r="A152" s="65"/>
      <c r="B152" s="61" t="s">
        <v>523</v>
      </c>
      <c r="C152" s="65"/>
      <c r="D152" s="70"/>
      <c r="E152" s="170"/>
      <c r="F152" s="101"/>
      <c r="G152" s="101"/>
    </row>
    <row r="153" spans="1:9" ht="27.6" x14ac:dyDescent="0.3">
      <c r="A153" s="65">
        <f>A151+1</f>
        <v>125</v>
      </c>
      <c r="B153" s="66" t="s">
        <v>893</v>
      </c>
      <c r="C153" s="65" t="s">
        <v>194</v>
      </c>
      <c r="D153" s="70">
        <v>31</v>
      </c>
      <c r="E153" s="170">
        <v>4746.51</v>
      </c>
      <c r="F153" s="101">
        <f t="shared" si="23"/>
        <v>147141.81</v>
      </c>
      <c r="G153" s="101">
        <f t="shared" si="24"/>
        <v>176570.17</v>
      </c>
    </row>
    <row r="154" spans="1:9" ht="41.4" x14ac:dyDescent="0.3">
      <c r="A154" s="65">
        <f t="shared" ref="A154:A162" si="26">A153+1</f>
        <v>126</v>
      </c>
      <c r="B154" s="66" t="s">
        <v>894</v>
      </c>
      <c r="C154" s="65" t="s">
        <v>194</v>
      </c>
      <c r="D154" s="70">
        <v>6</v>
      </c>
      <c r="E154" s="170">
        <v>8366.0300000000007</v>
      </c>
      <c r="F154" s="101">
        <f t="shared" si="23"/>
        <v>50196.18</v>
      </c>
      <c r="G154" s="101">
        <f t="shared" si="24"/>
        <v>60235.42</v>
      </c>
    </row>
    <row r="155" spans="1:9" ht="41.4" x14ac:dyDescent="0.3">
      <c r="A155" s="65">
        <f t="shared" si="26"/>
        <v>127</v>
      </c>
      <c r="B155" s="66" t="s">
        <v>895</v>
      </c>
      <c r="C155" s="65" t="s">
        <v>220</v>
      </c>
      <c r="D155" s="70">
        <v>2</v>
      </c>
      <c r="E155" s="170">
        <v>8222.4699999999993</v>
      </c>
      <c r="F155" s="101">
        <f t="shared" si="23"/>
        <v>16444.939999999999</v>
      </c>
      <c r="G155" s="101">
        <f t="shared" si="24"/>
        <v>19733.93</v>
      </c>
    </row>
    <row r="156" spans="1:9" ht="41.4" x14ac:dyDescent="0.3">
      <c r="A156" s="65">
        <f t="shared" si="26"/>
        <v>128</v>
      </c>
      <c r="B156" s="66" t="s">
        <v>896</v>
      </c>
      <c r="C156" s="65" t="s">
        <v>220</v>
      </c>
      <c r="D156" s="70">
        <v>2</v>
      </c>
      <c r="E156" s="170">
        <v>19742.93</v>
      </c>
      <c r="F156" s="101">
        <f t="shared" si="23"/>
        <v>39485.86</v>
      </c>
      <c r="G156" s="101">
        <f t="shared" si="24"/>
        <v>47383.03</v>
      </c>
    </row>
    <row r="157" spans="1:9" ht="27.6" x14ac:dyDescent="0.3">
      <c r="A157" s="65">
        <f t="shared" si="26"/>
        <v>129</v>
      </c>
      <c r="B157" s="66" t="s">
        <v>897</v>
      </c>
      <c r="C157" s="65" t="s">
        <v>220</v>
      </c>
      <c r="D157" s="70">
        <v>1</v>
      </c>
      <c r="E157" s="170">
        <v>17698.82</v>
      </c>
      <c r="F157" s="101">
        <f t="shared" si="23"/>
        <v>17698.82</v>
      </c>
      <c r="G157" s="101">
        <f t="shared" si="24"/>
        <v>21238.58</v>
      </c>
    </row>
    <row r="158" spans="1:9" ht="27.6" x14ac:dyDescent="0.3">
      <c r="A158" s="65">
        <f t="shared" si="26"/>
        <v>130</v>
      </c>
      <c r="B158" s="66" t="s">
        <v>850</v>
      </c>
      <c r="C158" s="65" t="s">
        <v>924</v>
      </c>
      <c r="D158" s="70">
        <v>1</v>
      </c>
      <c r="E158" s="170">
        <v>124950.66</v>
      </c>
      <c r="F158" s="101">
        <f t="shared" si="23"/>
        <v>124950.66</v>
      </c>
      <c r="G158" s="101">
        <f t="shared" si="24"/>
        <v>149940.79</v>
      </c>
    </row>
    <row r="159" spans="1:9" ht="23.25" customHeight="1" x14ac:dyDescent="0.3">
      <c r="A159" s="65"/>
      <c r="B159" s="61" t="s">
        <v>856</v>
      </c>
      <c r="C159" s="65"/>
      <c r="D159" s="70"/>
      <c r="E159" s="170"/>
      <c r="F159" s="101"/>
      <c r="G159" s="101"/>
    </row>
    <row r="160" spans="1:9" ht="15.6" x14ac:dyDescent="0.3">
      <c r="A160" s="65">
        <f>A158+1</f>
        <v>131</v>
      </c>
      <c r="B160" s="66" t="s">
        <v>898</v>
      </c>
      <c r="C160" s="65" t="s">
        <v>194</v>
      </c>
      <c r="D160" s="70">
        <v>31</v>
      </c>
      <c r="E160" s="170">
        <v>2354.06</v>
      </c>
      <c r="F160" s="101">
        <f t="shared" si="23"/>
        <v>72975.86</v>
      </c>
      <c r="G160" s="101">
        <f t="shared" si="24"/>
        <v>87571.03</v>
      </c>
    </row>
    <row r="161" spans="1:9" ht="15.6" x14ac:dyDescent="0.3">
      <c r="A161" s="65">
        <f t="shared" si="26"/>
        <v>132</v>
      </c>
      <c r="B161" s="66" t="s">
        <v>899</v>
      </c>
      <c r="C161" s="65" t="s">
        <v>239</v>
      </c>
      <c r="D161" s="70">
        <v>31</v>
      </c>
      <c r="E161" s="170">
        <v>436.17</v>
      </c>
      <c r="F161" s="101">
        <f t="shared" si="23"/>
        <v>13521.27</v>
      </c>
      <c r="G161" s="101">
        <f t="shared" si="24"/>
        <v>16225.52</v>
      </c>
    </row>
    <row r="162" spans="1:9" ht="15.6" x14ac:dyDescent="0.3">
      <c r="A162" s="65">
        <f t="shared" si="26"/>
        <v>133</v>
      </c>
      <c r="B162" s="79" t="s">
        <v>883</v>
      </c>
      <c r="C162" s="65" t="s">
        <v>239</v>
      </c>
      <c r="D162" s="70">
        <v>31</v>
      </c>
      <c r="E162" s="170">
        <v>312.27999999999997</v>
      </c>
      <c r="F162" s="101">
        <f t="shared" si="23"/>
        <v>9680.68</v>
      </c>
      <c r="G162" s="101">
        <f t="shared" si="24"/>
        <v>11616.82</v>
      </c>
    </row>
    <row r="163" spans="1:9" ht="32.25" customHeight="1" x14ac:dyDescent="0.3">
      <c r="A163" s="153"/>
      <c r="B163" s="589" t="s">
        <v>743</v>
      </c>
      <c r="C163" s="590"/>
      <c r="D163" s="598"/>
      <c r="E163" s="154"/>
      <c r="F163" s="155"/>
      <c r="G163" s="167"/>
    </row>
    <row r="164" spans="1:9" x14ac:dyDescent="0.3">
      <c r="A164" s="65"/>
      <c r="B164" s="61" t="s">
        <v>513</v>
      </c>
      <c r="C164" s="65"/>
      <c r="D164" s="70"/>
      <c r="E164" s="164"/>
      <c r="F164" s="160"/>
      <c r="G164" s="168"/>
    </row>
    <row r="165" spans="1:9" ht="27.6" x14ac:dyDescent="0.3">
      <c r="A165" s="65">
        <f>A162+1</f>
        <v>134</v>
      </c>
      <c r="B165" s="66" t="s">
        <v>830</v>
      </c>
      <c r="C165" s="65" t="s">
        <v>193</v>
      </c>
      <c r="D165" s="70">
        <v>177</v>
      </c>
      <c r="E165" s="170">
        <v>90.47</v>
      </c>
      <c r="F165" s="101">
        <f t="shared" ref="F165:F185" si="27">ROUND(E165*D165,2)</f>
        <v>16013.19</v>
      </c>
      <c r="G165" s="101">
        <f t="shared" ref="G165:G185" si="28">ROUND(F165*1.2,2)</f>
        <v>19215.830000000002</v>
      </c>
      <c r="H165">
        <v>325</v>
      </c>
    </row>
    <row r="166" spans="1:9" ht="15.6" x14ac:dyDescent="0.3">
      <c r="A166" s="65">
        <f>A165+1</f>
        <v>135</v>
      </c>
      <c r="B166" s="66" t="s">
        <v>831</v>
      </c>
      <c r="C166" s="65" t="s">
        <v>193</v>
      </c>
      <c r="D166" s="70">
        <v>5</v>
      </c>
      <c r="E166" s="170">
        <v>1860.11</v>
      </c>
      <c r="F166" s="101">
        <f t="shared" si="27"/>
        <v>9300.5499999999993</v>
      </c>
      <c r="G166" s="101">
        <f t="shared" si="28"/>
        <v>11160.66</v>
      </c>
      <c r="H166">
        <v>1777</v>
      </c>
    </row>
    <row r="167" spans="1:9" ht="15.6" x14ac:dyDescent="0.3">
      <c r="A167" s="65">
        <f t="shared" ref="A167:A174" si="29">A166+1</f>
        <v>136</v>
      </c>
      <c r="B167" s="66" t="s">
        <v>832</v>
      </c>
      <c r="C167" s="65" t="s">
        <v>193</v>
      </c>
      <c r="D167" s="70">
        <v>23</v>
      </c>
      <c r="E167" s="170">
        <v>1155.67</v>
      </c>
      <c r="F167" s="101">
        <f t="shared" si="27"/>
        <v>26580.41</v>
      </c>
      <c r="G167" s="101">
        <f t="shared" si="28"/>
        <v>31896.49</v>
      </c>
    </row>
    <row r="168" spans="1:9" ht="15.6" x14ac:dyDescent="0.3">
      <c r="A168" s="65">
        <f t="shared" si="29"/>
        <v>137</v>
      </c>
      <c r="B168" s="66" t="s">
        <v>521</v>
      </c>
      <c r="C168" s="65" t="s">
        <v>193</v>
      </c>
      <c r="D168" s="70">
        <v>3</v>
      </c>
      <c r="E168" s="170">
        <v>1456.66</v>
      </c>
      <c r="F168" s="101">
        <f t="shared" si="27"/>
        <v>4369.9799999999996</v>
      </c>
      <c r="G168" s="101">
        <f t="shared" si="28"/>
        <v>5243.98</v>
      </c>
      <c r="H168">
        <v>1379</v>
      </c>
    </row>
    <row r="169" spans="1:9" ht="15.6" x14ac:dyDescent="0.3">
      <c r="A169" s="65">
        <f t="shared" si="29"/>
        <v>138</v>
      </c>
      <c r="B169" s="66" t="s">
        <v>833</v>
      </c>
      <c r="C169" s="65" t="s">
        <v>193</v>
      </c>
      <c r="D169" s="71">
        <v>23</v>
      </c>
      <c r="E169" s="170">
        <v>856.54</v>
      </c>
      <c r="F169" s="101">
        <f t="shared" si="27"/>
        <v>19700.419999999998</v>
      </c>
      <c r="G169" s="101">
        <f t="shared" si="28"/>
        <v>23640.5</v>
      </c>
      <c r="H169">
        <v>1379</v>
      </c>
    </row>
    <row r="170" spans="1:9" ht="15.6" x14ac:dyDescent="0.3">
      <c r="A170" s="65">
        <f t="shared" si="29"/>
        <v>139</v>
      </c>
      <c r="B170" s="66" t="s">
        <v>871</v>
      </c>
      <c r="C170" s="65" t="s">
        <v>193</v>
      </c>
      <c r="D170" s="70">
        <v>138</v>
      </c>
      <c r="E170" s="170">
        <v>9.73</v>
      </c>
      <c r="F170" s="101">
        <f t="shared" si="27"/>
        <v>1342.74</v>
      </c>
      <c r="G170" s="101">
        <f t="shared" si="28"/>
        <v>1611.29</v>
      </c>
      <c r="H170">
        <v>125</v>
      </c>
    </row>
    <row r="171" spans="1:9" ht="15.6" x14ac:dyDescent="0.3">
      <c r="A171" s="65">
        <f t="shared" si="29"/>
        <v>140</v>
      </c>
      <c r="B171" s="66" t="s">
        <v>451</v>
      </c>
      <c r="C171" s="65" t="s">
        <v>193</v>
      </c>
      <c r="D171" s="70">
        <v>138</v>
      </c>
      <c r="E171" s="170">
        <v>197.58</v>
      </c>
      <c r="F171" s="101">
        <f t="shared" si="27"/>
        <v>27266.04</v>
      </c>
      <c r="G171" s="101">
        <f t="shared" si="28"/>
        <v>32719.25</v>
      </c>
      <c r="H171">
        <v>198</v>
      </c>
    </row>
    <row r="172" spans="1:9" ht="15.6" x14ac:dyDescent="0.3">
      <c r="A172" s="65">
        <f t="shared" si="29"/>
        <v>141</v>
      </c>
      <c r="B172" s="66" t="s">
        <v>872</v>
      </c>
      <c r="C172" s="65" t="s">
        <v>193</v>
      </c>
      <c r="D172" s="70">
        <v>7</v>
      </c>
      <c r="E172" s="170">
        <v>856.54</v>
      </c>
      <c r="F172" s="101">
        <f t="shared" si="27"/>
        <v>5995.78</v>
      </c>
      <c r="G172" s="101">
        <f t="shared" si="28"/>
        <v>7194.94</v>
      </c>
      <c r="H172">
        <v>899</v>
      </c>
    </row>
    <row r="173" spans="1:9" ht="27.6" x14ac:dyDescent="0.3">
      <c r="A173" s="65">
        <f t="shared" si="29"/>
        <v>142</v>
      </c>
      <c r="B173" s="66" t="s">
        <v>873</v>
      </c>
      <c r="C173" s="65" t="s">
        <v>239</v>
      </c>
      <c r="D173" s="71">
        <v>59.2</v>
      </c>
      <c r="E173" s="170">
        <v>67.760000000000005</v>
      </c>
      <c r="F173" s="101">
        <f t="shared" si="27"/>
        <v>4011.39</v>
      </c>
      <c r="G173" s="101">
        <f t="shared" si="28"/>
        <v>4813.67</v>
      </c>
      <c r="H173">
        <v>325</v>
      </c>
    </row>
    <row r="174" spans="1:9" ht="27.6" x14ac:dyDescent="0.3">
      <c r="A174" s="65">
        <f t="shared" si="29"/>
        <v>143</v>
      </c>
      <c r="B174" s="66" t="s">
        <v>835</v>
      </c>
      <c r="C174" s="65" t="s">
        <v>239</v>
      </c>
      <c r="D174" s="71">
        <v>59.2</v>
      </c>
      <c r="E174" s="170">
        <v>312.27999999999997</v>
      </c>
      <c r="F174" s="101">
        <f t="shared" si="27"/>
        <v>18486.98</v>
      </c>
      <c r="G174" s="101">
        <f t="shared" si="28"/>
        <v>22184.38</v>
      </c>
      <c r="H174">
        <v>3460</v>
      </c>
      <c r="I174" s="209" t="s">
        <v>922</v>
      </c>
    </row>
    <row r="175" spans="1:9" ht="26.25" customHeight="1" x14ac:dyDescent="0.3">
      <c r="A175" s="65"/>
      <c r="B175" s="61" t="s">
        <v>523</v>
      </c>
      <c r="C175" s="65"/>
      <c r="D175" s="70"/>
      <c r="E175" s="170"/>
      <c r="F175" s="101"/>
      <c r="G175" s="101"/>
    </row>
    <row r="176" spans="1:9" ht="27.6" x14ac:dyDescent="0.3">
      <c r="A176" s="65">
        <f>A174+1</f>
        <v>144</v>
      </c>
      <c r="B176" s="66" t="s">
        <v>900</v>
      </c>
      <c r="C176" s="65" t="s">
        <v>194</v>
      </c>
      <c r="D176" s="70">
        <v>31</v>
      </c>
      <c r="E176" s="170">
        <v>2864.48</v>
      </c>
      <c r="F176" s="101">
        <f t="shared" si="27"/>
        <v>88798.88</v>
      </c>
      <c r="G176" s="101">
        <f t="shared" si="28"/>
        <v>106558.66</v>
      </c>
    </row>
    <row r="177" spans="1:8" ht="41.4" x14ac:dyDescent="0.3">
      <c r="A177" s="65">
        <f>A176+1</f>
        <v>145</v>
      </c>
      <c r="B177" s="66" t="s">
        <v>901</v>
      </c>
      <c r="C177" s="65" t="s">
        <v>194</v>
      </c>
      <c r="D177" s="70">
        <v>6</v>
      </c>
      <c r="E177" s="170">
        <v>4021.61</v>
      </c>
      <c r="F177" s="101">
        <f t="shared" si="27"/>
        <v>24129.66</v>
      </c>
      <c r="G177" s="101">
        <f t="shared" si="28"/>
        <v>28955.59</v>
      </c>
    </row>
    <row r="178" spans="1:8" ht="41.4" x14ac:dyDescent="0.3">
      <c r="A178" s="65">
        <f t="shared" ref="A178:A181" si="30">A177+1</f>
        <v>146</v>
      </c>
      <c r="B178" s="66" t="s">
        <v>902</v>
      </c>
      <c r="C178" s="65" t="s">
        <v>220</v>
      </c>
      <c r="D178" s="70">
        <v>2</v>
      </c>
      <c r="E178" s="170">
        <v>5203.95</v>
      </c>
      <c r="F178" s="101">
        <f t="shared" si="27"/>
        <v>10407.9</v>
      </c>
      <c r="G178" s="101">
        <f t="shared" si="28"/>
        <v>12489.48</v>
      </c>
    </row>
    <row r="179" spans="1:8" ht="41.4" x14ac:dyDescent="0.3">
      <c r="A179" s="65">
        <f t="shared" si="30"/>
        <v>147</v>
      </c>
      <c r="B179" s="66" t="s">
        <v>903</v>
      </c>
      <c r="C179" s="65" t="s">
        <v>220</v>
      </c>
      <c r="D179" s="70">
        <v>2</v>
      </c>
      <c r="E179" s="170">
        <v>12511.09</v>
      </c>
      <c r="F179" s="101">
        <f t="shared" si="27"/>
        <v>25022.18</v>
      </c>
      <c r="G179" s="101">
        <f t="shared" si="28"/>
        <v>30026.62</v>
      </c>
    </row>
    <row r="180" spans="1:8" ht="27.6" x14ac:dyDescent="0.3">
      <c r="A180" s="65">
        <f t="shared" si="30"/>
        <v>148</v>
      </c>
      <c r="B180" s="66" t="s">
        <v>849</v>
      </c>
      <c r="C180" s="65" t="s">
        <v>220</v>
      </c>
      <c r="D180" s="71">
        <v>1</v>
      </c>
      <c r="E180" s="170">
        <v>9227.06</v>
      </c>
      <c r="F180" s="101">
        <f t="shared" si="27"/>
        <v>9227.06</v>
      </c>
      <c r="G180" s="101">
        <f t="shared" si="28"/>
        <v>11072.47</v>
      </c>
    </row>
    <row r="181" spans="1:8" ht="27.6" x14ac:dyDescent="0.3">
      <c r="A181" s="65">
        <f t="shared" si="30"/>
        <v>149</v>
      </c>
      <c r="B181" s="66" t="s">
        <v>850</v>
      </c>
      <c r="C181" s="65" t="s">
        <v>924</v>
      </c>
      <c r="D181" s="70">
        <v>1</v>
      </c>
      <c r="E181" s="170">
        <v>70121.429999999993</v>
      </c>
      <c r="F181" s="101">
        <f t="shared" si="27"/>
        <v>70121.429999999993</v>
      </c>
      <c r="G181" s="101">
        <f t="shared" si="28"/>
        <v>84145.72</v>
      </c>
    </row>
    <row r="182" spans="1:8" ht="21.75" customHeight="1" x14ac:dyDescent="0.3">
      <c r="A182" s="65"/>
      <c r="B182" s="61" t="s">
        <v>856</v>
      </c>
      <c r="C182" s="65"/>
      <c r="D182" s="70"/>
      <c r="E182" s="170"/>
      <c r="F182" s="101"/>
      <c r="G182" s="101"/>
    </row>
    <row r="183" spans="1:8" ht="15.6" x14ac:dyDescent="0.3">
      <c r="A183" s="65">
        <f>A181+1</f>
        <v>150</v>
      </c>
      <c r="B183" s="66" t="s">
        <v>904</v>
      </c>
      <c r="C183" s="65" t="s">
        <v>194</v>
      </c>
      <c r="D183" s="70">
        <v>31</v>
      </c>
      <c r="E183" s="170">
        <v>1334.42</v>
      </c>
      <c r="F183" s="101">
        <f t="shared" si="27"/>
        <v>41367.019999999997</v>
      </c>
      <c r="G183" s="101">
        <f t="shared" si="28"/>
        <v>49640.42</v>
      </c>
    </row>
    <row r="184" spans="1:8" ht="15.6" x14ac:dyDescent="0.3">
      <c r="A184" s="65">
        <f>A183+1</f>
        <v>151</v>
      </c>
      <c r="B184" s="66" t="s">
        <v>899</v>
      </c>
      <c r="C184" s="65" t="s">
        <v>239</v>
      </c>
      <c r="D184" s="70">
        <v>14</v>
      </c>
      <c r="E184" s="170">
        <v>436.17</v>
      </c>
      <c r="F184" s="101">
        <f t="shared" si="27"/>
        <v>6106.38</v>
      </c>
      <c r="G184" s="101">
        <f t="shared" si="28"/>
        <v>7327.66</v>
      </c>
    </row>
    <row r="185" spans="1:8" ht="15.6" x14ac:dyDescent="0.3">
      <c r="A185" s="65">
        <f>A184+1</f>
        <v>152</v>
      </c>
      <c r="B185" s="66" t="s">
        <v>890</v>
      </c>
      <c r="C185" s="65" t="s">
        <v>239</v>
      </c>
      <c r="D185" s="70">
        <v>14</v>
      </c>
      <c r="E185" s="170">
        <v>312.27999999999997</v>
      </c>
      <c r="F185" s="101">
        <f t="shared" si="27"/>
        <v>4371.92</v>
      </c>
      <c r="G185" s="101">
        <f t="shared" si="28"/>
        <v>5246.3</v>
      </c>
    </row>
    <row r="186" spans="1:8" ht="29.25" customHeight="1" x14ac:dyDescent="0.3">
      <c r="A186" s="153"/>
      <c r="B186" s="589" t="s">
        <v>744</v>
      </c>
      <c r="C186" s="590"/>
      <c r="D186" s="598"/>
      <c r="E186" s="154"/>
      <c r="F186" s="155"/>
      <c r="G186" s="167"/>
    </row>
    <row r="187" spans="1:8" x14ac:dyDescent="0.3">
      <c r="A187" s="65"/>
      <c r="B187" s="61" t="s">
        <v>513</v>
      </c>
      <c r="C187" s="65"/>
      <c r="D187" s="70"/>
      <c r="E187" s="164"/>
      <c r="F187" s="160"/>
      <c r="G187" s="168"/>
    </row>
    <row r="188" spans="1:8" ht="27.6" x14ac:dyDescent="0.3">
      <c r="A188" s="65">
        <f>A185+1</f>
        <v>153</v>
      </c>
      <c r="B188" s="66" t="s">
        <v>830</v>
      </c>
      <c r="C188" s="65" t="s">
        <v>193</v>
      </c>
      <c r="D188" s="70">
        <v>595</v>
      </c>
      <c r="E188" s="170">
        <v>90.47</v>
      </c>
      <c r="F188" s="101">
        <f t="shared" ref="F188:F208" si="31">ROUND(E188*D188,2)</f>
        <v>53829.65</v>
      </c>
      <c r="G188" s="101">
        <f t="shared" ref="G188" si="32">ROUND(F188*1.2,2)</f>
        <v>64595.58</v>
      </c>
      <c r="H188">
        <v>325</v>
      </c>
    </row>
    <row r="189" spans="1:8" ht="15.6" x14ac:dyDescent="0.3">
      <c r="A189" s="65">
        <f>A188+1</f>
        <v>154</v>
      </c>
      <c r="B189" s="66" t="s">
        <v>831</v>
      </c>
      <c r="C189" s="65" t="s">
        <v>193</v>
      </c>
      <c r="D189" s="70">
        <v>18</v>
      </c>
      <c r="E189" s="170">
        <v>1860.11</v>
      </c>
      <c r="F189" s="101">
        <f t="shared" si="31"/>
        <v>33481.980000000003</v>
      </c>
      <c r="G189" s="101">
        <f t="shared" ref="G189:G197" si="33">ROUND(F189*1.2,2)</f>
        <v>40178.379999999997</v>
      </c>
      <c r="H189">
        <v>1777</v>
      </c>
    </row>
    <row r="190" spans="1:8" ht="15.6" x14ac:dyDescent="0.3">
      <c r="A190" s="65">
        <f t="shared" ref="A190:A197" si="34">A189+1</f>
        <v>155</v>
      </c>
      <c r="B190" s="66" t="s">
        <v>832</v>
      </c>
      <c r="C190" s="65" t="s">
        <v>193</v>
      </c>
      <c r="D190" s="70">
        <v>13</v>
      </c>
      <c r="E190" s="170">
        <v>1155.67</v>
      </c>
      <c r="F190" s="101">
        <f t="shared" si="31"/>
        <v>15023.71</v>
      </c>
      <c r="G190" s="101">
        <f t="shared" si="33"/>
        <v>18028.45</v>
      </c>
    </row>
    <row r="191" spans="1:8" ht="15.6" x14ac:dyDescent="0.3">
      <c r="A191" s="65">
        <f t="shared" si="34"/>
        <v>156</v>
      </c>
      <c r="B191" s="66" t="s">
        <v>521</v>
      </c>
      <c r="C191" s="65" t="s">
        <v>193</v>
      </c>
      <c r="D191" s="70">
        <v>2</v>
      </c>
      <c r="E191" s="170">
        <v>1456.66</v>
      </c>
      <c r="F191" s="101">
        <f t="shared" si="31"/>
        <v>2913.32</v>
      </c>
      <c r="G191" s="101">
        <f t="shared" si="33"/>
        <v>3495.98</v>
      </c>
      <c r="H191">
        <v>1379</v>
      </c>
    </row>
    <row r="192" spans="1:8" ht="15.6" x14ac:dyDescent="0.3">
      <c r="A192" s="65">
        <f t="shared" si="34"/>
        <v>157</v>
      </c>
      <c r="B192" s="66" t="s">
        <v>833</v>
      </c>
      <c r="C192" s="65" t="s">
        <v>193</v>
      </c>
      <c r="D192" s="70">
        <v>13</v>
      </c>
      <c r="E192" s="170">
        <v>856.54</v>
      </c>
      <c r="F192" s="101">
        <f t="shared" si="31"/>
        <v>11135.02</v>
      </c>
      <c r="G192" s="101">
        <f t="shared" si="33"/>
        <v>13362.02</v>
      </c>
      <c r="H192">
        <v>1379</v>
      </c>
    </row>
    <row r="193" spans="1:9" ht="15.6" x14ac:dyDescent="0.3">
      <c r="A193" s="65">
        <f t="shared" si="34"/>
        <v>158</v>
      </c>
      <c r="B193" s="66" t="s">
        <v>871</v>
      </c>
      <c r="C193" s="65" t="s">
        <v>193</v>
      </c>
      <c r="D193" s="71">
        <v>560.5</v>
      </c>
      <c r="E193" s="170">
        <v>9.73</v>
      </c>
      <c r="F193" s="101">
        <f t="shared" si="31"/>
        <v>5453.67</v>
      </c>
      <c r="G193" s="101">
        <f t="shared" si="33"/>
        <v>6544.4</v>
      </c>
      <c r="H193">
        <v>125</v>
      </c>
    </row>
    <row r="194" spans="1:9" ht="15.6" x14ac:dyDescent="0.3">
      <c r="A194" s="65">
        <f t="shared" si="34"/>
        <v>159</v>
      </c>
      <c r="B194" s="66" t="s">
        <v>451</v>
      </c>
      <c r="C194" s="65" t="s">
        <v>193</v>
      </c>
      <c r="D194" s="71">
        <v>560.5</v>
      </c>
      <c r="E194" s="170">
        <v>197.58</v>
      </c>
      <c r="F194" s="101">
        <f t="shared" si="31"/>
        <v>110743.59</v>
      </c>
      <c r="G194" s="101">
        <f t="shared" si="33"/>
        <v>132892.31</v>
      </c>
      <c r="H194">
        <v>198</v>
      </c>
    </row>
    <row r="195" spans="1:9" ht="15.6" x14ac:dyDescent="0.3">
      <c r="A195" s="65">
        <f t="shared" si="34"/>
        <v>160</v>
      </c>
      <c r="B195" s="66" t="s">
        <v>872</v>
      </c>
      <c r="C195" s="65" t="s">
        <v>193</v>
      </c>
      <c r="D195" s="71">
        <v>29.5</v>
      </c>
      <c r="E195" s="170">
        <v>856.54</v>
      </c>
      <c r="F195" s="101">
        <f t="shared" si="31"/>
        <v>25267.93</v>
      </c>
      <c r="G195" s="101">
        <f t="shared" si="33"/>
        <v>30321.52</v>
      </c>
      <c r="H195">
        <v>899</v>
      </c>
    </row>
    <row r="196" spans="1:9" ht="27.6" x14ac:dyDescent="0.3">
      <c r="A196" s="65">
        <f t="shared" si="34"/>
        <v>161</v>
      </c>
      <c r="B196" s="66" t="s">
        <v>873</v>
      </c>
      <c r="C196" s="65" t="s">
        <v>239</v>
      </c>
      <c r="D196" s="71">
        <v>36.799999999999997</v>
      </c>
      <c r="E196" s="170">
        <v>67.760000000000005</v>
      </c>
      <c r="F196" s="101">
        <f t="shared" si="31"/>
        <v>2493.5700000000002</v>
      </c>
      <c r="G196" s="101">
        <f t="shared" si="33"/>
        <v>2992.28</v>
      </c>
      <c r="H196">
        <v>325</v>
      </c>
    </row>
    <row r="197" spans="1:9" ht="27.6" x14ac:dyDescent="0.3">
      <c r="A197" s="65">
        <f t="shared" si="34"/>
        <v>162</v>
      </c>
      <c r="B197" s="66" t="s">
        <v>835</v>
      </c>
      <c r="C197" s="65" t="s">
        <v>239</v>
      </c>
      <c r="D197" s="71">
        <v>36.799999999999997</v>
      </c>
      <c r="E197" s="170">
        <v>312.27999999999997</v>
      </c>
      <c r="F197" s="101">
        <f t="shared" si="31"/>
        <v>11491.9</v>
      </c>
      <c r="G197" s="101">
        <f t="shared" si="33"/>
        <v>13790.28</v>
      </c>
      <c r="H197">
        <v>3460</v>
      </c>
      <c r="I197" s="209" t="s">
        <v>922</v>
      </c>
    </row>
    <row r="198" spans="1:9" ht="23.25" customHeight="1" x14ac:dyDescent="0.3">
      <c r="A198" s="65"/>
      <c r="B198" s="61" t="s">
        <v>523</v>
      </c>
      <c r="C198" s="65"/>
      <c r="D198" s="67"/>
      <c r="E198" s="170"/>
      <c r="F198" s="101"/>
      <c r="G198" s="101"/>
    </row>
    <row r="199" spans="1:9" ht="27.6" x14ac:dyDescent="0.3">
      <c r="A199" s="65">
        <f>A197+1</f>
        <v>163</v>
      </c>
      <c r="B199" s="66" t="s">
        <v>900</v>
      </c>
      <c r="C199" s="65" t="s">
        <v>194</v>
      </c>
      <c r="D199" s="70">
        <v>21</v>
      </c>
      <c r="E199" s="170">
        <v>2864.48</v>
      </c>
      <c r="F199" s="101">
        <f t="shared" si="31"/>
        <v>60154.080000000002</v>
      </c>
      <c r="G199" s="101">
        <f t="shared" ref="G199:G208" si="35">ROUND(F199*1.2,2)</f>
        <v>72184.899999999994</v>
      </c>
    </row>
    <row r="200" spans="1:9" ht="41.4" x14ac:dyDescent="0.3">
      <c r="A200" s="65">
        <f>A199+1</f>
        <v>164</v>
      </c>
      <c r="B200" s="66" t="s">
        <v>901</v>
      </c>
      <c r="C200" s="65" t="s">
        <v>194</v>
      </c>
      <c r="D200" s="70">
        <v>6</v>
      </c>
      <c r="E200" s="170">
        <v>4021.61</v>
      </c>
      <c r="F200" s="101">
        <f t="shared" si="31"/>
        <v>24129.66</v>
      </c>
      <c r="G200" s="101">
        <f t="shared" si="35"/>
        <v>28955.59</v>
      </c>
    </row>
    <row r="201" spans="1:9" ht="41.4" x14ac:dyDescent="0.3">
      <c r="A201" s="65">
        <f t="shared" ref="A201:A204" si="36">A200+1</f>
        <v>165</v>
      </c>
      <c r="B201" s="66" t="s">
        <v>902</v>
      </c>
      <c r="C201" s="65" t="s">
        <v>220</v>
      </c>
      <c r="D201" s="70">
        <v>2</v>
      </c>
      <c r="E201" s="170">
        <v>5203.95</v>
      </c>
      <c r="F201" s="101">
        <f t="shared" si="31"/>
        <v>10407.9</v>
      </c>
      <c r="G201" s="101">
        <f t="shared" si="35"/>
        <v>12489.48</v>
      </c>
    </row>
    <row r="202" spans="1:9" ht="41.4" x14ac:dyDescent="0.3">
      <c r="A202" s="65">
        <f t="shared" si="36"/>
        <v>166</v>
      </c>
      <c r="B202" s="66" t="s">
        <v>903</v>
      </c>
      <c r="C202" s="65" t="s">
        <v>220</v>
      </c>
      <c r="D202" s="70">
        <v>2</v>
      </c>
      <c r="E202" s="170">
        <v>12511.09</v>
      </c>
      <c r="F202" s="101">
        <f t="shared" si="31"/>
        <v>25022.18</v>
      </c>
      <c r="G202" s="101">
        <f t="shared" si="35"/>
        <v>30026.62</v>
      </c>
    </row>
    <row r="203" spans="1:9" ht="27.6" x14ac:dyDescent="0.3">
      <c r="A203" s="65">
        <f t="shared" si="36"/>
        <v>167</v>
      </c>
      <c r="B203" s="66" t="s">
        <v>849</v>
      </c>
      <c r="C203" s="65" t="s">
        <v>220</v>
      </c>
      <c r="D203" s="70">
        <v>1</v>
      </c>
      <c r="E203" s="170">
        <v>9227.06</v>
      </c>
      <c r="F203" s="101">
        <f t="shared" si="31"/>
        <v>9227.06</v>
      </c>
      <c r="G203" s="101">
        <f t="shared" si="35"/>
        <v>11072.47</v>
      </c>
    </row>
    <row r="204" spans="1:9" ht="22.5" customHeight="1" x14ac:dyDescent="0.3">
      <c r="A204" s="65">
        <f t="shared" si="36"/>
        <v>168</v>
      </c>
      <c r="B204" s="66" t="s">
        <v>850</v>
      </c>
      <c r="C204" s="65" t="s">
        <v>924</v>
      </c>
      <c r="D204" s="70">
        <v>1</v>
      </c>
      <c r="E204" s="170">
        <v>70121.429999999993</v>
      </c>
      <c r="F204" s="101">
        <f t="shared" si="31"/>
        <v>70121.429999999993</v>
      </c>
      <c r="G204" s="101">
        <f t="shared" si="35"/>
        <v>84145.72</v>
      </c>
    </row>
    <row r="205" spans="1:9" ht="23.25" customHeight="1" x14ac:dyDescent="0.3">
      <c r="A205" s="65"/>
      <c r="B205" s="61" t="s">
        <v>856</v>
      </c>
      <c r="C205" s="65"/>
      <c r="D205" s="70"/>
      <c r="E205" s="170"/>
      <c r="F205" s="101"/>
      <c r="G205" s="101"/>
    </row>
    <row r="206" spans="1:9" ht="19.5" customHeight="1" x14ac:dyDescent="0.3">
      <c r="A206" s="65">
        <f>A204+1</f>
        <v>169</v>
      </c>
      <c r="B206" s="66" t="s">
        <v>904</v>
      </c>
      <c r="C206" s="65" t="s">
        <v>194</v>
      </c>
      <c r="D206" s="70">
        <v>21</v>
      </c>
      <c r="E206" s="170">
        <v>1334.42</v>
      </c>
      <c r="F206" s="101">
        <f t="shared" si="31"/>
        <v>28022.82</v>
      </c>
      <c r="G206" s="101">
        <f t="shared" si="35"/>
        <v>33627.379999999997</v>
      </c>
    </row>
    <row r="207" spans="1:9" ht="19.5" customHeight="1" x14ac:dyDescent="0.3">
      <c r="A207" s="65">
        <f>A206+1</f>
        <v>170</v>
      </c>
      <c r="B207" s="66" t="s">
        <v>899</v>
      </c>
      <c r="C207" s="65" t="s">
        <v>239</v>
      </c>
      <c r="D207" s="70">
        <v>8</v>
      </c>
      <c r="E207" s="170">
        <v>436.17</v>
      </c>
      <c r="F207" s="101">
        <f t="shared" si="31"/>
        <v>3489.36</v>
      </c>
      <c r="G207" s="101">
        <f t="shared" si="35"/>
        <v>4187.2299999999996</v>
      </c>
    </row>
    <row r="208" spans="1:9" ht="15.6" x14ac:dyDescent="0.3">
      <c r="A208" s="65">
        <f>A207+1</f>
        <v>171</v>
      </c>
      <c r="B208" s="66" t="s">
        <v>890</v>
      </c>
      <c r="C208" s="65" t="s">
        <v>239</v>
      </c>
      <c r="D208" s="70">
        <v>8</v>
      </c>
      <c r="E208" s="170">
        <v>312.27999999999997</v>
      </c>
      <c r="F208" s="101">
        <f t="shared" si="31"/>
        <v>2498.2399999999998</v>
      </c>
      <c r="G208" s="101">
        <f t="shared" si="35"/>
        <v>2997.89</v>
      </c>
    </row>
    <row r="209" spans="1:9" ht="29.25" customHeight="1" x14ac:dyDescent="0.3">
      <c r="A209" s="153"/>
      <c r="B209" s="589" t="s">
        <v>745</v>
      </c>
      <c r="C209" s="590"/>
      <c r="D209" s="598"/>
      <c r="E209" s="154"/>
      <c r="F209" s="155"/>
      <c r="G209" s="167"/>
    </row>
    <row r="210" spans="1:9" x14ac:dyDescent="0.3">
      <c r="A210" s="65"/>
      <c r="B210" s="61" t="s">
        <v>513</v>
      </c>
      <c r="C210" s="65"/>
      <c r="D210" s="67"/>
      <c r="E210" s="164"/>
      <c r="F210" s="160"/>
      <c r="G210" s="168"/>
    </row>
    <row r="211" spans="1:9" ht="27.6" x14ac:dyDescent="0.3">
      <c r="A211" s="65">
        <f>A208+1</f>
        <v>172</v>
      </c>
      <c r="B211" s="66" t="s">
        <v>830</v>
      </c>
      <c r="C211" s="65" t="s">
        <v>193</v>
      </c>
      <c r="D211" s="70">
        <v>1779</v>
      </c>
      <c r="E211" s="170">
        <v>90.47</v>
      </c>
      <c r="F211" s="101">
        <f t="shared" ref="F211:F231" si="37">ROUND(E211*D211,2)</f>
        <v>160946.13</v>
      </c>
      <c r="G211" s="101">
        <f t="shared" ref="G211:G220" si="38">ROUND(F211*1.2,2)</f>
        <v>193135.35999999999</v>
      </c>
      <c r="H211">
        <v>325</v>
      </c>
    </row>
    <row r="212" spans="1:9" ht="15.6" x14ac:dyDescent="0.3">
      <c r="A212" s="65">
        <f>A211+1</f>
        <v>173</v>
      </c>
      <c r="B212" s="66" t="s">
        <v>831</v>
      </c>
      <c r="C212" s="65" t="s">
        <v>193</v>
      </c>
      <c r="D212" s="70">
        <v>53</v>
      </c>
      <c r="E212" s="170">
        <v>1860.11</v>
      </c>
      <c r="F212" s="101">
        <f t="shared" si="37"/>
        <v>98585.83</v>
      </c>
      <c r="G212" s="101">
        <f t="shared" si="38"/>
        <v>118303</v>
      </c>
      <c r="H212">
        <v>1777</v>
      </c>
    </row>
    <row r="213" spans="1:9" ht="15.6" x14ac:dyDescent="0.3">
      <c r="A213" s="65">
        <f t="shared" ref="A213:A220" si="39">A212+1</f>
        <v>174</v>
      </c>
      <c r="B213" s="66" t="s">
        <v>832</v>
      </c>
      <c r="C213" s="65" t="s">
        <v>193</v>
      </c>
      <c r="D213" s="70">
        <v>40</v>
      </c>
      <c r="E213" s="170">
        <v>1155.67</v>
      </c>
      <c r="F213" s="101">
        <f t="shared" si="37"/>
        <v>46226.8</v>
      </c>
      <c r="G213" s="101">
        <f t="shared" si="38"/>
        <v>55472.160000000003</v>
      </c>
    </row>
    <row r="214" spans="1:9" ht="15.6" x14ac:dyDescent="0.3">
      <c r="A214" s="65">
        <f t="shared" si="39"/>
        <v>175</v>
      </c>
      <c r="B214" s="66" t="s">
        <v>521</v>
      </c>
      <c r="C214" s="65" t="s">
        <v>193</v>
      </c>
      <c r="D214" s="70">
        <v>6</v>
      </c>
      <c r="E214" s="170">
        <v>1456.65</v>
      </c>
      <c r="F214" s="101">
        <f t="shared" si="37"/>
        <v>8739.9</v>
      </c>
      <c r="G214" s="101">
        <f t="shared" si="38"/>
        <v>10487.88</v>
      </c>
      <c r="H214">
        <v>1379</v>
      </c>
    </row>
    <row r="215" spans="1:9" ht="15.6" x14ac:dyDescent="0.3">
      <c r="A215" s="65">
        <f t="shared" si="39"/>
        <v>176</v>
      </c>
      <c r="B215" s="66" t="s">
        <v>833</v>
      </c>
      <c r="C215" s="65" t="s">
        <v>193</v>
      </c>
      <c r="D215" s="70">
        <v>40</v>
      </c>
      <c r="E215" s="170">
        <v>856.54</v>
      </c>
      <c r="F215" s="101">
        <f t="shared" si="37"/>
        <v>34261.599999999999</v>
      </c>
      <c r="G215" s="101">
        <f t="shared" si="38"/>
        <v>41113.919999999998</v>
      </c>
      <c r="H215">
        <v>1379</v>
      </c>
    </row>
    <row r="216" spans="1:9" ht="15.6" x14ac:dyDescent="0.3">
      <c r="A216" s="65">
        <f t="shared" si="39"/>
        <v>177</v>
      </c>
      <c r="B216" s="66" t="s">
        <v>871</v>
      </c>
      <c r="C216" s="65" t="s">
        <v>193</v>
      </c>
      <c r="D216" s="71">
        <v>1681.5</v>
      </c>
      <c r="E216" s="170">
        <v>9.73</v>
      </c>
      <c r="F216" s="101">
        <f t="shared" si="37"/>
        <v>16361</v>
      </c>
      <c r="G216" s="101">
        <f t="shared" si="38"/>
        <v>19633.2</v>
      </c>
      <c r="H216">
        <v>125</v>
      </c>
    </row>
    <row r="217" spans="1:9" ht="15.6" x14ac:dyDescent="0.3">
      <c r="A217" s="65">
        <f t="shared" si="39"/>
        <v>178</v>
      </c>
      <c r="B217" s="66" t="s">
        <v>451</v>
      </c>
      <c r="C217" s="65" t="s">
        <v>193</v>
      </c>
      <c r="D217" s="71">
        <v>1681.5</v>
      </c>
      <c r="E217" s="170">
        <v>197.58</v>
      </c>
      <c r="F217" s="101">
        <f t="shared" si="37"/>
        <v>332230.77</v>
      </c>
      <c r="G217" s="101">
        <f t="shared" si="38"/>
        <v>398676.92</v>
      </c>
      <c r="H217">
        <v>198</v>
      </c>
    </row>
    <row r="218" spans="1:9" ht="15.6" x14ac:dyDescent="0.3">
      <c r="A218" s="65">
        <f t="shared" si="39"/>
        <v>179</v>
      </c>
      <c r="B218" s="66" t="s">
        <v>872</v>
      </c>
      <c r="C218" s="65" t="s">
        <v>193</v>
      </c>
      <c r="D218" s="67">
        <v>88.5</v>
      </c>
      <c r="E218" s="170">
        <v>856.54</v>
      </c>
      <c r="F218" s="101">
        <f t="shared" si="37"/>
        <v>75803.789999999994</v>
      </c>
      <c r="G218" s="101">
        <f t="shared" si="38"/>
        <v>90964.55</v>
      </c>
      <c r="H218">
        <v>899</v>
      </c>
    </row>
    <row r="219" spans="1:9" ht="27.6" x14ac:dyDescent="0.3">
      <c r="A219" s="65">
        <f t="shared" si="39"/>
        <v>180</v>
      </c>
      <c r="B219" s="66" t="s">
        <v>873</v>
      </c>
      <c r="C219" s="65" t="s">
        <v>239</v>
      </c>
      <c r="D219" s="71">
        <v>99.2</v>
      </c>
      <c r="E219" s="170">
        <v>67.760000000000005</v>
      </c>
      <c r="F219" s="101">
        <f t="shared" si="37"/>
        <v>6721.79</v>
      </c>
      <c r="G219" s="101">
        <f t="shared" ref="G219" si="40">ROUND(F219*1.2,2)</f>
        <v>8066.15</v>
      </c>
      <c r="H219">
        <v>325</v>
      </c>
    </row>
    <row r="220" spans="1:9" ht="27.6" x14ac:dyDescent="0.3">
      <c r="A220" s="65">
        <f t="shared" si="39"/>
        <v>181</v>
      </c>
      <c r="B220" s="66" t="s">
        <v>835</v>
      </c>
      <c r="C220" s="65" t="s">
        <v>239</v>
      </c>
      <c r="D220" s="71">
        <v>99.2</v>
      </c>
      <c r="E220" s="170">
        <v>312.27999999999997</v>
      </c>
      <c r="F220" s="101">
        <f t="shared" si="37"/>
        <v>30978.18</v>
      </c>
      <c r="G220" s="101">
        <f t="shared" si="38"/>
        <v>37173.82</v>
      </c>
      <c r="H220">
        <v>3460</v>
      </c>
      <c r="I220" s="209" t="s">
        <v>922</v>
      </c>
    </row>
    <row r="221" spans="1:9" ht="15.6" x14ac:dyDescent="0.3">
      <c r="A221" s="65"/>
      <c r="B221" s="61" t="s">
        <v>523</v>
      </c>
      <c r="C221" s="65"/>
      <c r="D221" s="67"/>
      <c r="E221" s="170"/>
      <c r="F221" s="101"/>
      <c r="G221" s="101"/>
    </row>
    <row r="222" spans="1:9" ht="27.6" x14ac:dyDescent="0.3">
      <c r="A222" s="65">
        <f>A220+1</f>
        <v>182</v>
      </c>
      <c r="B222" s="66" t="s">
        <v>900</v>
      </c>
      <c r="C222" s="65" t="s">
        <v>194</v>
      </c>
      <c r="D222" s="70">
        <v>49</v>
      </c>
      <c r="E222" s="170">
        <v>2864.48</v>
      </c>
      <c r="F222" s="101">
        <f t="shared" si="37"/>
        <v>140359.51999999999</v>
      </c>
      <c r="G222" s="101">
        <f t="shared" ref="G222:G227" si="41">ROUND(F222*1.2,2)</f>
        <v>168431.42</v>
      </c>
    </row>
    <row r="223" spans="1:9" ht="41.4" x14ac:dyDescent="0.3">
      <c r="A223" s="65">
        <f>A222+1</f>
        <v>183</v>
      </c>
      <c r="B223" s="66" t="s">
        <v>901</v>
      </c>
      <c r="C223" s="65" t="s">
        <v>194</v>
      </c>
      <c r="D223" s="70">
        <v>6</v>
      </c>
      <c r="E223" s="170">
        <v>4021.61</v>
      </c>
      <c r="F223" s="101">
        <f t="shared" si="37"/>
        <v>24129.66</v>
      </c>
      <c r="G223" s="101">
        <f t="shared" si="41"/>
        <v>28955.59</v>
      </c>
    </row>
    <row r="224" spans="1:9" ht="41.4" x14ac:dyDescent="0.3">
      <c r="A224" s="65">
        <f t="shared" ref="A224:A227" si="42">A223+1</f>
        <v>184</v>
      </c>
      <c r="B224" s="66" t="s">
        <v>902</v>
      </c>
      <c r="C224" s="65" t="s">
        <v>220</v>
      </c>
      <c r="D224" s="70">
        <v>2</v>
      </c>
      <c r="E224" s="170">
        <v>5203.95</v>
      </c>
      <c r="F224" s="101">
        <f t="shared" si="37"/>
        <v>10407.9</v>
      </c>
      <c r="G224" s="101">
        <f t="shared" si="41"/>
        <v>12489.48</v>
      </c>
    </row>
    <row r="225" spans="1:9" ht="41.4" x14ac:dyDescent="0.3">
      <c r="A225" s="65">
        <f t="shared" si="42"/>
        <v>185</v>
      </c>
      <c r="B225" s="66" t="s">
        <v>903</v>
      </c>
      <c r="C225" s="65" t="s">
        <v>220</v>
      </c>
      <c r="D225" s="70">
        <v>2</v>
      </c>
      <c r="E225" s="170">
        <v>12511.09</v>
      </c>
      <c r="F225" s="101">
        <f t="shared" si="37"/>
        <v>25022.18</v>
      </c>
      <c r="G225" s="101">
        <f t="shared" si="41"/>
        <v>30026.62</v>
      </c>
    </row>
    <row r="226" spans="1:9" ht="27.6" x14ac:dyDescent="0.3">
      <c r="A226" s="65">
        <f t="shared" si="42"/>
        <v>186</v>
      </c>
      <c r="B226" s="66" t="s">
        <v>849</v>
      </c>
      <c r="C226" s="65" t="s">
        <v>220</v>
      </c>
      <c r="D226" s="70">
        <v>1</v>
      </c>
      <c r="E226" s="170">
        <v>9227.06</v>
      </c>
      <c r="F226" s="101">
        <f t="shared" si="37"/>
        <v>9227.06</v>
      </c>
      <c r="G226" s="101">
        <f t="shared" si="41"/>
        <v>11072.47</v>
      </c>
    </row>
    <row r="227" spans="1:9" ht="27.6" x14ac:dyDescent="0.3">
      <c r="A227" s="65">
        <f t="shared" si="42"/>
        <v>187</v>
      </c>
      <c r="B227" s="66" t="s">
        <v>850</v>
      </c>
      <c r="C227" s="65" t="s">
        <v>924</v>
      </c>
      <c r="D227" s="70">
        <v>1</v>
      </c>
      <c r="E227" s="170">
        <v>70121.429999999993</v>
      </c>
      <c r="F227" s="101">
        <f t="shared" si="37"/>
        <v>70121.429999999993</v>
      </c>
      <c r="G227" s="101">
        <f t="shared" si="41"/>
        <v>84145.72</v>
      </c>
    </row>
    <row r="228" spans="1:9" ht="15.6" x14ac:dyDescent="0.3">
      <c r="A228" s="65"/>
      <c r="B228" s="61" t="s">
        <v>856</v>
      </c>
      <c r="C228" s="65"/>
      <c r="D228" s="67"/>
      <c r="E228" s="170"/>
      <c r="F228" s="101"/>
      <c r="G228" s="101"/>
    </row>
    <row r="229" spans="1:9" ht="15.6" x14ac:dyDescent="0.3">
      <c r="A229" s="65">
        <f>A227+1</f>
        <v>188</v>
      </c>
      <c r="B229" s="66" t="s">
        <v>904</v>
      </c>
      <c r="C229" s="65" t="s">
        <v>194</v>
      </c>
      <c r="D229" s="70">
        <v>49</v>
      </c>
      <c r="E229" s="170">
        <v>1334.42</v>
      </c>
      <c r="F229" s="101">
        <f t="shared" si="37"/>
        <v>65386.58</v>
      </c>
      <c r="G229" s="101">
        <f t="shared" ref="G229:G231" si="43">ROUND(F229*1.2,2)</f>
        <v>78463.899999999994</v>
      </c>
    </row>
    <row r="230" spans="1:9" ht="15.6" x14ac:dyDescent="0.3">
      <c r="A230" s="65">
        <f>A229+1</f>
        <v>189</v>
      </c>
      <c r="B230" s="66" t="s">
        <v>899</v>
      </c>
      <c r="C230" s="65" t="s">
        <v>239</v>
      </c>
      <c r="D230" s="71">
        <v>18.7</v>
      </c>
      <c r="E230" s="170">
        <v>412.84</v>
      </c>
      <c r="F230" s="101">
        <f t="shared" si="37"/>
        <v>7720.11</v>
      </c>
      <c r="G230" s="101">
        <f t="shared" si="43"/>
        <v>9264.1299999999992</v>
      </c>
    </row>
    <row r="231" spans="1:9" ht="15.6" x14ac:dyDescent="0.3">
      <c r="A231" s="65">
        <f>A230+1</f>
        <v>190</v>
      </c>
      <c r="B231" s="66" t="s">
        <v>890</v>
      </c>
      <c r="C231" s="65" t="s">
        <v>239</v>
      </c>
      <c r="D231" s="71">
        <v>18.7</v>
      </c>
      <c r="E231" s="170">
        <v>312.27999999999997</v>
      </c>
      <c r="F231" s="101">
        <f t="shared" si="37"/>
        <v>5839.64</v>
      </c>
      <c r="G231" s="101">
        <f t="shared" si="43"/>
        <v>7007.57</v>
      </c>
    </row>
    <row r="232" spans="1:9" ht="23.25" customHeight="1" x14ac:dyDescent="0.3">
      <c r="A232" s="153"/>
      <c r="B232" s="589" t="s">
        <v>746</v>
      </c>
      <c r="C232" s="590"/>
      <c r="D232" s="598"/>
      <c r="E232" s="154"/>
      <c r="F232" s="155"/>
      <c r="G232" s="167"/>
    </row>
    <row r="233" spans="1:9" ht="22.5" customHeight="1" x14ac:dyDescent="0.3">
      <c r="A233" s="65"/>
      <c r="B233" s="61" t="s">
        <v>513</v>
      </c>
      <c r="C233" s="65"/>
      <c r="D233" s="67"/>
      <c r="E233" s="164"/>
      <c r="F233" s="160"/>
      <c r="G233" s="168"/>
    </row>
    <row r="234" spans="1:9" ht="15.6" x14ac:dyDescent="0.3">
      <c r="A234" s="65">
        <f>A231+1</f>
        <v>191</v>
      </c>
      <c r="B234" s="66" t="s">
        <v>487</v>
      </c>
      <c r="C234" s="65" t="s">
        <v>193</v>
      </c>
      <c r="D234" s="71">
        <v>10.8</v>
      </c>
      <c r="E234" s="170">
        <v>1550.1</v>
      </c>
      <c r="F234" s="101">
        <f t="shared" ref="F234:F237" si="44">ROUND(E234*D234,2)</f>
        <v>16741.080000000002</v>
      </c>
      <c r="G234" s="101">
        <f t="shared" ref="G234:G250" si="45">ROUND(F234*1.2,2)</f>
        <v>20089.3</v>
      </c>
      <c r="H234">
        <v>1777</v>
      </c>
    </row>
    <row r="235" spans="1:9" ht="15.6" x14ac:dyDescent="0.3">
      <c r="A235" s="65">
        <f>A234+1</f>
        <v>192</v>
      </c>
      <c r="B235" s="66" t="s">
        <v>905</v>
      </c>
      <c r="C235" s="65" t="s">
        <v>193</v>
      </c>
      <c r="D235" s="71">
        <v>6.7</v>
      </c>
      <c r="E235" s="170">
        <v>856.54</v>
      </c>
      <c r="F235" s="101">
        <f t="shared" si="44"/>
        <v>5738.82</v>
      </c>
      <c r="G235" s="101">
        <f t="shared" si="45"/>
        <v>6886.58</v>
      </c>
      <c r="H235">
        <v>899</v>
      </c>
    </row>
    <row r="236" spans="1:9" ht="15.6" x14ac:dyDescent="0.3">
      <c r="A236" s="65">
        <f t="shared" ref="A236:A237" si="46">A235+1</f>
        <v>193</v>
      </c>
      <c r="B236" s="66" t="s">
        <v>906</v>
      </c>
      <c r="C236" s="65" t="s">
        <v>193</v>
      </c>
      <c r="D236" s="71">
        <v>4.0999999999999996</v>
      </c>
      <c r="E236" s="170">
        <v>518.38</v>
      </c>
      <c r="F236" s="101">
        <f t="shared" si="44"/>
        <v>2125.36</v>
      </c>
      <c r="G236" s="101">
        <f t="shared" si="45"/>
        <v>2550.4299999999998</v>
      </c>
      <c r="H236">
        <v>325</v>
      </c>
    </row>
    <row r="237" spans="1:9" ht="15.6" x14ac:dyDescent="0.3">
      <c r="A237" s="65">
        <f t="shared" si="46"/>
        <v>194</v>
      </c>
      <c r="B237" s="66" t="s">
        <v>907</v>
      </c>
      <c r="C237" s="65" t="s">
        <v>239</v>
      </c>
      <c r="D237" s="67">
        <v>7.18</v>
      </c>
      <c r="E237" s="170">
        <v>312.27999999999997</v>
      </c>
      <c r="F237" s="101">
        <f t="shared" si="44"/>
        <v>2242.17</v>
      </c>
      <c r="G237" s="101">
        <f t="shared" si="45"/>
        <v>2690.6</v>
      </c>
      <c r="H237">
        <v>3460</v>
      </c>
      <c r="I237" s="209" t="s">
        <v>922</v>
      </c>
    </row>
    <row r="238" spans="1:9" ht="18.75" customHeight="1" x14ac:dyDescent="0.3">
      <c r="A238" s="65"/>
      <c r="B238" s="61" t="s">
        <v>908</v>
      </c>
      <c r="C238" s="65"/>
      <c r="D238" s="70"/>
      <c r="E238" s="170"/>
      <c r="F238" s="101"/>
      <c r="G238" s="101"/>
    </row>
    <row r="239" spans="1:9" ht="15.6" x14ac:dyDescent="0.3">
      <c r="A239" s="65">
        <f>A237+1</f>
        <v>195</v>
      </c>
      <c r="B239" s="66" t="s">
        <v>631</v>
      </c>
      <c r="C239" s="65" t="s">
        <v>194</v>
      </c>
      <c r="D239" s="70">
        <v>40</v>
      </c>
      <c r="E239" s="170">
        <v>162.32</v>
      </c>
      <c r="F239" s="101">
        <f t="shared" ref="F239:F245" si="47">ROUND(E239*D239,2)</f>
        <v>6492.8</v>
      </c>
      <c r="G239" s="101">
        <f t="shared" si="45"/>
        <v>7791.36</v>
      </c>
    </row>
    <row r="240" spans="1:9" ht="15.6" x14ac:dyDescent="0.3">
      <c r="A240" s="65">
        <f>A239+1</f>
        <v>196</v>
      </c>
      <c r="B240" s="66" t="s">
        <v>909</v>
      </c>
      <c r="C240" s="65" t="s">
        <v>220</v>
      </c>
      <c r="D240" s="70">
        <v>2</v>
      </c>
      <c r="E240" s="170">
        <v>1976.06</v>
      </c>
      <c r="F240" s="101">
        <f t="shared" si="47"/>
        <v>3952.12</v>
      </c>
      <c r="G240" s="101">
        <f t="shared" si="45"/>
        <v>4742.54</v>
      </c>
    </row>
    <row r="241" spans="1:8" ht="15.6" x14ac:dyDescent="0.3">
      <c r="A241" s="65">
        <f>A240+1</f>
        <v>197</v>
      </c>
      <c r="B241" s="66" t="s">
        <v>910</v>
      </c>
      <c r="C241" s="65" t="s">
        <v>194</v>
      </c>
      <c r="D241" s="70">
        <f>60+180</f>
        <v>240</v>
      </c>
      <c r="E241" s="170">
        <v>64.27</v>
      </c>
      <c r="F241" s="101">
        <f t="shared" si="47"/>
        <v>15424.8</v>
      </c>
      <c r="G241" s="101">
        <f t="shared" si="45"/>
        <v>18509.759999999998</v>
      </c>
    </row>
    <row r="242" spans="1:8" ht="15.6" x14ac:dyDescent="0.3">
      <c r="A242" s="65">
        <f t="shared" ref="A242:A245" si="48">A241+1</f>
        <v>198</v>
      </c>
      <c r="B242" s="66" t="s">
        <v>911</v>
      </c>
      <c r="C242" s="65" t="s">
        <v>194</v>
      </c>
      <c r="D242" s="70">
        <v>240</v>
      </c>
      <c r="E242" s="170">
        <v>151.6</v>
      </c>
      <c r="F242" s="101">
        <f t="shared" si="47"/>
        <v>36384</v>
      </c>
      <c r="G242" s="101">
        <f t="shared" si="45"/>
        <v>43660.800000000003</v>
      </c>
    </row>
    <row r="243" spans="1:8" ht="15.6" x14ac:dyDescent="0.3">
      <c r="A243" s="65">
        <f t="shared" si="48"/>
        <v>199</v>
      </c>
      <c r="B243" s="66" t="s">
        <v>912</v>
      </c>
      <c r="C243" s="65" t="s">
        <v>194</v>
      </c>
      <c r="D243" s="70">
        <v>40</v>
      </c>
      <c r="E243" s="170">
        <v>327.23</v>
      </c>
      <c r="F243" s="101">
        <f t="shared" si="47"/>
        <v>13089.2</v>
      </c>
      <c r="G243" s="101">
        <f t="shared" si="45"/>
        <v>15707.04</v>
      </c>
    </row>
    <row r="244" spans="1:8" ht="15.6" x14ac:dyDescent="0.3">
      <c r="A244" s="65">
        <f t="shared" si="48"/>
        <v>200</v>
      </c>
      <c r="B244" s="66" t="s">
        <v>913</v>
      </c>
      <c r="C244" s="65" t="s">
        <v>220</v>
      </c>
      <c r="D244" s="70">
        <v>4</v>
      </c>
      <c r="E244" s="170">
        <v>8752.73</v>
      </c>
      <c r="F244" s="101">
        <f t="shared" si="47"/>
        <v>35010.92</v>
      </c>
      <c r="G244" s="101">
        <f t="shared" si="45"/>
        <v>42013.1</v>
      </c>
    </row>
    <row r="245" spans="1:8" ht="15.6" x14ac:dyDescent="0.3">
      <c r="A245" s="65">
        <f t="shared" si="48"/>
        <v>201</v>
      </c>
      <c r="B245" s="66" t="s">
        <v>914</v>
      </c>
      <c r="C245" s="65" t="s">
        <v>194</v>
      </c>
      <c r="D245" s="70">
        <v>40</v>
      </c>
      <c r="E245" s="170">
        <v>18.45</v>
      </c>
      <c r="F245" s="101">
        <f t="shared" si="47"/>
        <v>738</v>
      </c>
      <c r="G245" s="101">
        <f t="shared" si="45"/>
        <v>885.6</v>
      </c>
    </row>
    <row r="246" spans="1:8" ht="21.75" customHeight="1" x14ac:dyDescent="0.3">
      <c r="A246" s="65"/>
      <c r="B246" s="61" t="s">
        <v>915</v>
      </c>
      <c r="C246" s="65"/>
      <c r="D246" s="67"/>
      <c r="E246" s="170"/>
      <c r="F246" s="101"/>
      <c r="G246" s="101"/>
    </row>
    <row r="247" spans="1:8" ht="27.6" x14ac:dyDescent="0.3">
      <c r="A247" s="65">
        <f>A245+1</f>
        <v>202</v>
      </c>
      <c r="B247" s="66" t="s">
        <v>916</v>
      </c>
      <c r="C247" s="65" t="s">
        <v>925</v>
      </c>
      <c r="D247" s="70">
        <v>4</v>
      </c>
      <c r="E247" s="170">
        <v>6257.28</v>
      </c>
      <c r="F247" s="101">
        <f t="shared" ref="F247:F250" si="49">ROUND(E247*D247,2)</f>
        <v>25029.119999999999</v>
      </c>
      <c r="G247" s="101">
        <f t="shared" si="45"/>
        <v>30034.94</v>
      </c>
    </row>
    <row r="248" spans="1:8" ht="27.6" x14ac:dyDescent="0.3">
      <c r="A248" s="65">
        <f>A247+1</f>
        <v>203</v>
      </c>
      <c r="B248" s="66" t="s">
        <v>917</v>
      </c>
      <c r="C248" s="65" t="s">
        <v>925</v>
      </c>
      <c r="D248" s="70">
        <v>4</v>
      </c>
      <c r="E248" s="170">
        <v>6257.28</v>
      </c>
      <c r="F248" s="101">
        <f t="shared" si="49"/>
        <v>25029.119999999999</v>
      </c>
      <c r="G248" s="101">
        <f t="shared" si="45"/>
        <v>30034.94</v>
      </c>
    </row>
    <row r="249" spans="1:8" ht="27.6" x14ac:dyDescent="0.3">
      <c r="A249" s="65">
        <f t="shared" ref="A249:A250" si="50">A248+1</f>
        <v>204</v>
      </c>
      <c r="B249" s="66" t="s">
        <v>918</v>
      </c>
      <c r="C249" s="65" t="s">
        <v>925</v>
      </c>
      <c r="D249" s="70">
        <v>4</v>
      </c>
      <c r="E249" s="170">
        <v>6257.28</v>
      </c>
      <c r="F249" s="101">
        <f t="shared" si="49"/>
        <v>25029.119999999999</v>
      </c>
      <c r="G249" s="101">
        <f t="shared" si="45"/>
        <v>30034.94</v>
      </c>
    </row>
    <row r="250" spans="1:8" ht="27.6" x14ac:dyDescent="0.3">
      <c r="A250" s="65">
        <f t="shared" si="50"/>
        <v>205</v>
      </c>
      <c r="B250" s="66" t="s">
        <v>919</v>
      </c>
      <c r="C250" s="65" t="s">
        <v>926</v>
      </c>
      <c r="D250" s="70">
        <v>3</v>
      </c>
      <c r="E250" s="170">
        <v>2329.08</v>
      </c>
      <c r="F250" s="101">
        <f t="shared" si="49"/>
        <v>6987.24</v>
      </c>
      <c r="G250" s="101">
        <f t="shared" si="45"/>
        <v>8384.69</v>
      </c>
    </row>
    <row r="251" spans="1:8" x14ac:dyDescent="0.3">
      <c r="A251" s="166"/>
      <c r="B251" s="586" t="s">
        <v>721</v>
      </c>
      <c r="C251" s="587"/>
      <c r="D251" s="587"/>
      <c r="E251" s="588"/>
      <c r="F251" s="157">
        <f>SUM(F6:F250)</f>
        <v>6681041.8199999994</v>
      </c>
      <c r="G251" s="157">
        <f>SUM(G6:G250)</f>
        <v>8017250.1500000004</v>
      </c>
    </row>
    <row r="252" spans="1:8" x14ac:dyDescent="0.3">
      <c r="A252" s="533" t="s">
        <v>722</v>
      </c>
      <c r="B252" s="534"/>
      <c r="C252" s="534"/>
      <c r="D252" s="534"/>
      <c r="E252" s="535"/>
      <c r="F252" s="211">
        <f>ROUND(F251*0.03,2)</f>
        <v>200431.25</v>
      </c>
      <c r="G252" s="211">
        <f>ROUND(G251*0.03,2)</f>
        <v>240517.5</v>
      </c>
      <c r="H252" s="52"/>
    </row>
    <row r="253" spans="1:8" x14ac:dyDescent="0.3">
      <c r="A253" s="533" t="s">
        <v>723</v>
      </c>
      <c r="B253" s="534"/>
      <c r="C253" s="534"/>
      <c r="D253" s="534"/>
      <c r="E253" s="535"/>
      <c r="F253" s="211">
        <f>F251+F252</f>
        <v>6881473.0699999994</v>
      </c>
      <c r="G253" s="211">
        <f>G251+G252</f>
        <v>8257767.6500000004</v>
      </c>
      <c r="H253" s="52"/>
    </row>
  </sheetData>
  <mergeCells count="18">
    <mergeCell ref="B186:D186"/>
    <mergeCell ref="B209:D209"/>
    <mergeCell ref="B232:D232"/>
    <mergeCell ref="A252:E252"/>
    <mergeCell ref="A253:E253"/>
    <mergeCell ref="B251:E251"/>
    <mergeCell ref="A1:A2"/>
    <mergeCell ref="B1:B2"/>
    <mergeCell ref="C1:C2"/>
    <mergeCell ref="D1:D2"/>
    <mergeCell ref="E1:G1"/>
    <mergeCell ref="B140:D140"/>
    <mergeCell ref="B163:D163"/>
    <mergeCell ref="B41:D41"/>
    <mergeCell ref="B4:D4"/>
    <mergeCell ref="B69:D69"/>
    <mergeCell ref="B97:D97"/>
    <mergeCell ref="B121:D121"/>
  </mergeCells>
  <pageMargins left="0.7" right="0.7" top="0.75" bottom="0.75" header="0.3" footer="0.3"/>
  <pageSetup paperSize="9" scale="6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  <col min="8" max="8" width="12.6640625" customWidth="1"/>
  </cols>
  <sheetData>
    <row r="1" spans="1:7" ht="19.5" customHeight="1" x14ac:dyDescent="0.3">
      <c r="A1" s="556" t="s">
        <v>226</v>
      </c>
      <c r="B1" s="578" t="s">
        <v>201</v>
      </c>
      <c r="C1" s="556" t="s">
        <v>705</v>
      </c>
      <c r="D1" s="556" t="s">
        <v>202</v>
      </c>
      <c r="E1" s="577" t="s">
        <v>703</v>
      </c>
      <c r="F1" s="577"/>
      <c r="G1" s="577"/>
    </row>
    <row r="2" spans="1:7" s="54" customFormat="1" ht="27.6" x14ac:dyDescent="0.3">
      <c r="A2" s="556"/>
      <c r="B2" s="578"/>
      <c r="C2" s="556"/>
      <c r="D2" s="556"/>
      <c r="E2" s="91" t="s">
        <v>704</v>
      </c>
      <c r="F2" s="104" t="s">
        <v>197</v>
      </c>
      <c r="G2" s="104" t="s">
        <v>198</v>
      </c>
    </row>
    <row r="3" spans="1:7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</row>
    <row r="4" spans="1:7" ht="19.5" customHeight="1" x14ac:dyDescent="0.3">
      <c r="A4" s="153"/>
      <c r="B4" s="537" t="s">
        <v>737</v>
      </c>
      <c r="C4" s="538"/>
      <c r="D4" s="564"/>
      <c r="E4" s="155"/>
      <c r="F4" s="156"/>
      <c r="G4" s="125"/>
    </row>
    <row r="5" spans="1:7" x14ac:dyDescent="0.3">
      <c r="A5" s="86">
        <v>1</v>
      </c>
      <c r="B5" s="66" t="s">
        <v>390</v>
      </c>
      <c r="C5" s="65" t="s">
        <v>193</v>
      </c>
      <c r="D5" s="71">
        <v>14.3</v>
      </c>
      <c r="E5" s="96">
        <v>1320</v>
      </c>
      <c r="F5" s="101">
        <f>ROUND(E5*D5,2)</f>
        <v>18876</v>
      </c>
      <c r="G5" s="101">
        <f>ROUND(F5*1.2,2)</f>
        <v>22651.200000000001</v>
      </c>
    </row>
    <row r="6" spans="1:7" x14ac:dyDescent="0.3">
      <c r="A6" s="86">
        <f>A5+1</f>
        <v>2</v>
      </c>
      <c r="B6" s="66" t="s">
        <v>747</v>
      </c>
      <c r="C6" s="65" t="s">
        <v>194</v>
      </c>
      <c r="D6" s="70">
        <v>31</v>
      </c>
      <c r="E6" s="96">
        <v>2640</v>
      </c>
      <c r="F6" s="101">
        <f t="shared" ref="F6:F31" si="0">ROUND(E6*D6,2)</f>
        <v>81840</v>
      </c>
      <c r="G6" s="101">
        <f t="shared" ref="G6:G31" si="1">ROUND(F6*1.2,2)</f>
        <v>98208</v>
      </c>
    </row>
    <row r="7" spans="1:7" x14ac:dyDescent="0.3">
      <c r="A7" s="86">
        <f>A6+1</f>
        <v>3</v>
      </c>
      <c r="B7" s="66" t="s">
        <v>748</v>
      </c>
      <c r="C7" s="65" t="s">
        <v>194</v>
      </c>
      <c r="D7" s="70">
        <v>6</v>
      </c>
      <c r="E7" s="96">
        <v>9680</v>
      </c>
      <c r="F7" s="101">
        <f t="shared" si="0"/>
        <v>58080</v>
      </c>
      <c r="G7" s="101">
        <f t="shared" si="1"/>
        <v>69696</v>
      </c>
    </row>
    <row r="8" spans="1:7" x14ac:dyDescent="0.3">
      <c r="A8" s="86">
        <f t="shared" ref="A8:A31" si="2">A7+1</f>
        <v>4</v>
      </c>
      <c r="B8" s="66" t="s">
        <v>749</v>
      </c>
      <c r="C8" s="65" t="s">
        <v>220</v>
      </c>
      <c r="D8" s="70">
        <v>2</v>
      </c>
      <c r="E8" s="96">
        <v>3300</v>
      </c>
      <c r="F8" s="101">
        <f t="shared" si="0"/>
        <v>6600</v>
      </c>
      <c r="G8" s="101">
        <f t="shared" si="1"/>
        <v>7920</v>
      </c>
    </row>
    <row r="9" spans="1:7" x14ac:dyDescent="0.3">
      <c r="A9" s="86">
        <f t="shared" si="2"/>
        <v>5</v>
      </c>
      <c r="B9" s="66" t="s">
        <v>750</v>
      </c>
      <c r="C9" s="65" t="s">
        <v>220</v>
      </c>
      <c r="D9" s="70">
        <v>2</v>
      </c>
      <c r="E9" s="96">
        <v>3410</v>
      </c>
      <c r="F9" s="101">
        <f t="shared" si="0"/>
        <v>6820</v>
      </c>
      <c r="G9" s="101">
        <f t="shared" si="1"/>
        <v>8184</v>
      </c>
    </row>
    <row r="10" spans="1:7" ht="27.6" x14ac:dyDescent="0.3">
      <c r="A10" s="86">
        <f t="shared" si="2"/>
        <v>6</v>
      </c>
      <c r="B10" s="66" t="s">
        <v>751</v>
      </c>
      <c r="C10" s="65" t="s">
        <v>220</v>
      </c>
      <c r="D10" s="70">
        <v>2</v>
      </c>
      <c r="E10" s="96">
        <v>3740</v>
      </c>
      <c r="F10" s="101">
        <f t="shared" si="0"/>
        <v>7480</v>
      </c>
      <c r="G10" s="101">
        <f t="shared" si="1"/>
        <v>8976</v>
      </c>
    </row>
    <row r="11" spans="1:7" x14ac:dyDescent="0.3">
      <c r="A11" s="86">
        <f t="shared" si="2"/>
        <v>7</v>
      </c>
      <c r="B11" s="66" t="s">
        <v>752</v>
      </c>
      <c r="C11" s="65" t="s">
        <v>254</v>
      </c>
      <c r="D11" s="75">
        <v>8.7479999999999993</v>
      </c>
      <c r="E11" s="96">
        <v>127</v>
      </c>
      <c r="F11" s="101">
        <f t="shared" si="0"/>
        <v>1111</v>
      </c>
      <c r="G11" s="101">
        <f t="shared" si="1"/>
        <v>1333.2</v>
      </c>
    </row>
    <row r="12" spans="1:7" x14ac:dyDescent="0.3">
      <c r="A12" s="86">
        <f t="shared" si="2"/>
        <v>8</v>
      </c>
      <c r="B12" s="66" t="s">
        <v>753</v>
      </c>
      <c r="C12" s="65" t="s">
        <v>254</v>
      </c>
      <c r="D12" s="75">
        <v>2.556</v>
      </c>
      <c r="E12" s="96">
        <v>147</v>
      </c>
      <c r="F12" s="101">
        <f t="shared" si="0"/>
        <v>375.73</v>
      </c>
      <c r="G12" s="101">
        <f t="shared" si="1"/>
        <v>450.88</v>
      </c>
    </row>
    <row r="13" spans="1:7" x14ac:dyDescent="0.3">
      <c r="A13" s="86">
        <f t="shared" si="2"/>
        <v>9</v>
      </c>
      <c r="B13" s="66" t="s">
        <v>754</v>
      </c>
      <c r="C13" s="65" t="s">
        <v>254</v>
      </c>
      <c r="D13" s="76">
        <v>1.2347999999999999</v>
      </c>
      <c r="E13" s="96">
        <v>197</v>
      </c>
      <c r="F13" s="101">
        <f t="shared" si="0"/>
        <v>243.26</v>
      </c>
      <c r="G13" s="101">
        <f t="shared" si="1"/>
        <v>291.91000000000003</v>
      </c>
    </row>
    <row r="14" spans="1:7" ht="27.6" x14ac:dyDescent="0.3">
      <c r="A14" s="86">
        <f t="shared" si="2"/>
        <v>10</v>
      </c>
      <c r="B14" s="66" t="s">
        <v>755</v>
      </c>
      <c r="C14" s="65" t="s">
        <v>220</v>
      </c>
      <c r="D14" s="70">
        <v>2</v>
      </c>
      <c r="E14" s="96">
        <v>3699</v>
      </c>
      <c r="F14" s="101">
        <f t="shared" si="0"/>
        <v>7398</v>
      </c>
      <c r="G14" s="101">
        <f t="shared" si="1"/>
        <v>8877.6</v>
      </c>
    </row>
    <row r="15" spans="1:7" x14ac:dyDescent="0.3">
      <c r="A15" s="86">
        <f t="shared" si="2"/>
        <v>11</v>
      </c>
      <c r="B15" s="66" t="s">
        <v>756</v>
      </c>
      <c r="C15" s="65" t="s">
        <v>220</v>
      </c>
      <c r="D15" s="70">
        <v>1</v>
      </c>
      <c r="E15" s="96">
        <v>18150</v>
      </c>
      <c r="F15" s="101">
        <f t="shared" si="0"/>
        <v>18150</v>
      </c>
      <c r="G15" s="101">
        <f t="shared" si="1"/>
        <v>21780</v>
      </c>
    </row>
    <row r="16" spans="1:7" ht="27.6" x14ac:dyDescent="0.3">
      <c r="A16" s="86">
        <f t="shared" si="2"/>
        <v>12</v>
      </c>
      <c r="B16" s="66" t="s">
        <v>757</v>
      </c>
      <c r="C16" s="65" t="s">
        <v>220</v>
      </c>
      <c r="D16" s="70">
        <v>3</v>
      </c>
      <c r="E16" s="96">
        <v>61</v>
      </c>
      <c r="F16" s="101">
        <f t="shared" si="0"/>
        <v>183</v>
      </c>
      <c r="G16" s="101">
        <f t="shared" si="1"/>
        <v>219.6</v>
      </c>
    </row>
    <row r="17" spans="1:8" x14ac:dyDescent="0.3">
      <c r="A17" s="86">
        <f t="shared" si="2"/>
        <v>13</v>
      </c>
      <c r="B17" s="66" t="s">
        <v>758</v>
      </c>
      <c r="C17" s="65" t="s">
        <v>220</v>
      </c>
      <c r="D17" s="70">
        <v>1</v>
      </c>
      <c r="E17" s="96">
        <v>10450</v>
      </c>
      <c r="F17" s="101">
        <f t="shared" si="0"/>
        <v>10450</v>
      </c>
      <c r="G17" s="101">
        <f t="shared" si="1"/>
        <v>12540</v>
      </c>
    </row>
    <row r="18" spans="1:8" x14ac:dyDescent="0.3">
      <c r="A18" s="86">
        <f t="shared" si="2"/>
        <v>14</v>
      </c>
      <c r="B18" s="66" t="s">
        <v>759</v>
      </c>
      <c r="C18" s="65" t="s">
        <v>220</v>
      </c>
      <c r="D18" s="70">
        <v>1</v>
      </c>
      <c r="E18" s="96">
        <v>3410</v>
      </c>
      <c r="F18" s="101">
        <f t="shared" si="0"/>
        <v>3410</v>
      </c>
      <c r="G18" s="101">
        <f t="shared" si="1"/>
        <v>4092</v>
      </c>
    </row>
    <row r="19" spans="1:8" x14ac:dyDescent="0.3">
      <c r="A19" s="86">
        <f t="shared" si="2"/>
        <v>15</v>
      </c>
      <c r="B19" s="66" t="s">
        <v>760</v>
      </c>
      <c r="C19" s="73" t="s">
        <v>193</v>
      </c>
      <c r="D19" s="70">
        <v>1</v>
      </c>
      <c r="E19" s="96">
        <v>3850</v>
      </c>
      <c r="F19" s="101">
        <f t="shared" si="0"/>
        <v>3850</v>
      </c>
      <c r="G19" s="101">
        <f t="shared" si="1"/>
        <v>4620</v>
      </c>
    </row>
    <row r="20" spans="1:8" x14ac:dyDescent="0.3">
      <c r="A20" s="86">
        <f t="shared" si="2"/>
        <v>16</v>
      </c>
      <c r="B20" s="66" t="s">
        <v>761</v>
      </c>
      <c r="C20" s="73" t="s">
        <v>220</v>
      </c>
      <c r="D20" s="81" t="s">
        <v>762</v>
      </c>
      <c r="E20" s="96">
        <v>4565</v>
      </c>
      <c r="F20" s="101">
        <f t="shared" si="0"/>
        <v>4565</v>
      </c>
      <c r="G20" s="101">
        <f t="shared" si="1"/>
        <v>5478</v>
      </c>
    </row>
    <row r="21" spans="1:8" x14ac:dyDescent="0.3">
      <c r="A21" s="86">
        <f t="shared" si="2"/>
        <v>17</v>
      </c>
      <c r="B21" s="66" t="s">
        <v>763</v>
      </c>
      <c r="C21" s="73" t="s">
        <v>220</v>
      </c>
      <c r="D21" s="81" t="s">
        <v>762</v>
      </c>
      <c r="E21" s="96">
        <v>4290</v>
      </c>
      <c r="F21" s="101">
        <f t="shared" si="0"/>
        <v>4290</v>
      </c>
      <c r="G21" s="101">
        <f t="shared" si="1"/>
        <v>5148</v>
      </c>
    </row>
    <row r="22" spans="1:8" x14ac:dyDescent="0.3">
      <c r="A22" s="86">
        <f t="shared" si="2"/>
        <v>18</v>
      </c>
      <c r="B22" s="66" t="s">
        <v>764</v>
      </c>
      <c r="C22" s="73" t="s">
        <v>220</v>
      </c>
      <c r="D22" s="81" t="s">
        <v>765</v>
      </c>
      <c r="E22" s="96">
        <v>5060</v>
      </c>
      <c r="F22" s="101">
        <f t="shared" si="0"/>
        <v>10120</v>
      </c>
      <c r="G22" s="101">
        <f t="shared" si="1"/>
        <v>12144</v>
      </c>
    </row>
    <row r="23" spans="1:8" x14ac:dyDescent="0.3">
      <c r="A23" s="86">
        <f t="shared" si="2"/>
        <v>19</v>
      </c>
      <c r="B23" s="66" t="s">
        <v>766</v>
      </c>
      <c r="C23" s="73" t="s">
        <v>220</v>
      </c>
      <c r="D23" s="81" t="s">
        <v>762</v>
      </c>
      <c r="E23" s="96">
        <v>4070.0000000000005</v>
      </c>
      <c r="F23" s="101">
        <f t="shared" si="0"/>
        <v>4070</v>
      </c>
      <c r="G23" s="101">
        <f t="shared" si="1"/>
        <v>4884</v>
      </c>
    </row>
    <row r="24" spans="1:8" x14ac:dyDescent="0.3">
      <c r="A24" s="86">
        <f t="shared" si="2"/>
        <v>20</v>
      </c>
      <c r="B24" s="66" t="s">
        <v>767</v>
      </c>
      <c r="C24" s="73" t="s">
        <v>220</v>
      </c>
      <c r="D24" s="81" t="s">
        <v>762</v>
      </c>
      <c r="E24" s="96">
        <v>6199</v>
      </c>
      <c r="F24" s="101">
        <f t="shared" si="0"/>
        <v>6199</v>
      </c>
      <c r="G24" s="101">
        <f t="shared" si="1"/>
        <v>7438.8</v>
      </c>
    </row>
    <row r="25" spans="1:8" x14ac:dyDescent="0.3">
      <c r="A25" s="86">
        <f t="shared" si="2"/>
        <v>21</v>
      </c>
      <c r="B25" s="66" t="s">
        <v>768</v>
      </c>
      <c r="C25" s="73" t="s">
        <v>220</v>
      </c>
      <c r="D25" s="81" t="s">
        <v>762</v>
      </c>
      <c r="E25" s="96">
        <v>15180</v>
      </c>
      <c r="F25" s="101">
        <f t="shared" si="0"/>
        <v>15180</v>
      </c>
      <c r="G25" s="101">
        <f t="shared" si="1"/>
        <v>18216</v>
      </c>
    </row>
    <row r="26" spans="1:8" x14ac:dyDescent="0.3">
      <c r="A26" s="86">
        <f t="shared" si="2"/>
        <v>22</v>
      </c>
      <c r="B26" s="66" t="s">
        <v>769</v>
      </c>
      <c r="C26" s="73" t="s">
        <v>254</v>
      </c>
      <c r="D26" s="81" t="s">
        <v>770</v>
      </c>
      <c r="E26" s="96">
        <v>702</v>
      </c>
      <c r="F26" s="101">
        <f t="shared" si="0"/>
        <v>16146</v>
      </c>
      <c r="G26" s="101">
        <f t="shared" si="1"/>
        <v>19375.2</v>
      </c>
    </row>
    <row r="27" spans="1:8" x14ac:dyDescent="0.3">
      <c r="A27" s="86">
        <f t="shared" si="2"/>
        <v>23</v>
      </c>
      <c r="B27" s="66" t="s">
        <v>771</v>
      </c>
      <c r="C27" s="73" t="s">
        <v>194</v>
      </c>
      <c r="D27" s="203">
        <f>6*0.245</f>
        <v>1.47</v>
      </c>
      <c r="E27" s="96">
        <v>319</v>
      </c>
      <c r="F27" s="101">
        <f t="shared" si="0"/>
        <v>468.93</v>
      </c>
      <c r="G27" s="101">
        <f t="shared" si="1"/>
        <v>562.72</v>
      </c>
    </row>
    <row r="28" spans="1:8" x14ac:dyDescent="0.3">
      <c r="A28" s="86">
        <f t="shared" si="2"/>
        <v>24</v>
      </c>
      <c r="B28" s="66" t="s">
        <v>772</v>
      </c>
      <c r="C28" s="73" t="s">
        <v>254</v>
      </c>
      <c r="D28" s="203">
        <f>0.3*6*3.1</f>
        <v>5.5799999999999992</v>
      </c>
      <c r="E28" s="96">
        <v>95</v>
      </c>
      <c r="F28" s="101">
        <f t="shared" si="0"/>
        <v>530.1</v>
      </c>
      <c r="G28" s="101">
        <f t="shared" si="1"/>
        <v>636.12</v>
      </c>
    </row>
    <row r="29" spans="1:8" x14ac:dyDescent="0.3">
      <c r="A29" s="86">
        <f t="shared" si="2"/>
        <v>25</v>
      </c>
      <c r="B29" s="66" t="s">
        <v>773</v>
      </c>
      <c r="C29" s="73" t="s">
        <v>254</v>
      </c>
      <c r="D29" s="81" t="s">
        <v>774</v>
      </c>
      <c r="E29" s="96">
        <v>250</v>
      </c>
      <c r="F29" s="101">
        <f t="shared" si="0"/>
        <v>1250</v>
      </c>
      <c r="G29" s="101">
        <f t="shared" si="1"/>
        <v>1500</v>
      </c>
    </row>
    <row r="30" spans="1:8" x14ac:dyDescent="0.3">
      <c r="A30" s="86">
        <f t="shared" si="2"/>
        <v>26</v>
      </c>
      <c r="B30" s="66" t="s">
        <v>388</v>
      </c>
      <c r="C30" s="73" t="s">
        <v>254</v>
      </c>
      <c r="D30" s="81" t="s">
        <v>775</v>
      </c>
      <c r="E30" s="96">
        <v>312</v>
      </c>
      <c r="F30" s="101">
        <f t="shared" si="0"/>
        <v>10608</v>
      </c>
      <c r="G30" s="101">
        <f t="shared" si="1"/>
        <v>12729.6</v>
      </c>
    </row>
    <row r="31" spans="1:8" x14ac:dyDescent="0.3">
      <c r="A31" s="86">
        <f t="shared" si="2"/>
        <v>27</v>
      </c>
      <c r="B31" s="66" t="s">
        <v>776</v>
      </c>
      <c r="C31" s="73" t="s">
        <v>193</v>
      </c>
      <c r="D31" s="81" t="s">
        <v>777</v>
      </c>
      <c r="E31" s="96">
        <v>1368</v>
      </c>
      <c r="F31" s="101">
        <f t="shared" si="0"/>
        <v>957.6</v>
      </c>
      <c r="G31" s="101">
        <f t="shared" si="1"/>
        <v>1149.1199999999999</v>
      </c>
      <c r="H31" s="207"/>
    </row>
    <row r="32" spans="1:8" ht="21.75" customHeight="1" x14ac:dyDescent="0.3">
      <c r="A32" s="153"/>
      <c r="B32" s="589" t="s">
        <v>738</v>
      </c>
      <c r="C32" s="590"/>
      <c r="D32" s="590"/>
      <c r="E32" s="155"/>
      <c r="F32" s="156"/>
      <c r="G32" s="125"/>
    </row>
    <row r="33" spans="1:8" x14ac:dyDescent="0.3">
      <c r="A33" s="65">
        <f>A31+1</f>
        <v>28</v>
      </c>
      <c r="B33" s="66" t="s">
        <v>390</v>
      </c>
      <c r="C33" s="65" t="s">
        <v>193</v>
      </c>
      <c r="D33" s="70">
        <v>47</v>
      </c>
      <c r="E33" s="96">
        <v>1320</v>
      </c>
      <c r="F33" s="101">
        <f t="shared" ref="F33:F45" si="3">ROUND(E33*D33,2)</f>
        <v>62040</v>
      </c>
      <c r="G33" s="101">
        <f t="shared" ref="G33:G45" si="4">ROUND(F33*1.2,2)</f>
        <v>74448</v>
      </c>
    </row>
    <row r="34" spans="1:8" x14ac:dyDescent="0.3">
      <c r="A34" s="65">
        <f t="shared" ref="A34:A45" si="5">A33+1</f>
        <v>29</v>
      </c>
      <c r="B34" s="66" t="s">
        <v>778</v>
      </c>
      <c r="C34" s="73" t="s">
        <v>194</v>
      </c>
      <c r="D34" s="81" t="s">
        <v>779</v>
      </c>
      <c r="E34" s="96">
        <v>1430</v>
      </c>
      <c r="F34" s="101">
        <f t="shared" si="3"/>
        <v>138710</v>
      </c>
      <c r="G34" s="101">
        <f t="shared" si="4"/>
        <v>166452</v>
      </c>
    </row>
    <row r="35" spans="1:8" x14ac:dyDescent="0.3">
      <c r="A35" s="65">
        <f t="shared" si="5"/>
        <v>30</v>
      </c>
      <c r="B35" s="66" t="s">
        <v>780</v>
      </c>
      <c r="C35" s="73" t="s">
        <v>194</v>
      </c>
      <c r="D35" s="81" t="s">
        <v>781</v>
      </c>
      <c r="E35" s="96">
        <v>8140</v>
      </c>
      <c r="F35" s="101">
        <f t="shared" si="3"/>
        <v>48840</v>
      </c>
      <c r="G35" s="101">
        <f t="shared" si="4"/>
        <v>58608</v>
      </c>
    </row>
    <row r="36" spans="1:8" x14ac:dyDescent="0.3">
      <c r="A36" s="65">
        <f t="shared" si="5"/>
        <v>31</v>
      </c>
      <c r="B36" s="66" t="s">
        <v>782</v>
      </c>
      <c r="C36" s="73" t="s">
        <v>178</v>
      </c>
      <c r="D36" s="81" t="s">
        <v>765</v>
      </c>
      <c r="E36" s="96">
        <v>2090</v>
      </c>
      <c r="F36" s="101">
        <f t="shared" si="3"/>
        <v>4180</v>
      </c>
      <c r="G36" s="101">
        <f t="shared" si="4"/>
        <v>5016</v>
      </c>
    </row>
    <row r="37" spans="1:8" x14ac:dyDescent="0.3">
      <c r="A37" s="65">
        <f t="shared" si="5"/>
        <v>32</v>
      </c>
      <c r="B37" s="66" t="s">
        <v>783</v>
      </c>
      <c r="C37" s="73" t="s">
        <v>178</v>
      </c>
      <c r="D37" s="81">
        <v>1</v>
      </c>
      <c r="E37" s="96">
        <v>4840</v>
      </c>
      <c r="F37" s="101">
        <f t="shared" si="3"/>
        <v>4840</v>
      </c>
      <c r="G37" s="101">
        <f t="shared" si="4"/>
        <v>5808</v>
      </c>
    </row>
    <row r="38" spans="1:8" ht="27.6" x14ac:dyDescent="0.3">
      <c r="A38" s="65">
        <f t="shared" si="5"/>
        <v>33</v>
      </c>
      <c r="B38" s="66" t="s">
        <v>784</v>
      </c>
      <c r="C38" s="73" t="s">
        <v>178</v>
      </c>
      <c r="D38" s="81">
        <v>1</v>
      </c>
      <c r="E38" s="96">
        <v>50</v>
      </c>
      <c r="F38" s="101">
        <f t="shared" si="3"/>
        <v>50</v>
      </c>
      <c r="G38" s="101">
        <f t="shared" si="4"/>
        <v>60</v>
      </c>
    </row>
    <row r="39" spans="1:8" x14ac:dyDescent="0.3">
      <c r="A39" s="65">
        <f t="shared" si="5"/>
        <v>34</v>
      </c>
      <c r="B39" s="66" t="s">
        <v>803</v>
      </c>
      <c r="C39" s="73" t="s">
        <v>178</v>
      </c>
      <c r="D39" s="81">
        <v>1</v>
      </c>
      <c r="E39" s="96">
        <v>5720</v>
      </c>
      <c r="F39" s="101">
        <f t="shared" si="3"/>
        <v>5720</v>
      </c>
      <c r="G39" s="101">
        <f t="shared" si="4"/>
        <v>6864</v>
      </c>
    </row>
    <row r="40" spans="1:8" x14ac:dyDescent="0.3">
      <c r="A40" s="65">
        <f t="shared" si="5"/>
        <v>35</v>
      </c>
      <c r="B40" s="66" t="s">
        <v>786</v>
      </c>
      <c r="C40" s="73" t="s">
        <v>254</v>
      </c>
      <c r="D40" s="204">
        <f>8*0.243</f>
        <v>1.944</v>
      </c>
      <c r="E40" s="96">
        <v>127</v>
      </c>
      <c r="F40" s="101">
        <f t="shared" si="3"/>
        <v>246.89</v>
      </c>
      <c r="G40" s="101">
        <f t="shared" si="4"/>
        <v>296.27</v>
      </c>
    </row>
    <row r="41" spans="1:8" x14ac:dyDescent="0.3">
      <c r="A41" s="65">
        <f t="shared" si="5"/>
        <v>36</v>
      </c>
      <c r="B41" s="66" t="s">
        <v>787</v>
      </c>
      <c r="C41" s="73" t="s">
        <v>254</v>
      </c>
      <c r="D41" s="204">
        <f>8*0.071</f>
        <v>0.56799999999999995</v>
      </c>
      <c r="E41" s="96">
        <v>147</v>
      </c>
      <c r="F41" s="101">
        <f t="shared" si="3"/>
        <v>83.5</v>
      </c>
      <c r="G41" s="101">
        <f t="shared" si="4"/>
        <v>100.2</v>
      </c>
    </row>
    <row r="42" spans="1:8" x14ac:dyDescent="0.3">
      <c r="A42" s="65">
        <f t="shared" si="5"/>
        <v>37</v>
      </c>
      <c r="B42" s="66" t="s">
        <v>788</v>
      </c>
      <c r="C42" s="73" t="s">
        <v>254</v>
      </c>
      <c r="D42" s="204">
        <f>16*0.0172</f>
        <v>0.2752</v>
      </c>
      <c r="E42" s="96">
        <v>197</v>
      </c>
      <c r="F42" s="101">
        <f t="shared" si="3"/>
        <v>54.21</v>
      </c>
      <c r="G42" s="101">
        <f t="shared" si="4"/>
        <v>65.05</v>
      </c>
    </row>
    <row r="43" spans="1:8" ht="27.6" x14ac:dyDescent="0.3">
      <c r="A43" s="65">
        <f t="shared" si="5"/>
        <v>38</v>
      </c>
      <c r="B43" s="66" t="s">
        <v>789</v>
      </c>
      <c r="C43" s="73" t="s">
        <v>178</v>
      </c>
      <c r="D43" s="81">
        <v>1</v>
      </c>
      <c r="E43" s="96">
        <v>2200</v>
      </c>
      <c r="F43" s="101">
        <f t="shared" si="3"/>
        <v>2200</v>
      </c>
      <c r="G43" s="101">
        <f t="shared" si="4"/>
        <v>2640</v>
      </c>
    </row>
    <row r="44" spans="1:8" x14ac:dyDescent="0.3">
      <c r="A44" s="65">
        <f t="shared" si="5"/>
        <v>39</v>
      </c>
      <c r="B44" s="66" t="s">
        <v>790</v>
      </c>
      <c r="C44" s="73" t="s">
        <v>178</v>
      </c>
      <c r="D44" s="81">
        <v>1</v>
      </c>
      <c r="E44" s="96">
        <v>6380</v>
      </c>
      <c r="F44" s="101">
        <f t="shared" si="3"/>
        <v>6380</v>
      </c>
      <c r="G44" s="101">
        <f t="shared" si="4"/>
        <v>7656</v>
      </c>
    </row>
    <row r="45" spans="1:8" x14ac:dyDescent="0.3">
      <c r="A45" s="65">
        <f t="shared" si="5"/>
        <v>40</v>
      </c>
      <c r="B45" s="66" t="s">
        <v>760</v>
      </c>
      <c r="C45" s="73" t="s">
        <v>193</v>
      </c>
      <c r="D45" s="81" t="s">
        <v>791</v>
      </c>
      <c r="E45" s="96">
        <v>3850</v>
      </c>
      <c r="F45" s="101">
        <f t="shared" si="3"/>
        <v>2348.5</v>
      </c>
      <c r="G45" s="101">
        <f t="shared" si="4"/>
        <v>2818.2</v>
      </c>
      <c r="H45" s="207"/>
    </row>
    <row r="46" spans="1:8" ht="21" customHeight="1" x14ac:dyDescent="0.3">
      <c r="A46" s="153"/>
      <c r="B46" s="537" t="s">
        <v>739</v>
      </c>
      <c r="C46" s="538"/>
      <c r="D46" s="538"/>
      <c r="E46" s="155"/>
      <c r="F46" s="156"/>
      <c r="G46" s="125"/>
    </row>
    <row r="47" spans="1:8" x14ac:dyDescent="0.3">
      <c r="A47" s="65">
        <f>A45+1</f>
        <v>41</v>
      </c>
      <c r="B47" s="66" t="s">
        <v>390</v>
      </c>
      <c r="C47" s="65" t="s">
        <v>193</v>
      </c>
      <c r="D47" s="70">
        <v>56</v>
      </c>
      <c r="E47" s="96">
        <v>1320</v>
      </c>
      <c r="F47" s="101">
        <f t="shared" ref="F47:F55" si="6">ROUND(E47*D47,2)</f>
        <v>73920</v>
      </c>
      <c r="G47" s="101">
        <f t="shared" ref="G47:G59" si="7">ROUND(F47*1.2,2)</f>
        <v>88704</v>
      </c>
    </row>
    <row r="48" spans="1:8" x14ac:dyDescent="0.3">
      <c r="A48" s="65">
        <f>A47+1</f>
        <v>42</v>
      </c>
      <c r="B48" s="66" t="s">
        <v>792</v>
      </c>
      <c r="C48" s="65" t="s">
        <v>194</v>
      </c>
      <c r="D48" s="81" t="s">
        <v>793</v>
      </c>
      <c r="E48" s="96">
        <v>2750</v>
      </c>
      <c r="F48" s="101">
        <f t="shared" si="6"/>
        <v>225500</v>
      </c>
      <c r="G48" s="101">
        <f t="shared" si="7"/>
        <v>270600</v>
      </c>
    </row>
    <row r="49" spans="1:8" x14ac:dyDescent="0.3">
      <c r="A49" s="65">
        <f t="shared" ref="A49:A59" si="8">A48+1</f>
        <v>43</v>
      </c>
      <c r="B49" s="66" t="s">
        <v>748</v>
      </c>
      <c r="C49" s="65" t="s">
        <v>194</v>
      </c>
      <c r="D49" s="81" t="s">
        <v>794</v>
      </c>
      <c r="E49" s="96">
        <v>9680</v>
      </c>
      <c r="F49" s="101">
        <f t="shared" si="6"/>
        <v>396880</v>
      </c>
      <c r="G49" s="101">
        <f t="shared" si="7"/>
        <v>476256</v>
      </c>
    </row>
    <row r="50" spans="1:8" x14ac:dyDescent="0.3">
      <c r="A50" s="65">
        <f t="shared" si="8"/>
        <v>44</v>
      </c>
      <c r="B50" s="66" t="s">
        <v>795</v>
      </c>
      <c r="C50" s="65" t="s">
        <v>220</v>
      </c>
      <c r="D50" s="81" t="s">
        <v>796</v>
      </c>
      <c r="E50" s="96">
        <v>3740</v>
      </c>
      <c r="F50" s="101">
        <f t="shared" si="6"/>
        <v>44880</v>
      </c>
      <c r="G50" s="101">
        <f t="shared" si="7"/>
        <v>53856</v>
      </c>
    </row>
    <row r="51" spans="1:8" x14ac:dyDescent="0.3">
      <c r="A51" s="65">
        <f t="shared" si="8"/>
        <v>45</v>
      </c>
      <c r="B51" s="66" t="s">
        <v>797</v>
      </c>
      <c r="C51" s="65" t="s">
        <v>178</v>
      </c>
      <c r="D51" s="70">
        <v>1</v>
      </c>
      <c r="E51" s="96">
        <v>7480</v>
      </c>
      <c r="F51" s="101">
        <f t="shared" si="6"/>
        <v>7480</v>
      </c>
      <c r="G51" s="101">
        <f t="shared" si="7"/>
        <v>8976</v>
      </c>
    </row>
    <row r="52" spans="1:8" x14ac:dyDescent="0.3">
      <c r="A52" s="65">
        <f t="shared" si="8"/>
        <v>46</v>
      </c>
      <c r="B52" s="66" t="s">
        <v>783</v>
      </c>
      <c r="C52" s="65" t="s">
        <v>220</v>
      </c>
      <c r="D52" s="70">
        <v>2</v>
      </c>
      <c r="E52" s="96">
        <v>4840</v>
      </c>
      <c r="F52" s="101">
        <f t="shared" si="6"/>
        <v>9680</v>
      </c>
      <c r="G52" s="101">
        <f t="shared" si="7"/>
        <v>11616</v>
      </c>
    </row>
    <row r="53" spans="1:8" ht="27.6" x14ac:dyDescent="0.3">
      <c r="A53" s="65">
        <f t="shared" si="8"/>
        <v>47</v>
      </c>
      <c r="B53" s="66" t="s">
        <v>798</v>
      </c>
      <c r="C53" s="65" t="s">
        <v>220</v>
      </c>
      <c r="D53" s="70">
        <v>2</v>
      </c>
      <c r="E53" s="96">
        <v>88</v>
      </c>
      <c r="F53" s="101">
        <f t="shared" si="6"/>
        <v>176</v>
      </c>
      <c r="G53" s="101">
        <f t="shared" si="7"/>
        <v>211.2</v>
      </c>
    </row>
    <row r="54" spans="1:8" x14ac:dyDescent="0.3">
      <c r="A54" s="65">
        <f t="shared" si="8"/>
        <v>48</v>
      </c>
      <c r="B54" s="66" t="s">
        <v>785</v>
      </c>
      <c r="C54" s="65" t="s">
        <v>220</v>
      </c>
      <c r="D54" s="70">
        <v>2</v>
      </c>
      <c r="E54" s="96">
        <v>5720</v>
      </c>
      <c r="F54" s="101">
        <f t="shared" si="6"/>
        <v>11440</v>
      </c>
      <c r="G54" s="101">
        <f t="shared" si="7"/>
        <v>13728</v>
      </c>
    </row>
    <row r="55" spans="1:8" x14ac:dyDescent="0.3">
      <c r="A55" s="65">
        <f t="shared" si="8"/>
        <v>49</v>
      </c>
      <c r="B55" s="66" t="s">
        <v>799</v>
      </c>
      <c r="C55" s="73" t="s">
        <v>254</v>
      </c>
      <c r="D55" s="204">
        <f>24*0.243</f>
        <v>5.8319999999999999</v>
      </c>
      <c r="E55" s="96">
        <v>127</v>
      </c>
      <c r="F55" s="101">
        <f t="shared" si="6"/>
        <v>740.66</v>
      </c>
      <c r="G55" s="101">
        <f t="shared" si="7"/>
        <v>888.79</v>
      </c>
    </row>
    <row r="56" spans="1:8" x14ac:dyDescent="0.3">
      <c r="A56" s="65">
        <f t="shared" si="8"/>
        <v>50</v>
      </c>
      <c r="B56" s="66" t="s">
        <v>800</v>
      </c>
      <c r="C56" s="73" t="s">
        <v>254</v>
      </c>
      <c r="D56" s="204">
        <f>24*0.071</f>
        <v>1.7039999999999997</v>
      </c>
      <c r="E56" s="96">
        <v>147</v>
      </c>
      <c r="F56" s="101">
        <f t="shared" ref="F56:F59" si="9">ROUND(E56*D56,2)</f>
        <v>250.49</v>
      </c>
      <c r="G56" s="101">
        <f t="shared" si="7"/>
        <v>300.58999999999997</v>
      </c>
    </row>
    <row r="57" spans="1:8" x14ac:dyDescent="0.3">
      <c r="A57" s="65">
        <f t="shared" si="8"/>
        <v>51</v>
      </c>
      <c r="B57" s="66" t="s">
        <v>801</v>
      </c>
      <c r="C57" s="73" t="s">
        <v>254</v>
      </c>
      <c r="D57" s="204">
        <f>48*0.0172</f>
        <v>0.8256</v>
      </c>
      <c r="E57" s="96">
        <v>197</v>
      </c>
      <c r="F57" s="101">
        <f t="shared" si="9"/>
        <v>162.63999999999999</v>
      </c>
      <c r="G57" s="101">
        <f t="shared" si="7"/>
        <v>195.17</v>
      </c>
    </row>
    <row r="58" spans="1:8" ht="27.6" x14ac:dyDescent="0.3">
      <c r="A58" s="65">
        <f t="shared" si="8"/>
        <v>52</v>
      </c>
      <c r="B58" s="66" t="s">
        <v>802</v>
      </c>
      <c r="C58" s="65" t="s">
        <v>220</v>
      </c>
      <c r="D58" s="81">
        <v>2</v>
      </c>
      <c r="E58" s="96">
        <v>4730</v>
      </c>
      <c r="F58" s="101">
        <f t="shared" si="9"/>
        <v>9460</v>
      </c>
      <c r="G58" s="101">
        <f t="shared" si="7"/>
        <v>11352</v>
      </c>
    </row>
    <row r="59" spans="1:8" x14ac:dyDescent="0.3">
      <c r="A59" s="65">
        <f t="shared" si="8"/>
        <v>53</v>
      </c>
      <c r="B59" s="66" t="s">
        <v>760</v>
      </c>
      <c r="C59" s="65" t="s">
        <v>193</v>
      </c>
      <c r="D59" s="81" t="s">
        <v>781</v>
      </c>
      <c r="E59" s="96">
        <v>3850</v>
      </c>
      <c r="F59" s="101">
        <f t="shared" si="9"/>
        <v>23100</v>
      </c>
      <c r="G59" s="101">
        <f t="shared" si="7"/>
        <v>27720</v>
      </c>
      <c r="H59" s="207"/>
    </row>
    <row r="60" spans="1:8" ht="22.5" customHeight="1" x14ac:dyDescent="0.3">
      <c r="A60" s="153"/>
      <c r="B60" s="537" t="s">
        <v>740</v>
      </c>
      <c r="C60" s="538"/>
      <c r="D60" s="538"/>
      <c r="E60" s="155"/>
      <c r="F60" s="156"/>
      <c r="G60" s="125"/>
    </row>
    <row r="61" spans="1:8" x14ac:dyDescent="0.3">
      <c r="A61" s="65">
        <f>A59+1</f>
        <v>54</v>
      </c>
      <c r="B61" s="66" t="s">
        <v>390</v>
      </c>
      <c r="C61" s="65" t="s">
        <v>193</v>
      </c>
      <c r="D61" s="70">
        <v>19</v>
      </c>
      <c r="E61" s="96">
        <v>1320</v>
      </c>
      <c r="F61" s="101">
        <f t="shared" ref="F61:F66" si="10">ROUND(E61*D61,2)</f>
        <v>25080</v>
      </c>
      <c r="G61" s="101">
        <f t="shared" ref="G61:G66" si="11">ROUND(F61*1.2,2)</f>
        <v>30096</v>
      </c>
    </row>
    <row r="62" spans="1:8" ht="27.6" x14ac:dyDescent="0.3">
      <c r="A62" s="65">
        <f>A61+1</f>
        <v>55</v>
      </c>
      <c r="B62" s="66" t="s">
        <v>804</v>
      </c>
      <c r="C62" s="65" t="s">
        <v>194</v>
      </c>
      <c r="D62" s="81" t="s">
        <v>805</v>
      </c>
      <c r="E62" s="96">
        <v>1430</v>
      </c>
      <c r="F62" s="101">
        <f t="shared" si="10"/>
        <v>60060</v>
      </c>
      <c r="G62" s="101">
        <f t="shared" si="11"/>
        <v>72072</v>
      </c>
    </row>
    <row r="63" spans="1:8" x14ac:dyDescent="0.3">
      <c r="A63" s="65">
        <f t="shared" ref="A63:A66" si="12">A62+1</f>
        <v>56</v>
      </c>
      <c r="B63" s="66" t="s">
        <v>806</v>
      </c>
      <c r="C63" s="65" t="s">
        <v>194</v>
      </c>
      <c r="D63" s="81" t="s">
        <v>781</v>
      </c>
      <c r="E63" s="96">
        <v>8140</v>
      </c>
      <c r="F63" s="101">
        <f t="shared" si="10"/>
        <v>48840</v>
      </c>
      <c r="G63" s="101">
        <f t="shared" si="11"/>
        <v>58608</v>
      </c>
    </row>
    <row r="64" spans="1:8" x14ac:dyDescent="0.3">
      <c r="A64" s="65">
        <f t="shared" si="12"/>
        <v>57</v>
      </c>
      <c r="B64" s="66" t="s">
        <v>807</v>
      </c>
      <c r="C64" s="65" t="s">
        <v>220</v>
      </c>
      <c r="D64" s="81">
        <v>2</v>
      </c>
      <c r="E64" s="96">
        <v>2090</v>
      </c>
      <c r="F64" s="101">
        <f t="shared" si="10"/>
        <v>4180</v>
      </c>
      <c r="G64" s="101">
        <f t="shared" si="11"/>
        <v>5016</v>
      </c>
    </row>
    <row r="65" spans="1:8" ht="33.75" customHeight="1" x14ac:dyDescent="0.3">
      <c r="A65" s="65">
        <f t="shared" si="12"/>
        <v>58</v>
      </c>
      <c r="B65" s="66" t="s">
        <v>808</v>
      </c>
      <c r="C65" s="65" t="s">
        <v>220</v>
      </c>
      <c r="D65" s="81">
        <v>2</v>
      </c>
      <c r="E65" s="96">
        <v>2420</v>
      </c>
      <c r="F65" s="101">
        <f t="shared" si="10"/>
        <v>4840</v>
      </c>
      <c r="G65" s="101">
        <f t="shared" si="11"/>
        <v>5808</v>
      </c>
    </row>
    <row r="66" spans="1:8" x14ac:dyDescent="0.3">
      <c r="A66" s="65">
        <f t="shared" si="12"/>
        <v>59</v>
      </c>
      <c r="B66" s="66" t="s">
        <v>760</v>
      </c>
      <c r="C66" s="65" t="s">
        <v>193</v>
      </c>
      <c r="D66" s="81" t="s">
        <v>762</v>
      </c>
      <c r="E66" s="96">
        <v>3850</v>
      </c>
      <c r="F66" s="101">
        <f t="shared" si="10"/>
        <v>3850</v>
      </c>
      <c r="G66" s="101">
        <f t="shared" si="11"/>
        <v>4620</v>
      </c>
      <c r="H66" s="207"/>
    </row>
    <row r="67" spans="1:8" ht="23.25" customHeight="1" x14ac:dyDescent="0.3">
      <c r="A67" s="153"/>
      <c r="B67" s="537" t="s">
        <v>741</v>
      </c>
      <c r="C67" s="538"/>
      <c r="D67" s="538"/>
      <c r="E67" s="155"/>
      <c r="F67" s="156"/>
      <c r="G67" s="125"/>
    </row>
    <row r="68" spans="1:8" ht="18.75" customHeight="1" x14ac:dyDescent="0.3">
      <c r="A68" s="65">
        <f>A66+1</f>
        <v>60</v>
      </c>
      <c r="B68" s="66" t="s">
        <v>390</v>
      </c>
      <c r="C68" s="65" t="s">
        <v>193</v>
      </c>
      <c r="D68" s="70">
        <v>11</v>
      </c>
      <c r="E68" s="96">
        <v>1320</v>
      </c>
      <c r="F68" s="101">
        <f t="shared" ref="F68:F73" si="13">ROUND(E68*D68,2)</f>
        <v>14520</v>
      </c>
      <c r="G68" s="101">
        <f t="shared" ref="G68:G73" si="14">ROUND(F68*1.2,2)</f>
        <v>17424</v>
      </c>
    </row>
    <row r="69" spans="1:8" ht="15.75" customHeight="1" x14ac:dyDescent="0.3">
      <c r="A69" s="65">
        <f>A68+1</f>
        <v>61</v>
      </c>
      <c r="B69" s="66" t="s">
        <v>809</v>
      </c>
      <c r="C69" s="65" t="s">
        <v>194</v>
      </c>
      <c r="D69" s="81" t="s">
        <v>770</v>
      </c>
      <c r="E69" s="96">
        <v>1430</v>
      </c>
      <c r="F69" s="101">
        <f t="shared" si="13"/>
        <v>32890</v>
      </c>
      <c r="G69" s="101">
        <f t="shared" si="14"/>
        <v>39468</v>
      </c>
    </row>
    <row r="70" spans="1:8" ht="18" customHeight="1" x14ac:dyDescent="0.3">
      <c r="A70" s="65">
        <f t="shared" ref="A70:A73" si="15">A69+1</f>
        <v>62</v>
      </c>
      <c r="B70" s="66" t="s">
        <v>806</v>
      </c>
      <c r="C70" s="65" t="s">
        <v>194</v>
      </c>
      <c r="D70" s="81" t="s">
        <v>781</v>
      </c>
      <c r="E70" s="96">
        <v>8140</v>
      </c>
      <c r="F70" s="101">
        <f t="shared" si="13"/>
        <v>48840</v>
      </c>
      <c r="G70" s="101">
        <f t="shared" si="14"/>
        <v>58608</v>
      </c>
    </row>
    <row r="71" spans="1:8" ht="19.5" customHeight="1" x14ac:dyDescent="0.3">
      <c r="A71" s="65">
        <f t="shared" si="15"/>
        <v>63</v>
      </c>
      <c r="B71" s="66" t="s">
        <v>807</v>
      </c>
      <c r="C71" s="65" t="s">
        <v>220</v>
      </c>
      <c r="D71" s="81" t="s">
        <v>765</v>
      </c>
      <c r="E71" s="96">
        <v>2090</v>
      </c>
      <c r="F71" s="101">
        <f t="shared" si="13"/>
        <v>4180</v>
      </c>
      <c r="G71" s="101">
        <f t="shared" si="14"/>
        <v>5016</v>
      </c>
    </row>
    <row r="72" spans="1:8" ht="27.6" x14ac:dyDescent="0.3">
      <c r="A72" s="65">
        <f t="shared" si="15"/>
        <v>64</v>
      </c>
      <c r="B72" s="66" t="s">
        <v>810</v>
      </c>
      <c r="C72" s="65" t="s">
        <v>220</v>
      </c>
      <c r="D72" s="81">
        <v>4</v>
      </c>
      <c r="E72" s="96">
        <v>2420</v>
      </c>
      <c r="F72" s="101">
        <f t="shared" si="13"/>
        <v>9680</v>
      </c>
      <c r="G72" s="101">
        <f t="shared" si="14"/>
        <v>11616</v>
      </c>
    </row>
    <row r="73" spans="1:8" x14ac:dyDescent="0.3">
      <c r="A73" s="65">
        <f t="shared" si="15"/>
        <v>65</v>
      </c>
      <c r="B73" s="66" t="s">
        <v>760</v>
      </c>
      <c r="C73" s="65" t="s">
        <v>193</v>
      </c>
      <c r="D73" s="81" t="s">
        <v>762</v>
      </c>
      <c r="E73" s="96">
        <v>3850</v>
      </c>
      <c r="F73" s="101">
        <f t="shared" si="13"/>
        <v>3850</v>
      </c>
      <c r="G73" s="101">
        <f t="shared" si="14"/>
        <v>4620</v>
      </c>
      <c r="H73" s="207"/>
    </row>
    <row r="74" spans="1:8" ht="21.75" customHeight="1" x14ac:dyDescent="0.3">
      <c r="A74" s="153"/>
      <c r="B74" s="537" t="s">
        <v>742</v>
      </c>
      <c r="C74" s="538"/>
      <c r="D74" s="538"/>
      <c r="E74" s="155"/>
      <c r="F74" s="156"/>
      <c r="G74" s="125"/>
    </row>
    <row r="75" spans="1:8" x14ac:dyDescent="0.3">
      <c r="A75" s="65">
        <f>A73+1</f>
        <v>66</v>
      </c>
      <c r="B75" s="66" t="s">
        <v>390</v>
      </c>
      <c r="C75" s="65" t="s">
        <v>193</v>
      </c>
      <c r="D75" s="70">
        <v>42</v>
      </c>
      <c r="E75" s="96">
        <v>1320</v>
      </c>
      <c r="F75" s="101">
        <f t="shared" ref="F75:F80" si="16">ROUND(E75*D75,2)</f>
        <v>55440</v>
      </c>
      <c r="G75" s="101">
        <f t="shared" ref="G75:G80" si="17">ROUND(F75*1.2,2)</f>
        <v>66528</v>
      </c>
    </row>
    <row r="76" spans="1:8" x14ac:dyDescent="0.3">
      <c r="A76" s="65">
        <f>A75+1</f>
        <v>67</v>
      </c>
      <c r="B76" s="66" t="s">
        <v>811</v>
      </c>
      <c r="C76" s="65" t="s">
        <v>194</v>
      </c>
      <c r="D76" s="81" t="s">
        <v>812</v>
      </c>
      <c r="E76" s="96">
        <v>16500</v>
      </c>
      <c r="F76" s="101">
        <f t="shared" si="16"/>
        <v>511500</v>
      </c>
      <c r="G76" s="101">
        <f t="shared" si="17"/>
        <v>613800</v>
      </c>
    </row>
    <row r="77" spans="1:8" x14ac:dyDescent="0.3">
      <c r="A77" s="65">
        <f t="shared" ref="A77:A80" si="18">A76+1</f>
        <v>68</v>
      </c>
      <c r="B77" s="66" t="s">
        <v>813</v>
      </c>
      <c r="C77" s="65" t="s">
        <v>194</v>
      </c>
      <c r="D77" s="81" t="s">
        <v>781</v>
      </c>
      <c r="E77" s="96">
        <v>19800</v>
      </c>
      <c r="F77" s="101">
        <f t="shared" si="16"/>
        <v>118800</v>
      </c>
      <c r="G77" s="101">
        <f t="shared" si="17"/>
        <v>142560</v>
      </c>
    </row>
    <row r="78" spans="1:8" x14ac:dyDescent="0.3">
      <c r="A78" s="65">
        <f t="shared" si="18"/>
        <v>69</v>
      </c>
      <c r="B78" s="66" t="s">
        <v>814</v>
      </c>
      <c r="C78" s="65" t="s">
        <v>220</v>
      </c>
      <c r="D78" s="81">
        <v>2</v>
      </c>
      <c r="E78" s="96">
        <v>10340</v>
      </c>
      <c r="F78" s="101">
        <f t="shared" si="16"/>
        <v>20680</v>
      </c>
      <c r="G78" s="101">
        <f t="shared" si="17"/>
        <v>24816</v>
      </c>
    </row>
    <row r="79" spans="1:8" ht="27.6" x14ac:dyDescent="0.3">
      <c r="A79" s="65">
        <f t="shared" si="18"/>
        <v>70</v>
      </c>
      <c r="B79" s="66" t="s">
        <v>815</v>
      </c>
      <c r="C79" s="65" t="s">
        <v>220</v>
      </c>
      <c r="D79" s="81">
        <v>2</v>
      </c>
      <c r="E79" s="96">
        <v>70923</v>
      </c>
      <c r="F79" s="101">
        <f t="shared" si="16"/>
        <v>141846</v>
      </c>
      <c r="G79" s="101">
        <f t="shared" si="17"/>
        <v>170215.2</v>
      </c>
    </row>
    <row r="80" spans="1:8" x14ac:dyDescent="0.3">
      <c r="A80" s="65">
        <f t="shared" si="18"/>
        <v>71</v>
      </c>
      <c r="B80" s="66" t="s">
        <v>760</v>
      </c>
      <c r="C80" s="65" t="s">
        <v>193</v>
      </c>
      <c r="D80" s="81" t="s">
        <v>765</v>
      </c>
      <c r="E80" s="96">
        <v>3850</v>
      </c>
      <c r="F80" s="101">
        <f t="shared" si="16"/>
        <v>7700</v>
      </c>
      <c r="G80" s="101">
        <f t="shared" si="17"/>
        <v>9240</v>
      </c>
      <c r="H80" s="207"/>
    </row>
    <row r="81" spans="1:8" ht="21" customHeight="1" x14ac:dyDescent="0.3">
      <c r="A81" s="153"/>
      <c r="B81" s="537" t="s">
        <v>743</v>
      </c>
      <c r="C81" s="538"/>
      <c r="D81" s="538"/>
      <c r="E81" s="155"/>
      <c r="F81" s="156"/>
      <c r="G81" s="125"/>
    </row>
    <row r="82" spans="1:8" x14ac:dyDescent="0.3">
      <c r="A82" s="65">
        <f>A80+1</f>
        <v>72</v>
      </c>
      <c r="B82" s="66" t="s">
        <v>390</v>
      </c>
      <c r="C82" s="65" t="s">
        <v>193</v>
      </c>
      <c r="D82" s="70">
        <v>26</v>
      </c>
      <c r="E82" s="96">
        <v>1320</v>
      </c>
      <c r="F82" s="101">
        <f t="shared" ref="F82:F87" si="19">ROUND(E82*D82,2)</f>
        <v>34320</v>
      </c>
      <c r="G82" s="101">
        <f t="shared" ref="G82:G87" si="20">ROUND(F82*1.2,2)</f>
        <v>41184</v>
      </c>
    </row>
    <row r="83" spans="1:8" x14ac:dyDescent="0.3">
      <c r="A83" s="65">
        <f>A82+1</f>
        <v>73</v>
      </c>
      <c r="B83" s="66" t="s">
        <v>816</v>
      </c>
      <c r="C83" s="65" t="s">
        <v>194</v>
      </c>
      <c r="D83" s="81" t="s">
        <v>812</v>
      </c>
      <c r="E83" s="96">
        <v>7480</v>
      </c>
      <c r="F83" s="101">
        <f t="shared" si="19"/>
        <v>231880</v>
      </c>
      <c r="G83" s="101">
        <f t="shared" si="20"/>
        <v>278256</v>
      </c>
    </row>
    <row r="84" spans="1:8" x14ac:dyDescent="0.3">
      <c r="A84" s="65">
        <f t="shared" ref="A84:A87" si="21">A83+1</f>
        <v>74</v>
      </c>
      <c r="B84" s="66" t="s">
        <v>817</v>
      </c>
      <c r="C84" s="65" t="s">
        <v>194</v>
      </c>
      <c r="D84" s="81" t="s">
        <v>781</v>
      </c>
      <c r="E84" s="96">
        <v>11110</v>
      </c>
      <c r="F84" s="101">
        <f t="shared" si="19"/>
        <v>66660</v>
      </c>
      <c r="G84" s="101">
        <f t="shared" si="20"/>
        <v>79992</v>
      </c>
    </row>
    <row r="85" spans="1:8" x14ac:dyDescent="0.3">
      <c r="A85" s="65">
        <f t="shared" si="21"/>
        <v>75</v>
      </c>
      <c r="B85" s="66" t="s">
        <v>818</v>
      </c>
      <c r="C85" s="65" t="s">
        <v>220</v>
      </c>
      <c r="D85" s="81">
        <v>2</v>
      </c>
      <c r="E85" s="96">
        <v>7260</v>
      </c>
      <c r="F85" s="101">
        <f t="shared" si="19"/>
        <v>14520</v>
      </c>
      <c r="G85" s="101">
        <f t="shared" si="20"/>
        <v>17424</v>
      </c>
    </row>
    <row r="86" spans="1:8" ht="27.6" x14ac:dyDescent="0.3">
      <c r="A86" s="65">
        <f t="shared" si="21"/>
        <v>76</v>
      </c>
      <c r="B86" s="66" t="s">
        <v>819</v>
      </c>
      <c r="C86" s="65" t="s">
        <v>220</v>
      </c>
      <c r="D86" s="81">
        <v>2</v>
      </c>
      <c r="E86" s="96">
        <v>14014</v>
      </c>
      <c r="F86" s="101">
        <f t="shared" si="19"/>
        <v>28028</v>
      </c>
      <c r="G86" s="101">
        <f t="shared" si="20"/>
        <v>33633.599999999999</v>
      </c>
    </row>
    <row r="87" spans="1:8" x14ac:dyDescent="0.3">
      <c r="A87" s="65">
        <f t="shared" si="21"/>
        <v>77</v>
      </c>
      <c r="B87" s="66" t="s">
        <v>760</v>
      </c>
      <c r="C87" s="65" t="s">
        <v>193</v>
      </c>
      <c r="D87" s="81" t="s">
        <v>762</v>
      </c>
      <c r="E87" s="96">
        <v>3850</v>
      </c>
      <c r="F87" s="101">
        <f t="shared" si="19"/>
        <v>3850</v>
      </c>
      <c r="G87" s="101">
        <f t="shared" si="20"/>
        <v>4620</v>
      </c>
      <c r="H87" s="207"/>
    </row>
    <row r="88" spans="1:8" ht="24.75" customHeight="1" x14ac:dyDescent="0.3">
      <c r="A88" s="153"/>
      <c r="B88" s="537" t="s">
        <v>744</v>
      </c>
      <c r="C88" s="538"/>
      <c r="D88" s="538"/>
      <c r="E88" s="155"/>
      <c r="F88" s="156"/>
      <c r="G88" s="125"/>
    </row>
    <row r="89" spans="1:8" x14ac:dyDescent="0.3">
      <c r="A89" s="65">
        <f>A87+1</f>
        <v>78</v>
      </c>
      <c r="B89" s="66" t="s">
        <v>390</v>
      </c>
      <c r="C89" s="65" t="s">
        <v>193</v>
      </c>
      <c r="D89" s="70">
        <v>15</v>
      </c>
      <c r="E89" s="96">
        <v>1320</v>
      </c>
      <c r="F89" s="101">
        <f t="shared" ref="F89" si="22">ROUND(E89*D89,2)</f>
        <v>19800</v>
      </c>
      <c r="G89" s="101">
        <f t="shared" ref="G89" si="23">ROUND(F89*1.2,2)</f>
        <v>23760</v>
      </c>
    </row>
    <row r="90" spans="1:8" x14ac:dyDescent="0.3">
      <c r="A90" s="65">
        <f>A89+1</f>
        <v>79</v>
      </c>
      <c r="B90" s="66" t="s">
        <v>816</v>
      </c>
      <c r="C90" s="65" t="s">
        <v>194</v>
      </c>
      <c r="D90" s="81" t="s">
        <v>820</v>
      </c>
      <c r="E90" s="96">
        <v>7480</v>
      </c>
      <c r="F90" s="101">
        <f t="shared" ref="F90:F93" si="24">ROUND(E90*D90,2)</f>
        <v>157080</v>
      </c>
      <c r="G90" s="101">
        <f t="shared" ref="G90:G93" si="25">ROUND(F90*1.2,2)</f>
        <v>188496</v>
      </c>
    </row>
    <row r="91" spans="1:8" x14ac:dyDescent="0.3">
      <c r="A91" s="65">
        <f t="shared" ref="A91:A94" si="26">A90+1</f>
        <v>80</v>
      </c>
      <c r="B91" s="66" t="s">
        <v>817</v>
      </c>
      <c r="C91" s="65" t="s">
        <v>194</v>
      </c>
      <c r="D91" s="81" t="s">
        <v>781</v>
      </c>
      <c r="E91" s="96">
        <v>11110</v>
      </c>
      <c r="F91" s="101">
        <f t="shared" si="24"/>
        <v>66660</v>
      </c>
      <c r="G91" s="101">
        <f t="shared" si="25"/>
        <v>79992</v>
      </c>
    </row>
    <row r="92" spans="1:8" x14ac:dyDescent="0.3">
      <c r="A92" s="65">
        <f t="shared" si="26"/>
        <v>81</v>
      </c>
      <c r="B92" s="66" t="s">
        <v>818</v>
      </c>
      <c r="C92" s="65" t="s">
        <v>220</v>
      </c>
      <c r="D92" s="81">
        <v>2</v>
      </c>
      <c r="E92" s="96">
        <v>7260</v>
      </c>
      <c r="F92" s="101">
        <f t="shared" si="24"/>
        <v>14520</v>
      </c>
      <c r="G92" s="101">
        <f t="shared" si="25"/>
        <v>17424</v>
      </c>
    </row>
    <row r="93" spans="1:8" ht="32.25" customHeight="1" x14ac:dyDescent="0.3">
      <c r="A93" s="65">
        <f t="shared" si="26"/>
        <v>82</v>
      </c>
      <c r="B93" s="66" t="s">
        <v>819</v>
      </c>
      <c r="C93" s="65" t="s">
        <v>220</v>
      </c>
      <c r="D93" s="81">
        <v>2</v>
      </c>
      <c r="E93" s="96">
        <v>14014</v>
      </c>
      <c r="F93" s="101">
        <f t="shared" si="24"/>
        <v>28028</v>
      </c>
      <c r="G93" s="101">
        <f t="shared" si="25"/>
        <v>33633.599999999999</v>
      </c>
    </row>
    <row r="94" spans="1:8" ht="21" customHeight="1" x14ac:dyDescent="0.3">
      <c r="A94" s="65">
        <f t="shared" si="26"/>
        <v>83</v>
      </c>
      <c r="B94" s="66" t="s">
        <v>760</v>
      </c>
      <c r="C94" s="65" t="s">
        <v>193</v>
      </c>
      <c r="D94" s="81" t="s">
        <v>762</v>
      </c>
      <c r="E94" s="96">
        <v>3850</v>
      </c>
      <c r="F94" s="101">
        <f t="shared" ref="F94" si="27">ROUND(E94*D94,2)</f>
        <v>3850</v>
      </c>
      <c r="G94" s="101">
        <f t="shared" ref="G94" si="28">ROUND(F94*1.2,2)</f>
        <v>4620</v>
      </c>
      <c r="H94" s="207"/>
    </row>
    <row r="95" spans="1:8" ht="23.25" customHeight="1" x14ac:dyDescent="0.3">
      <c r="A95" s="153"/>
      <c r="B95" s="537" t="s">
        <v>745</v>
      </c>
      <c r="C95" s="538"/>
      <c r="D95" s="538"/>
      <c r="E95" s="155"/>
      <c r="F95" s="156"/>
      <c r="G95" s="125"/>
    </row>
    <row r="96" spans="1:8" x14ac:dyDescent="0.3">
      <c r="A96" s="65">
        <f>A94+1</f>
        <v>84</v>
      </c>
      <c r="B96" s="66" t="s">
        <v>390</v>
      </c>
      <c r="C96" s="65" t="s">
        <v>193</v>
      </c>
      <c r="D96" s="70">
        <v>46</v>
      </c>
      <c r="E96" s="96">
        <v>1320</v>
      </c>
      <c r="F96" s="101">
        <f t="shared" ref="F96" si="29">ROUND(E96*D96,2)</f>
        <v>60720</v>
      </c>
      <c r="G96" s="101">
        <f t="shared" ref="G96" si="30">ROUND(F96*1.2,2)</f>
        <v>72864</v>
      </c>
    </row>
    <row r="97" spans="1:8" x14ac:dyDescent="0.3">
      <c r="A97" s="65">
        <f>A96+1</f>
        <v>85</v>
      </c>
      <c r="B97" s="66" t="s">
        <v>816</v>
      </c>
      <c r="C97" s="65" t="s">
        <v>194</v>
      </c>
      <c r="D97" s="81" t="s">
        <v>821</v>
      </c>
      <c r="E97" s="96">
        <v>7480</v>
      </c>
      <c r="F97" s="101">
        <f t="shared" ref="F97:F100" si="31">ROUND(E97*D97,2)</f>
        <v>366520</v>
      </c>
      <c r="G97" s="101">
        <f t="shared" ref="G97:G100" si="32">ROUND(F97*1.2,2)</f>
        <v>439824</v>
      </c>
    </row>
    <row r="98" spans="1:8" x14ac:dyDescent="0.3">
      <c r="A98" s="65">
        <f t="shared" ref="A98:A101" si="33">A97+1</f>
        <v>86</v>
      </c>
      <c r="B98" s="66" t="s">
        <v>817</v>
      </c>
      <c r="C98" s="65" t="s">
        <v>194</v>
      </c>
      <c r="D98" s="81" t="s">
        <v>781</v>
      </c>
      <c r="E98" s="96">
        <v>11110</v>
      </c>
      <c r="F98" s="101">
        <f t="shared" si="31"/>
        <v>66660</v>
      </c>
      <c r="G98" s="101">
        <f t="shared" si="32"/>
        <v>79992</v>
      </c>
    </row>
    <row r="99" spans="1:8" x14ac:dyDescent="0.3">
      <c r="A99" s="65">
        <f t="shared" si="33"/>
        <v>87</v>
      </c>
      <c r="B99" s="66" t="s">
        <v>818</v>
      </c>
      <c r="C99" s="65" t="s">
        <v>220</v>
      </c>
      <c r="D99" s="81">
        <v>2</v>
      </c>
      <c r="E99" s="96">
        <v>7260</v>
      </c>
      <c r="F99" s="101">
        <f t="shared" si="31"/>
        <v>14520</v>
      </c>
      <c r="G99" s="101">
        <f t="shared" si="32"/>
        <v>17424</v>
      </c>
    </row>
    <row r="100" spans="1:8" ht="27.6" x14ac:dyDescent="0.3">
      <c r="A100" s="65">
        <f t="shared" si="33"/>
        <v>88</v>
      </c>
      <c r="B100" s="66" t="s">
        <v>819</v>
      </c>
      <c r="C100" s="65" t="s">
        <v>220</v>
      </c>
      <c r="D100" s="81">
        <v>2</v>
      </c>
      <c r="E100" s="96">
        <v>14014</v>
      </c>
      <c r="F100" s="101">
        <f t="shared" si="31"/>
        <v>28028</v>
      </c>
      <c r="G100" s="101">
        <f t="shared" si="32"/>
        <v>33633.599999999999</v>
      </c>
    </row>
    <row r="101" spans="1:8" x14ac:dyDescent="0.3">
      <c r="A101" s="65">
        <f t="shared" si="33"/>
        <v>89</v>
      </c>
      <c r="B101" s="66" t="s">
        <v>760</v>
      </c>
      <c r="C101" s="65" t="s">
        <v>193</v>
      </c>
      <c r="D101" s="81" t="s">
        <v>762</v>
      </c>
      <c r="E101" s="96">
        <v>3850</v>
      </c>
      <c r="F101" s="101">
        <f t="shared" ref="F101" si="34">ROUND(E101*D101,2)</f>
        <v>3850</v>
      </c>
      <c r="G101" s="101">
        <f t="shared" ref="G101" si="35">ROUND(F101*1.2,2)</f>
        <v>4620</v>
      </c>
      <c r="H101" s="207"/>
    </row>
    <row r="102" spans="1:8" ht="19.5" customHeight="1" x14ac:dyDescent="0.3">
      <c r="A102" s="153"/>
      <c r="B102" s="537" t="s">
        <v>746</v>
      </c>
      <c r="C102" s="538"/>
      <c r="D102" s="538"/>
      <c r="E102" s="155"/>
      <c r="F102" s="156"/>
      <c r="G102" s="125"/>
    </row>
    <row r="103" spans="1:8" x14ac:dyDescent="0.3">
      <c r="A103" s="65">
        <f>A101+1</f>
        <v>90</v>
      </c>
      <c r="B103" s="66" t="s">
        <v>822</v>
      </c>
      <c r="C103" s="65" t="s">
        <v>194</v>
      </c>
      <c r="D103" s="81" t="s">
        <v>823</v>
      </c>
      <c r="E103" s="96">
        <v>396</v>
      </c>
      <c r="F103" s="101">
        <f t="shared" ref="F103" si="36">ROUND(E103*D103,2)</f>
        <v>15840</v>
      </c>
      <c r="G103" s="101">
        <f t="shared" ref="G103" si="37">ROUND(F103*1.2,2)</f>
        <v>19008</v>
      </c>
    </row>
    <row r="104" spans="1:8" x14ac:dyDescent="0.3">
      <c r="A104" s="65">
        <f>A103+1</f>
        <v>91</v>
      </c>
      <c r="B104" s="66" t="s">
        <v>824</v>
      </c>
      <c r="C104" s="65" t="s">
        <v>220</v>
      </c>
      <c r="D104" s="81" t="s">
        <v>762</v>
      </c>
      <c r="E104" s="96">
        <v>8030</v>
      </c>
      <c r="F104" s="101">
        <f t="shared" ref="F104:F107" si="38">ROUND(E104*D104,2)</f>
        <v>8030</v>
      </c>
      <c r="G104" s="101">
        <f t="shared" ref="G104:G107" si="39">ROUND(F104*1.2,2)</f>
        <v>9636</v>
      </c>
    </row>
    <row r="105" spans="1:8" x14ac:dyDescent="0.3">
      <c r="A105" s="65">
        <f t="shared" ref="A105:A108" si="40">A104+1</f>
        <v>92</v>
      </c>
      <c r="B105" s="66" t="s">
        <v>161</v>
      </c>
      <c r="C105" s="65" t="s">
        <v>193</v>
      </c>
      <c r="D105" s="81" t="s">
        <v>825</v>
      </c>
      <c r="E105" s="96">
        <v>1320</v>
      </c>
      <c r="F105" s="101">
        <f t="shared" si="38"/>
        <v>22044</v>
      </c>
      <c r="G105" s="101">
        <f t="shared" si="39"/>
        <v>26452.799999999999</v>
      </c>
    </row>
    <row r="106" spans="1:8" ht="21.75" customHeight="1" x14ac:dyDescent="0.3">
      <c r="A106" s="65">
        <f t="shared" si="40"/>
        <v>93</v>
      </c>
      <c r="B106" s="66" t="s">
        <v>826</v>
      </c>
      <c r="C106" s="65" t="s">
        <v>194</v>
      </c>
      <c r="D106" s="81" t="s">
        <v>827</v>
      </c>
      <c r="E106" s="201">
        <v>1091</v>
      </c>
      <c r="F106" s="101">
        <f t="shared" si="38"/>
        <v>327300</v>
      </c>
      <c r="G106" s="101">
        <f t="shared" si="39"/>
        <v>392760</v>
      </c>
      <c r="H106" s="210"/>
    </row>
    <row r="107" spans="1:8" x14ac:dyDescent="0.3">
      <c r="A107" s="65">
        <f t="shared" si="40"/>
        <v>94</v>
      </c>
      <c r="B107" s="66" t="s">
        <v>828</v>
      </c>
      <c r="C107" s="65" t="s">
        <v>220</v>
      </c>
      <c r="D107" s="81">
        <v>4</v>
      </c>
      <c r="E107" s="96">
        <v>7480</v>
      </c>
      <c r="F107" s="101">
        <f t="shared" si="38"/>
        <v>29920</v>
      </c>
      <c r="G107" s="101">
        <f t="shared" si="39"/>
        <v>35904</v>
      </c>
    </row>
    <row r="108" spans="1:8" x14ac:dyDescent="0.3">
      <c r="A108" s="65">
        <f t="shared" si="40"/>
        <v>95</v>
      </c>
      <c r="B108" s="66" t="s">
        <v>829</v>
      </c>
      <c r="C108" s="65" t="s">
        <v>194</v>
      </c>
      <c r="D108" s="81" t="s">
        <v>823</v>
      </c>
      <c r="E108" s="96">
        <v>26</v>
      </c>
      <c r="F108" s="101">
        <f>ROUND(E108*D108,2)</f>
        <v>1040</v>
      </c>
      <c r="G108" s="101">
        <f>ROUND(F108*1.2,2)</f>
        <v>1248</v>
      </c>
    </row>
    <row r="109" spans="1:8" x14ac:dyDescent="0.3">
      <c r="A109" s="158"/>
      <c r="B109" s="593" t="s">
        <v>721</v>
      </c>
      <c r="C109" s="594"/>
      <c r="D109" s="594"/>
      <c r="E109" s="595"/>
      <c r="F109" s="157">
        <f>SUM(F5:F108)</f>
        <v>4109058.51</v>
      </c>
      <c r="G109" s="157">
        <f>SUM(G5:G108)</f>
        <v>4930870.22</v>
      </c>
    </row>
  </sheetData>
  <mergeCells count="16">
    <mergeCell ref="A1:A2"/>
    <mergeCell ref="B1:B2"/>
    <mergeCell ref="C1:C2"/>
    <mergeCell ref="D1:D2"/>
    <mergeCell ref="E1:G1"/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</mergeCells>
  <pageMargins left="0.7" right="0.7" top="0.75" bottom="0.75" header="0.3" footer="0.3"/>
  <pageSetup paperSize="9" scale="5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7" x14ac:dyDescent="0.3">
      <c r="A1" s="605" t="s">
        <v>226</v>
      </c>
      <c r="B1" s="565" t="s">
        <v>227</v>
      </c>
      <c r="C1" s="565" t="s">
        <v>228</v>
      </c>
      <c r="D1" s="565" t="s">
        <v>229</v>
      </c>
      <c r="E1" s="599" t="s">
        <v>703</v>
      </c>
      <c r="F1" s="600"/>
      <c r="G1" s="600"/>
    </row>
    <row r="2" spans="1:7" x14ac:dyDescent="0.3">
      <c r="A2" s="605"/>
      <c r="B2" s="565"/>
      <c r="C2" s="565"/>
      <c r="D2" s="565"/>
      <c r="E2" s="565" t="s">
        <v>440</v>
      </c>
      <c r="F2" s="565" t="s">
        <v>433</v>
      </c>
      <c r="G2" s="602" t="s">
        <v>409</v>
      </c>
    </row>
    <row r="3" spans="1:7" ht="31.2" customHeight="1" x14ac:dyDescent="0.3">
      <c r="A3" s="605"/>
      <c r="B3" s="565"/>
      <c r="C3" s="565"/>
      <c r="D3" s="565"/>
      <c r="E3" s="565"/>
      <c r="F3" s="565"/>
      <c r="G3" s="602"/>
    </row>
    <row r="4" spans="1:7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</row>
    <row r="5" spans="1:7" x14ac:dyDescent="0.3">
      <c r="A5" s="604" t="s">
        <v>206</v>
      </c>
      <c r="B5" s="604"/>
      <c r="C5" s="604"/>
      <c r="D5" s="604"/>
      <c r="E5" s="139"/>
      <c r="F5" s="139"/>
      <c r="G5" s="131"/>
    </row>
    <row r="6" spans="1:7" x14ac:dyDescent="0.3">
      <c r="A6" s="603" t="s">
        <v>207</v>
      </c>
      <c r="B6" s="603"/>
      <c r="C6" s="603"/>
      <c r="D6" s="603"/>
      <c r="E6" s="140"/>
      <c r="F6" s="140"/>
      <c r="G6" s="129"/>
    </row>
    <row r="7" spans="1:7" x14ac:dyDescent="0.3">
      <c r="A7" s="118">
        <v>1</v>
      </c>
      <c r="B7" s="130" t="s">
        <v>208</v>
      </c>
      <c r="C7" s="123" t="s">
        <v>193</v>
      </c>
      <c r="D7" s="146">
        <f>79.62</f>
        <v>79.62</v>
      </c>
      <c r="E7" s="142">
        <v>8650</v>
      </c>
      <c r="F7" s="101">
        <f>ROUND(E7*D7,2)</f>
        <v>688713</v>
      </c>
      <c r="G7" s="101">
        <f>ROUND(F7*1.2,2)</f>
        <v>826455.6</v>
      </c>
    </row>
    <row r="8" spans="1:7" x14ac:dyDescent="0.3">
      <c r="A8" s="118">
        <f>A7+1</f>
        <v>2</v>
      </c>
      <c r="B8" s="130" t="s">
        <v>209</v>
      </c>
      <c r="C8" s="123" t="s">
        <v>193</v>
      </c>
      <c r="D8" s="146">
        <v>308.73</v>
      </c>
      <c r="E8" s="142">
        <v>12450</v>
      </c>
      <c r="F8" s="101">
        <f>ROUND(E8*D8,2)</f>
        <v>3843688.5</v>
      </c>
      <c r="G8" s="101">
        <f>ROUND(F8*1.2,2)</f>
        <v>4612426.2</v>
      </c>
    </row>
    <row r="9" spans="1:7" ht="21.75" customHeight="1" x14ac:dyDescent="0.3">
      <c r="A9" s="118">
        <f t="shared" ref="A9:A10" si="0">A8+1</f>
        <v>3</v>
      </c>
      <c r="B9" s="130" t="s">
        <v>210</v>
      </c>
      <c r="C9" s="123" t="s">
        <v>193</v>
      </c>
      <c r="D9" s="146">
        <f>196.74</f>
        <v>196.74</v>
      </c>
      <c r="E9" s="142">
        <v>5165</v>
      </c>
      <c r="F9" s="101">
        <f>ROUND(E9*D9,2)</f>
        <v>1016162.1</v>
      </c>
      <c r="G9" s="101">
        <f>ROUND(F9*1.2,2)</f>
        <v>1219394.52</v>
      </c>
    </row>
    <row r="10" spans="1:7" ht="27.6" x14ac:dyDescent="0.3">
      <c r="A10" s="118">
        <f t="shared" si="0"/>
        <v>4</v>
      </c>
      <c r="B10" s="132" t="s">
        <v>211</v>
      </c>
      <c r="C10" s="123"/>
      <c r="D10" s="126"/>
      <c r="E10" s="141"/>
      <c r="F10" s="142"/>
      <c r="G10" s="127"/>
    </row>
    <row r="11" spans="1:7" x14ac:dyDescent="0.3">
      <c r="A11" s="133">
        <v>4.0999999999999996</v>
      </c>
      <c r="B11" s="130" t="s">
        <v>212</v>
      </c>
      <c r="C11" s="123" t="s">
        <v>193</v>
      </c>
      <c r="D11" s="126">
        <v>151</v>
      </c>
      <c r="E11" s="142">
        <v>1611</v>
      </c>
      <c r="F11" s="101">
        <f>ROUND(E11*D11,2)</f>
        <v>243261</v>
      </c>
      <c r="G11" s="101">
        <f>ROUND(F11*1.2,2)</f>
        <v>291913.2</v>
      </c>
    </row>
    <row r="12" spans="1:7" x14ac:dyDescent="0.3">
      <c r="A12" s="133">
        <v>4.2</v>
      </c>
      <c r="B12" s="130" t="s">
        <v>213</v>
      </c>
      <c r="C12" s="123" t="s">
        <v>193</v>
      </c>
      <c r="D12" s="126">
        <v>163</v>
      </c>
      <c r="E12" s="142">
        <v>1496</v>
      </c>
      <c r="F12" s="101">
        <f>ROUND(E12*D12,2)</f>
        <v>243848</v>
      </c>
      <c r="G12" s="101">
        <f>ROUND(F12*1.2,2)</f>
        <v>292617.59999999998</v>
      </c>
    </row>
    <row r="13" spans="1:7" x14ac:dyDescent="0.3">
      <c r="A13" s="133">
        <v>4.3</v>
      </c>
      <c r="B13" s="130" t="s">
        <v>214</v>
      </c>
      <c r="C13" s="123" t="s">
        <v>194</v>
      </c>
      <c r="D13" s="128">
        <v>226.24</v>
      </c>
      <c r="E13" s="142">
        <v>30</v>
      </c>
      <c r="F13" s="101">
        <f>ROUND(E13*D13,2)</f>
        <v>6787.2</v>
      </c>
      <c r="G13" s="101">
        <f>ROUND(F13*1.2,2)</f>
        <v>8144.64</v>
      </c>
    </row>
    <row r="14" spans="1:7" x14ac:dyDescent="0.3">
      <c r="A14" s="603" t="s">
        <v>215</v>
      </c>
      <c r="B14" s="603"/>
      <c r="C14" s="603"/>
      <c r="D14" s="603"/>
      <c r="E14" s="140"/>
      <c r="F14" s="140"/>
      <c r="G14" s="129"/>
    </row>
    <row r="15" spans="1:7" ht="68.25" customHeight="1" x14ac:dyDescent="0.3">
      <c r="A15" s="118">
        <f>A10+1</f>
        <v>5</v>
      </c>
      <c r="B15" s="130" t="s">
        <v>216</v>
      </c>
      <c r="C15" s="123" t="s">
        <v>194</v>
      </c>
      <c r="D15" s="128">
        <v>226.24</v>
      </c>
      <c r="E15" s="142">
        <v>1587</v>
      </c>
      <c r="F15" s="101">
        <f t="shared" ref="F15:F17" si="1">ROUND(E15*D15,2)</f>
        <v>359042.88</v>
      </c>
      <c r="G15" s="101">
        <f t="shared" ref="G15:G17" si="2">ROUND(F15*1.2,2)</f>
        <v>430851.46</v>
      </c>
    </row>
    <row r="16" spans="1:7" ht="21" customHeight="1" x14ac:dyDescent="0.3">
      <c r="A16" s="118">
        <f>A15+1</f>
        <v>6</v>
      </c>
      <c r="B16" s="130" t="s">
        <v>218</v>
      </c>
      <c r="C16" s="123" t="s">
        <v>194</v>
      </c>
      <c r="D16" s="128">
        <v>226.24</v>
      </c>
      <c r="E16" s="142">
        <v>4200</v>
      </c>
      <c r="F16" s="101">
        <f t="shared" si="1"/>
        <v>950208</v>
      </c>
      <c r="G16" s="101">
        <f t="shared" si="2"/>
        <v>1140249.6000000001</v>
      </c>
    </row>
    <row r="17" spans="1:7" ht="22.5" customHeight="1" x14ac:dyDescent="0.3">
      <c r="A17" s="118">
        <f>A16+1</f>
        <v>7</v>
      </c>
      <c r="B17" s="130" t="s">
        <v>219</v>
      </c>
      <c r="C17" s="123" t="s">
        <v>220</v>
      </c>
      <c r="D17" s="126">
        <v>1</v>
      </c>
      <c r="E17" s="141">
        <v>80000</v>
      </c>
      <c r="F17" s="101">
        <f t="shared" si="1"/>
        <v>80000</v>
      </c>
      <c r="G17" s="101">
        <f t="shared" si="2"/>
        <v>96000</v>
      </c>
    </row>
    <row r="18" spans="1:7" x14ac:dyDescent="0.3">
      <c r="A18" s="604" t="s">
        <v>221</v>
      </c>
      <c r="B18" s="604"/>
      <c r="C18" s="604"/>
      <c r="D18" s="604"/>
      <c r="E18" s="139"/>
      <c r="F18" s="139"/>
      <c r="G18" s="131"/>
    </row>
    <row r="19" spans="1:7" x14ac:dyDescent="0.3">
      <c r="A19" s="603" t="s">
        <v>207</v>
      </c>
      <c r="B19" s="603"/>
      <c r="C19" s="603"/>
      <c r="D19" s="603"/>
      <c r="E19" s="140"/>
      <c r="F19" s="140"/>
      <c r="G19" s="129"/>
    </row>
    <row r="20" spans="1:7" x14ac:dyDescent="0.3">
      <c r="A20" s="118">
        <f>A17+1</f>
        <v>8</v>
      </c>
      <c r="B20" s="130" t="s">
        <v>208</v>
      </c>
      <c r="C20" s="123" t="s">
        <v>193</v>
      </c>
      <c r="D20" s="146">
        <f>79.62</f>
        <v>79.62</v>
      </c>
      <c r="E20" s="142">
        <v>8650</v>
      </c>
      <c r="F20" s="101">
        <f>ROUND(E20*D20,2)</f>
        <v>688713</v>
      </c>
      <c r="G20" s="101">
        <f>ROUND(F20*1.2,2)</f>
        <v>826455.6</v>
      </c>
    </row>
    <row r="21" spans="1:7" x14ac:dyDescent="0.3">
      <c r="A21" s="118">
        <f>A20+1</f>
        <v>9</v>
      </c>
      <c r="B21" s="130" t="s">
        <v>209</v>
      </c>
      <c r="C21" s="123" t="s">
        <v>193</v>
      </c>
      <c r="D21" s="146">
        <v>308.73</v>
      </c>
      <c r="E21" s="142">
        <v>12450</v>
      </c>
      <c r="F21" s="101">
        <f>ROUND(E21*D21,2)</f>
        <v>3843688.5</v>
      </c>
      <c r="G21" s="101">
        <f>ROUND(F21*1.2,2)</f>
        <v>4612426.2</v>
      </c>
    </row>
    <row r="22" spans="1:7" ht="24" customHeight="1" x14ac:dyDescent="0.3">
      <c r="A22" s="118">
        <f t="shared" ref="A22:A23" si="3">A21+1</f>
        <v>10</v>
      </c>
      <c r="B22" s="130" t="s">
        <v>210</v>
      </c>
      <c r="C22" s="123" t="s">
        <v>193</v>
      </c>
      <c r="D22" s="146">
        <f>196.74</f>
        <v>196.74</v>
      </c>
      <c r="E22" s="142">
        <v>5165</v>
      </c>
      <c r="F22" s="101">
        <f>ROUND(E22*D22,2)</f>
        <v>1016162.1</v>
      </c>
      <c r="G22" s="101">
        <f>ROUND(F22*1.2,2)</f>
        <v>1219394.52</v>
      </c>
    </row>
    <row r="23" spans="1:7" ht="29.25" customHeight="1" x14ac:dyDescent="0.3">
      <c r="A23" s="118">
        <f t="shared" si="3"/>
        <v>11</v>
      </c>
      <c r="B23" s="132" t="s">
        <v>211</v>
      </c>
      <c r="C23" s="123"/>
      <c r="D23" s="126"/>
      <c r="E23" s="141"/>
      <c r="F23" s="142"/>
      <c r="G23" s="127"/>
    </row>
    <row r="24" spans="1:7" x14ac:dyDescent="0.3">
      <c r="A24" s="133">
        <v>11.1</v>
      </c>
      <c r="B24" s="130" t="s">
        <v>212</v>
      </c>
      <c r="C24" s="123" t="s">
        <v>193</v>
      </c>
      <c r="D24" s="126">
        <v>151</v>
      </c>
      <c r="E24" s="142">
        <v>1611</v>
      </c>
      <c r="F24" s="101">
        <f>ROUND(E24*D24,2)</f>
        <v>243261</v>
      </c>
      <c r="G24" s="101">
        <f>ROUND(F24*1.2,2)</f>
        <v>291913.2</v>
      </c>
    </row>
    <row r="25" spans="1:7" x14ac:dyDescent="0.3">
      <c r="A25" s="133">
        <v>11.2</v>
      </c>
      <c r="B25" s="130" t="s">
        <v>213</v>
      </c>
      <c r="C25" s="123" t="s">
        <v>193</v>
      </c>
      <c r="D25" s="126">
        <v>163</v>
      </c>
      <c r="E25" s="142">
        <v>1496</v>
      </c>
      <c r="F25" s="101">
        <f>ROUND(E25*D25,2)</f>
        <v>243848</v>
      </c>
      <c r="G25" s="101">
        <f>ROUND(F25*1.2,2)</f>
        <v>292617.59999999998</v>
      </c>
    </row>
    <row r="26" spans="1:7" x14ac:dyDescent="0.3">
      <c r="A26" s="133">
        <v>11.3</v>
      </c>
      <c r="B26" s="130" t="s">
        <v>214</v>
      </c>
      <c r="C26" s="123" t="s">
        <v>194</v>
      </c>
      <c r="D26" s="128">
        <v>226.24</v>
      </c>
      <c r="E26" s="142">
        <v>30</v>
      </c>
      <c r="F26" s="101">
        <f>ROUND(E26*D26,2)</f>
        <v>6787.2</v>
      </c>
      <c r="G26" s="101">
        <f>ROUND(F26*1.2,2)</f>
        <v>8144.64</v>
      </c>
    </row>
    <row r="27" spans="1:7" x14ac:dyDescent="0.3">
      <c r="A27" s="603" t="s">
        <v>222</v>
      </c>
      <c r="B27" s="603"/>
      <c r="C27" s="603"/>
      <c r="D27" s="603"/>
      <c r="E27" s="140"/>
      <c r="F27" s="140"/>
      <c r="G27" s="129"/>
    </row>
    <row r="28" spans="1:7" ht="66.75" customHeight="1" x14ac:dyDescent="0.3">
      <c r="A28" s="118">
        <f>A23+1</f>
        <v>12</v>
      </c>
      <c r="B28" s="130" t="s">
        <v>216</v>
      </c>
      <c r="C28" s="123" t="s">
        <v>194</v>
      </c>
      <c r="D28" s="128">
        <v>226.24</v>
      </c>
      <c r="E28" s="142">
        <v>1587</v>
      </c>
      <c r="F28" s="101">
        <f t="shared" ref="F28:F30" si="4">ROUND(E28*D28,2)</f>
        <v>359042.88</v>
      </c>
      <c r="G28" s="101">
        <f t="shared" ref="G28:G30" si="5">ROUND(F28*1.2,2)</f>
        <v>430851.46</v>
      </c>
    </row>
    <row r="29" spans="1:7" ht="24" customHeight="1" x14ac:dyDescent="0.3">
      <c r="A29" s="118">
        <f>A28+1</f>
        <v>13</v>
      </c>
      <c r="B29" s="130" t="s">
        <v>218</v>
      </c>
      <c r="C29" s="123" t="s">
        <v>194</v>
      </c>
      <c r="D29" s="128">
        <v>226.24</v>
      </c>
      <c r="E29" s="142">
        <v>4200</v>
      </c>
      <c r="F29" s="101">
        <f t="shared" si="4"/>
        <v>950208</v>
      </c>
      <c r="G29" s="101">
        <f t="shared" si="5"/>
        <v>1140249.6000000001</v>
      </c>
    </row>
    <row r="30" spans="1:7" ht="22.5" customHeight="1" x14ac:dyDescent="0.3">
      <c r="A30" s="118">
        <f>A29+1</f>
        <v>14</v>
      </c>
      <c r="B30" s="130" t="s">
        <v>219</v>
      </c>
      <c r="C30" s="123" t="s">
        <v>220</v>
      </c>
      <c r="D30" s="126">
        <v>1</v>
      </c>
      <c r="E30" s="141">
        <v>80000</v>
      </c>
      <c r="F30" s="101">
        <f t="shared" si="4"/>
        <v>80000</v>
      </c>
      <c r="G30" s="101">
        <f t="shared" si="5"/>
        <v>96000</v>
      </c>
    </row>
    <row r="31" spans="1:7" x14ac:dyDescent="0.3">
      <c r="A31" s="604" t="s">
        <v>223</v>
      </c>
      <c r="B31" s="604"/>
      <c r="C31" s="604"/>
      <c r="D31" s="604"/>
      <c r="E31" s="139"/>
      <c r="F31" s="139"/>
      <c r="G31" s="131"/>
    </row>
    <row r="32" spans="1:7" x14ac:dyDescent="0.3">
      <c r="A32" s="603" t="s">
        <v>207</v>
      </c>
      <c r="B32" s="603"/>
      <c r="C32" s="603"/>
      <c r="D32" s="603"/>
      <c r="E32" s="140"/>
      <c r="F32" s="140"/>
      <c r="G32" s="127"/>
    </row>
    <row r="33" spans="1:7" x14ac:dyDescent="0.3">
      <c r="A33" s="118">
        <f>A30+1</f>
        <v>15</v>
      </c>
      <c r="B33" s="130" t="s">
        <v>208</v>
      </c>
      <c r="C33" s="123" t="s">
        <v>193</v>
      </c>
      <c r="D33" s="146">
        <v>55.04</v>
      </c>
      <c r="E33" s="142">
        <v>8650</v>
      </c>
      <c r="F33" s="101">
        <f>ROUND(E33*D33,2)</f>
        <v>476096</v>
      </c>
      <c r="G33" s="101">
        <f>ROUND(F33*1.2,2)</f>
        <v>571315.19999999995</v>
      </c>
    </row>
    <row r="34" spans="1:7" x14ac:dyDescent="0.3">
      <c r="A34" s="118">
        <f>A33+1</f>
        <v>16</v>
      </c>
      <c r="B34" s="130" t="s">
        <v>209</v>
      </c>
      <c r="C34" s="123" t="s">
        <v>193</v>
      </c>
      <c r="D34" s="146">
        <v>213.41</v>
      </c>
      <c r="E34" s="142">
        <v>12450</v>
      </c>
      <c r="F34" s="101">
        <f>ROUND(E34*D34,2)</f>
        <v>2656954.5</v>
      </c>
      <c r="G34" s="101">
        <f>ROUND(F34*1.2,2)</f>
        <v>3188345.4</v>
      </c>
    </row>
    <row r="35" spans="1:7" ht="23.25" customHeight="1" x14ac:dyDescent="0.3">
      <c r="A35" s="118">
        <f>A34+1</f>
        <v>17</v>
      </c>
      <c r="B35" s="130" t="s">
        <v>210</v>
      </c>
      <c r="C35" s="123" t="s">
        <v>193</v>
      </c>
      <c r="D35" s="146">
        <f>136</f>
        <v>136</v>
      </c>
      <c r="E35" s="142">
        <v>5165</v>
      </c>
      <c r="F35" s="101">
        <f>ROUND(E35*D35,2)</f>
        <v>702440</v>
      </c>
      <c r="G35" s="101">
        <f>ROUND(F35*1.2,2)</f>
        <v>842928</v>
      </c>
    </row>
    <row r="36" spans="1:7" ht="27.6" x14ac:dyDescent="0.3">
      <c r="A36" s="118">
        <f>A35+1</f>
        <v>18</v>
      </c>
      <c r="B36" s="132" t="s">
        <v>211</v>
      </c>
      <c r="C36" s="123"/>
      <c r="D36" s="126"/>
      <c r="E36" s="141"/>
      <c r="F36" s="142"/>
      <c r="G36" s="127"/>
    </row>
    <row r="37" spans="1:7" x14ac:dyDescent="0.3">
      <c r="A37" s="133">
        <v>18.100000000000001</v>
      </c>
      <c r="B37" s="130" t="s">
        <v>212</v>
      </c>
      <c r="C37" s="123" t="s">
        <v>193</v>
      </c>
      <c r="D37" s="126">
        <v>105</v>
      </c>
      <c r="E37" s="142">
        <v>1611</v>
      </c>
      <c r="F37" s="101">
        <f>ROUND(E37*D37,2)</f>
        <v>169155</v>
      </c>
      <c r="G37" s="101">
        <f>ROUND(F37*1.2,2)</f>
        <v>202986</v>
      </c>
    </row>
    <row r="38" spans="1:7" x14ac:dyDescent="0.3">
      <c r="A38" s="133">
        <v>18.2</v>
      </c>
      <c r="B38" s="130" t="s">
        <v>213</v>
      </c>
      <c r="C38" s="123" t="s">
        <v>193</v>
      </c>
      <c r="D38" s="137">
        <v>112.6</v>
      </c>
      <c r="E38" s="142">
        <v>1496</v>
      </c>
      <c r="F38" s="101">
        <f>ROUND(E38*D38,2)</f>
        <v>168449.6</v>
      </c>
      <c r="G38" s="101">
        <f>ROUND(F38*1.2,2)</f>
        <v>202139.51999999999</v>
      </c>
    </row>
    <row r="39" spans="1:7" x14ac:dyDescent="0.3">
      <c r="A39" s="133">
        <v>18.3</v>
      </c>
      <c r="B39" s="130" t="s">
        <v>214</v>
      </c>
      <c r="C39" s="123" t="s">
        <v>194</v>
      </c>
      <c r="D39" s="128">
        <v>156.38999999999999</v>
      </c>
      <c r="E39" s="142">
        <v>30</v>
      </c>
      <c r="F39" s="101">
        <f>ROUND(E39*D39,2)</f>
        <v>4691.7</v>
      </c>
      <c r="G39" s="101">
        <f>ROUND(F39*1.2,2)</f>
        <v>5630.04</v>
      </c>
    </row>
    <row r="40" spans="1:7" x14ac:dyDescent="0.3">
      <c r="A40" s="603" t="s">
        <v>720</v>
      </c>
      <c r="B40" s="603"/>
      <c r="C40" s="603"/>
      <c r="D40" s="603"/>
      <c r="E40" s="140"/>
      <c r="F40" s="140"/>
      <c r="G40" s="129"/>
    </row>
    <row r="41" spans="1:7" ht="66.75" customHeight="1" x14ac:dyDescent="0.3">
      <c r="A41" s="118">
        <f>A36+1</f>
        <v>19</v>
      </c>
      <c r="B41" s="130" t="s">
        <v>216</v>
      </c>
      <c r="C41" s="123" t="s">
        <v>194</v>
      </c>
      <c r="D41" s="128">
        <v>156.38999999999999</v>
      </c>
      <c r="E41" s="142">
        <v>1587</v>
      </c>
      <c r="F41" s="101">
        <f t="shared" ref="F41:F43" si="6">ROUND(E41*D41,2)</f>
        <v>248190.93</v>
      </c>
      <c r="G41" s="101">
        <f t="shared" ref="G41:G43" si="7">ROUND(F41*1.2,2)</f>
        <v>297829.12</v>
      </c>
    </row>
    <row r="42" spans="1:7" ht="23.25" customHeight="1" x14ac:dyDescent="0.3">
      <c r="A42" s="118">
        <f>A41+1</f>
        <v>20</v>
      </c>
      <c r="B42" s="130" t="s">
        <v>218</v>
      </c>
      <c r="C42" s="123" t="s">
        <v>194</v>
      </c>
      <c r="D42" s="128">
        <v>156.38999999999999</v>
      </c>
      <c r="E42" s="142">
        <v>4200</v>
      </c>
      <c r="F42" s="101">
        <f t="shared" si="6"/>
        <v>656838</v>
      </c>
      <c r="G42" s="101">
        <f t="shared" si="7"/>
        <v>788205.6</v>
      </c>
    </row>
    <row r="43" spans="1:7" ht="22.5" customHeight="1" x14ac:dyDescent="0.3">
      <c r="A43" s="118">
        <f>A42+1</f>
        <v>21</v>
      </c>
      <c r="B43" s="130" t="s">
        <v>219</v>
      </c>
      <c r="C43" s="123" t="s">
        <v>220</v>
      </c>
      <c r="D43" s="126">
        <v>1</v>
      </c>
      <c r="E43" s="141">
        <v>80000</v>
      </c>
      <c r="F43" s="101">
        <f t="shared" si="6"/>
        <v>80000</v>
      </c>
      <c r="G43" s="101">
        <f t="shared" si="7"/>
        <v>96000</v>
      </c>
    </row>
    <row r="44" spans="1:7" x14ac:dyDescent="0.3">
      <c r="A44" s="604" t="s">
        <v>224</v>
      </c>
      <c r="B44" s="604"/>
      <c r="C44" s="604"/>
      <c r="D44" s="604"/>
      <c r="E44" s="139"/>
      <c r="F44" s="139"/>
      <c r="G44" s="131"/>
    </row>
    <row r="45" spans="1:7" x14ac:dyDescent="0.3">
      <c r="A45" s="603" t="s">
        <v>207</v>
      </c>
      <c r="B45" s="603"/>
      <c r="C45" s="603"/>
      <c r="D45" s="603"/>
      <c r="E45" s="140"/>
      <c r="F45" s="140"/>
      <c r="G45" s="129"/>
    </row>
    <row r="46" spans="1:7" x14ac:dyDescent="0.3">
      <c r="A46" s="118">
        <f>A43+1</f>
        <v>22</v>
      </c>
      <c r="B46" s="130" t="s">
        <v>208</v>
      </c>
      <c r="C46" s="123" t="s">
        <v>193</v>
      </c>
      <c r="D46" s="146">
        <v>34.22</v>
      </c>
      <c r="E46" s="142">
        <v>8650</v>
      </c>
      <c r="F46" s="101">
        <f>ROUND(E46*D46,2)</f>
        <v>296003</v>
      </c>
      <c r="G46" s="101">
        <f>ROUND(F46*1.2,2)</f>
        <v>355203.6</v>
      </c>
    </row>
    <row r="47" spans="1:7" x14ac:dyDescent="0.3">
      <c r="A47" s="118">
        <f>A46+1</f>
        <v>23</v>
      </c>
      <c r="B47" s="130" t="s">
        <v>209</v>
      </c>
      <c r="C47" s="123" t="s">
        <v>193</v>
      </c>
      <c r="D47" s="146">
        <v>132.63</v>
      </c>
      <c r="E47" s="142">
        <v>12450</v>
      </c>
      <c r="F47" s="101">
        <f>ROUND(E47*D47,2)</f>
        <v>1651243.5</v>
      </c>
      <c r="G47" s="101">
        <f>ROUND(F47*1.2,2)</f>
        <v>1981492.2</v>
      </c>
    </row>
    <row r="48" spans="1:7" ht="24" customHeight="1" x14ac:dyDescent="0.3">
      <c r="A48" s="118">
        <f t="shared" ref="A48:A49" si="8">A47+1</f>
        <v>24</v>
      </c>
      <c r="B48" s="130" t="s">
        <v>210</v>
      </c>
      <c r="C48" s="123" t="s">
        <v>193</v>
      </c>
      <c r="D48" s="146">
        <f>84.52</f>
        <v>84.52</v>
      </c>
      <c r="E48" s="142">
        <v>5165</v>
      </c>
      <c r="F48" s="101">
        <f>ROUND(E48*D48,2)</f>
        <v>436545.8</v>
      </c>
      <c r="G48" s="101">
        <f>ROUND(F48*1.2,2)</f>
        <v>523854.96</v>
      </c>
    </row>
    <row r="49" spans="1:8" ht="27.6" x14ac:dyDescent="0.3">
      <c r="A49" s="118">
        <f t="shared" si="8"/>
        <v>25</v>
      </c>
      <c r="B49" s="132" t="s">
        <v>211</v>
      </c>
      <c r="C49" s="123"/>
      <c r="D49" s="126"/>
      <c r="E49" s="141"/>
      <c r="F49" s="142"/>
      <c r="G49" s="127"/>
    </row>
    <row r="50" spans="1:8" x14ac:dyDescent="0.3">
      <c r="A50" s="133">
        <v>25.1</v>
      </c>
      <c r="B50" s="130" t="s">
        <v>212</v>
      </c>
      <c r="C50" s="123" t="s">
        <v>193</v>
      </c>
      <c r="D50" s="126">
        <v>65</v>
      </c>
      <c r="E50" s="142">
        <v>1611</v>
      </c>
      <c r="F50" s="101">
        <f>ROUND(E50*D50,2)</f>
        <v>104715</v>
      </c>
      <c r="G50" s="101">
        <f>ROUND(F50*1.2,2)</f>
        <v>125658</v>
      </c>
    </row>
    <row r="51" spans="1:8" x14ac:dyDescent="0.3">
      <c r="A51" s="133">
        <v>25.2</v>
      </c>
      <c r="B51" s="130" t="s">
        <v>213</v>
      </c>
      <c r="C51" s="123" t="s">
        <v>193</v>
      </c>
      <c r="D51" s="137">
        <v>70</v>
      </c>
      <c r="E51" s="142">
        <v>1496</v>
      </c>
      <c r="F51" s="101">
        <f>ROUND(E51*D51,2)</f>
        <v>104720</v>
      </c>
      <c r="G51" s="101">
        <f>ROUND(F51*1.2,2)</f>
        <v>125664</v>
      </c>
    </row>
    <row r="52" spans="1:8" x14ac:dyDescent="0.3">
      <c r="A52" s="133">
        <v>25.3</v>
      </c>
      <c r="B52" s="130" t="s">
        <v>214</v>
      </c>
      <c r="C52" s="123" t="s">
        <v>194</v>
      </c>
      <c r="D52" s="137">
        <v>97.2</v>
      </c>
      <c r="E52" s="142">
        <v>30</v>
      </c>
      <c r="F52" s="101">
        <f>ROUND(E52*D52,2)</f>
        <v>2916</v>
      </c>
      <c r="G52" s="101">
        <f>ROUND(F52*1.2,2)</f>
        <v>3499.2</v>
      </c>
    </row>
    <row r="53" spans="1:8" x14ac:dyDescent="0.3">
      <c r="A53" s="603" t="s">
        <v>225</v>
      </c>
      <c r="B53" s="603"/>
      <c r="C53" s="603"/>
      <c r="D53" s="603"/>
      <c r="E53" s="140"/>
      <c r="F53" s="140"/>
      <c r="G53" s="129"/>
    </row>
    <row r="54" spans="1:8" ht="62.25" customHeight="1" x14ac:dyDescent="0.3">
      <c r="A54" s="118">
        <f>A49+1</f>
        <v>26</v>
      </c>
      <c r="B54" s="130" t="s">
        <v>216</v>
      </c>
      <c r="C54" s="123" t="s">
        <v>194</v>
      </c>
      <c r="D54" s="128">
        <v>97.2</v>
      </c>
      <c r="E54" s="142">
        <v>1587</v>
      </c>
      <c r="F54" s="101">
        <f t="shared" ref="F54:F56" si="9">ROUND(E54*D54,2)</f>
        <v>154256.4</v>
      </c>
      <c r="G54" s="101">
        <f t="shared" ref="G54:G56" si="10">ROUND(F54*1.2,2)</f>
        <v>185107.68</v>
      </c>
    </row>
    <row r="55" spans="1:8" ht="24" customHeight="1" x14ac:dyDescent="0.3">
      <c r="A55" s="118">
        <f>A54+1</f>
        <v>27</v>
      </c>
      <c r="B55" s="130" t="s">
        <v>218</v>
      </c>
      <c r="C55" s="123" t="s">
        <v>194</v>
      </c>
      <c r="D55" s="128">
        <v>97.2</v>
      </c>
      <c r="E55" s="142">
        <v>4200</v>
      </c>
      <c r="F55" s="101">
        <f t="shared" si="9"/>
        <v>408240</v>
      </c>
      <c r="G55" s="101">
        <f t="shared" si="10"/>
        <v>489888</v>
      </c>
    </row>
    <row r="56" spans="1:8" ht="24" customHeight="1" x14ac:dyDescent="0.3">
      <c r="A56" s="118">
        <f>A55+1</f>
        <v>28</v>
      </c>
      <c r="B56" s="130" t="s">
        <v>219</v>
      </c>
      <c r="C56" s="123" t="s">
        <v>220</v>
      </c>
      <c r="D56" s="126">
        <v>1</v>
      </c>
      <c r="E56" s="141">
        <v>80000</v>
      </c>
      <c r="F56" s="101">
        <f t="shared" si="9"/>
        <v>80000</v>
      </c>
      <c r="G56" s="101">
        <f t="shared" si="10"/>
        <v>96000</v>
      </c>
    </row>
    <row r="57" spans="1:8" s="1" customFormat="1" x14ac:dyDescent="0.3">
      <c r="A57" s="143"/>
      <c r="B57" s="601" t="s">
        <v>439</v>
      </c>
      <c r="C57" s="601"/>
      <c r="D57" s="601"/>
      <c r="E57" s="601"/>
      <c r="F57" s="144">
        <f>SUM(F5:F56)</f>
        <v>23264876.789999999</v>
      </c>
      <c r="G57" s="145">
        <f>SUM(G5:G56)</f>
        <v>27917852.16</v>
      </c>
    </row>
    <row r="58" spans="1:8" x14ac:dyDescent="0.3">
      <c r="A58" s="533" t="s">
        <v>722</v>
      </c>
      <c r="B58" s="534"/>
      <c r="C58" s="534"/>
      <c r="D58" s="534"/>
      <c r="E58" s="535"/>
      <c r="F58" s="211">
        <f>ROUND(F57*0.03,2)</f>
        <v>697946.3</v>
      </c>
      <c r="G58" s="211">
        <f>ROUND(G57*0.03,2)</f>
        <v>837535.56</v>
      </c>
      <c r="H58" s="52"/>
    </row>
    <row r="59" spans="1:8" x14ac:dyDescent="0.3">
      <c r="A59" s="533" t="s">
        <v>723</v>
      </c>
      <c r="B59" s="534"/>
      <c r="C59" s="534"/>
      <c r="D59" s="534"/>
      <c r="E59" s="535"/>
      <c r="F59" s="211">
        <f>F57+F58</f>
        <v>23962823.09</v>
      </c>
      <c r="G59" s="211">
        <f>G57+G58</f>
        <v>28755387.719999999</v>
      </c>
      <c r="H59" s="52"/>
    </row>
  </sheetData>
  <mergeCells count="23">
    <mergeCell ref="F2:F3"/>
    <mergeCell ref="A1:A3"/>
    <mergeCell ref="A31:D31"/>
    <mergeCell ref="A32:D32"/>
    <mergeCell ref="A5:D5"/>
    <mergeCell ref="A6:D6"/>
    <mergeCell ref="A14:D14"/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</mergeCells>
  <pageMargins left="0.7" right="0.7" top="0.75" bottom="0.75" header="0.3" footer="0.3"/>
  <pageSetup paperSize="9" scale="6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605" t="s">
        <v>226</v>
      </c>
      <c r="B1" s="565" t="s">
        <v>227</v>
      </c>
      <c r="C1" s="565" t="s">
        <v>228</v>
      </c>
      <c r="D1" s="565" t="s">
        <v>229</v>
      </c>
      <c r="E1" s="606" t="s">
        <v>703</v>
      </c>
      <c r="F1" s="607"/>
      <c r="G1" s="608"/>
    </row>
    <row r="2" spans="1:7" x14ac:dyDescent="0.3">
      <c r="A2" s="605"/>
      <c r="B2" s="565"/>
      <c r="C2" s="565"/>
      <c r="D2" s="565"/>
      <c r="E2" s="609"/>
      <c r="F2" s="610"/>
      <c r="G2" s="611"/>
    </row>
    <row r="3" spans="1:7" ht="27.6" x14ac:dyDescent="0.3">
      <c r="A3" s="605"/>
      <c r="B3" s="565"/>
      <c r="C3" s="565"/>
      <c r="D3" s="565"/>
      <c r="E3" s="91" t="s">
        <v>196</v>
      </c>
      <c r="F3" s="103" t="s">
        <v>197</v>
      </c>
      <c r="G3" s="103" t="s">
        <v>199</v>
      </c>
    </row>
    <row r="4" spans="1:7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</row>
    <row r="5" spans="1:7" x14ac:dyDescent="0.3">
      <c r="A5" s="604" t="s">
        <v>206</v>
      </c>
      <c r="B5" s="604"/>
      <c r="C5" s="604"/>
      <c r="D5" s="604"/>
      <c r="E5" s="134"/>
      <c r="F5" s="134"/>
      <c r="G5" s="134"/>
    </row>
    <row r="6" spans="1:7" x14ac:dyDescent="0.3">
      <c r="A6" s="118">
        <v>1</v>
      </c>
      <c r="B6" s="66" t="s">
        <v>717</v>
      </c>
      <c r="C6" s="123" t="s">
        <v>193</v>
      </c>
      <c r="D6" s="126">
        <v>151</v>
      </c>
      <c r="E6" s="101">
        <v>5500</v>
      </c>
      <c r="F6" s="101">
        <f>ROUND(E6*D6,2)</f>
        <v>830500</v>
      </c>
      <c r="G6" s="101">
        <f>ROUND(F6*1.2,2)</f>
        <v>996600</v>
      </c>
    </row>
    <row r="7" spans="1:7" x14ac:dyDescent="0.3">
      <c r="A7" s="118">
        <f>A6+1</f>
        <v>2</v>
      </c>
      <c r="B7" s="66" t="s">
        <v>718</v>
      </c>
      <c r="C7" s="123" t="s">
        <v>193</v>
      </c>
      <c r="D7" s="126">
        <v>163</v>
      </c>
      <c r="E7" s="101">
        <v>1375</v>
      </c>
      <c r="F7" s="101">
        <f>ROUND(E7*D7,2)</f>
        <v>224125</v>
      </c>
      <c r="G7" s="101">
        <f>ROUND(F7*1.2,2)</f>
        <v>268950</v>
      </c>
    </row>
    <row r="8" spans="1:7" x14ac:dyDescent="0.3">
      <c r="A8" s="118">
        <f>A7+1</f>
        <v>3</v>
      </c>
      <c r="B8" s="66" t="s">
        <v>203</v>
      </c>
      <c r="C8" s="123" t="s">
        <v>194</v>
      </c>
      <c r="D8" s="128">
        <v>226.24</v>
      </c>
      <c r="E8" s="101">
        <v>168</v>
      </c>
      <c r="F8" s="101">
        <f>ROUND(E8*D8,2)</f>
        <v>38008.32</v>
      </c>
      <c r="G8" s="101">
        <f>ROUND(F8*1.2,2)</f>
        <v>45609.98</v>
      </c>
    </row>
    <row r="9" spans="1:7" ht="27.6" x14ac:dyDescent="0.3">
      <c r="A9" s="118">
        <f>A8+1</f>
        <v>4</v>
      </c>
      <c r="B9" s="130" t="s">
        <v>183</v>
      </c>
      <c r="C9" s="123" t="s">
        <v>194</v>
      </c>
      <c r="D9" s="128">
        <v>226.24</v>
      </c>
      <c r="E9" s="101">
        <f>ROUND(38500/1.2,2)</f>
        <v>32083.33</v>
      </c>
      <c r="F9" s="101">
        <f>ROUND(E9*D9,2)</f>
        <v>7258532.5800000001</v>
      </c>
      <c r="G9" s="101">
        <f>ROUND(F9*1.2,2)</f>
        <v>8710239.0999999996</v>
      </c>
    </row>
    <row r="10" spans="1:7" x14ac:dyDescent="0.3">
      <c r="A10" s="118">
        <f>A9+1</f>
        <v>5</v>
      </c>
      <c r="B10" s="138" t="s">
        <v>706</v>
      </c>
      <c r="C10" s="123" t="s">
        <v>178</v>
      </c>
      <c r="D10" s="97">
        <v>219</v>
      </c>
      <c r="E10" s="96">
        <f>ROUND(200/1.2,2)</f>
        <v>166.67</v>
      </c>
      <c r="F10" s="101">
        <f t="shared" ref="F10:F11" si="0">ROUND(E10*D10,2)</f>
        <v>36500.730000000003</v>
      </c>
      <c r="G10" s="101">
        <f t="shared" ref="G10:G11" si="1">ROUND(F10*1.2,2)</f>
        <v>43800.88</v>
      </c>
    </row>
    <row r="11" spans="1:7" x14ac:dyDescent="0.3">
      <c r="A11" s="118">
        <f t="shared" ref="A11:A13" si="2">A10+1</f>
        <v>6</v>
      </c>
      <c r="B11" s="138" t="s">
        <v>707</v>
      </c>
      <c r="C11" s="123" t="s">
        <v>178</v>
      </c>
      <c r="D11" s="97">
        <v>73</v>
      </c>
      <c r="E11" s="96">
        <f>ROUND(5841/1.2,2)</f>
        <v>4867.5</v>
      </c>
      <c r="F11" s="101">
        <f t="shared" si="0"/>
        <v>355327.5</v>
      </c>
      <c r="G11" s="101">
        <f t="shared" si="1"/>
        <v>426393</v>
      </c>
    </row>
    <row r="12" spans="1:7" x14ac:dyDescent="0.3">
      <c r="A12" s="118">
        <f t="shared" si="2"/>
        <v>7</v>
      </c>
      <c r="B12" s="130" t="s">
        <v>719</v>
      </c>
      <c r="C12" s="123" t="s">
        <v>217</v>
      </c>
      <c r="D12" s="126">
        <v>1</v>
      </c>
      <c r="E12" s="101">
        <v>110000</v>
      </c>
      <c r="F12" s="101">
        <f>ROUND(E12*D12,2)</f>
        <v>110000</v>
      </c>
      <c r="G12" s="101">
        <f>ROUND(F12*1.2,2)</f>
        <v>132000</v>
      </c>
    </row>
    <row r="13" spans="1:7" x14ac:dyDescent="0.3">
      <c r="A13" s="118">
        <f t="shared" si="2"/>
        <v>8</v>
      </c>
      <c r="B13" s="130" t="s">
        <v>191</v>
      </c>
      <c r="C13" s="123" t="s">
        <v>220</v>
      </c>
      <c r="D13" s="126">
        <v>1</v>
      </c>
      <c r="E13" s="101">
        <f>ROUND(154000/1.2,2)</f>
        <v>128333.33</v>
      </c>
      <c r="F13" s="101">
        <f>ROUND(E13*D13,2)</f>
        <v>128333.33</v>
      </c>
      <c r="G13" s="101">
        <f>ROUND(F13*1.2,2)</f>
        <v>154000</v>
      </c>
    </row>
    <row r="14" spans="1:7" x14ac:dyDescent="0.3">
      <c r="A14" s="604" t="s">
        <v>221</v>
      </c>
      <c r="B14" s="604"/>
      <c r="C14" s="604"/>
      <c r="D14" s="604"/>
      <c r="E14" s="135"/>
      <c r="F14" s="136"/>
      <c r="G14" s="136"/>
    </row>
    <row r="15" spans="1:7" x14ac:dyDescent="0.3">
      <c r="A15" s="118">
        <f>A13+1</f>
        <v>9</v>
      </c>
      <c r="B15" s="66" t="s">
        <v>717</v>
      </c>
      <c r="C15" s="123" t="s">
        <v>193</v>
      </c>
      <c r="D15" s="126">
        <v>151</v>
      </c>
      <c r="E15" s="101">
        <v>5500</v>
      </c>
      <c r="F15" s="101">
        <f>ROUND(E15*D15,2)</f>
        <v>830500</v>
      </c>
      <c r="G15" s="101">
        <f>ROUND(F15*1.2,2)</f>
        <v>996600</v>
      </c>
    </row>
    <row r="16" spans="1:7" x14ac:dyDescent="0.3">
      <c r="A16" s="118">
        <f>A15+1</f>
        <v>10</v>
      </c>
      <c r="B16" s="66" t="s">
        <v>718</v>
      </c>
      <c r="C16" s="123" t="s">
        <v>193</v>
      </c>
      <c r="D16" s="126">
        <v>163</v>
      </c>
      <c r="E16" s="101">
        <v>1375</v>
      </c>
      <c r="F16" s="101">
        <f>ROUND(E16*D16,2)</f>
        <v>224125</v>
      </c>
      <c r="G16" s="101">
        <f>ROUND(F16*1.2,2)</f>
        <v>268950</v>
      </c>
    </row>
    <row r="17" spans="1:7" x14ac:dyDescent="0.3">
      <c r="A17" s="118">
        <f>A16+1</f>
        <v>11</v>
      </c>
      <c r="B17" s="66" t="s">
        <v>203</v>
      </c>
      <c r="C17" s="123" t="s">
        <v>194</v>
      </c>
      <c r="D17" s="128">
        <v>226.24</v>
      </c>
      <c r="E17" s="101">
        <v>168</v>
      </c>
      <c r="F17" s="101">
        <f>ROUND(E17*D17,2)</f>
        <v>38008.32</v>
      </c>
      <c r="G17" s="101">
        <f>ROUND(F17*1.2,2)</f>
        <v>45609.98</v>
      </c>
    </row>
    <row r="18" spans="1:7" ht="27.6" x14ac:dyDescent="0.3">
      <c r="A18" s="118">
        <f>A17+1</f>
        <v>12</v>
      </c>
      <c r="B18" s="130" t="s">
        <v>183</v>
      </c>
      <c r="C18" s="123" t="s">
        <v>194</v>
      </c>
      <c r="D18" s="128">
        <v>226.24</v>
      </c>
      <c r="E18" s="101">
        <f>ROUND(38500/1.2,2)</f>
        <v>32083.33</v>
      </c>
      <c r="F18" s="101">
        <f>ROUND(E18*D18,2)</f>
        <v>7258532.5800000001</v>
      </c>
      <c r="G18" s="101">
        <f>ROUND(F18*1.2,2)</f>
        <v>8710239.0999999996</v>
      </c>
    </row>
    <row r="19" spans="1:7" x14ac:dyDescent="0.3">
      <c r="A19" s="118">
        <f>A18+1</f>
        <v>13</v>
      </c>
      <c r="B19" s="138" t="s">
        <v>706</v>
      </c>
      <c r="C19" s="123" t="s">
        <v>178</v>
      </c>
      <c r="D19" s="97">
        <v>219</v>
      </c>
      <c r="E19" s="96">
        <f>ROUND(200/1.2,2)</f>
        <v>166.67</v>
      </c>
      <c r="F19" s="101">
        <f t="shared" ref="F19:F20" si="3">ROUND(E19*D19,2)</f>
        <v>36500.730000000003</v>
      </c>
      <c r="G19" s="101">
        <f t="shared" ref="G19:G20" si="4">ROUND(F19*1.2,2)</f>
        <v>43800.88</v>
      </c>
    </row>
    <row r="20" spans="1:7" x14ac:dyDescent="0.3">
      <c r="A20" s="118">
        <f t="shared" ref="A20:A22" si="5">A19+1</f>
        <v>14</v>
      </c>
      <c r="B20" s="138" t="s">
        <v>707</v>
      </c>
      <c r="C20" s="123" t="s">
        <v>178</v>
      </c>
      <c r="D20" s="97">
        <v>73</v>
      </c>
      <c r="E20" s="96">
        <f>ROUND(5841/1.2,2)</f>
        <v>4867.5</v>
      </c>
      <c r="F20" s="101">
        <f t="shared" si="3"/>
        <v>355327.5</v>
      </c>
      <c r="G20" s="101">
        <f t="shared" si="4"/>
        <v>426393</v>
      </c>
    </row>
    <row r="21" spans="1:7" x14ac:dyDescent="0.3">
      <c r="A21" s="118">
        <f t="shared" si="5"/>
        <v>15</v>
      </c>
      <c r="B21" s="130" t="s">
        <v>719</v>
      </c>
      <c r="C21" s="123" t="s">
        <v>217</v>
      </c>
      <c r="D21" s="126">
        <v>1</v>
      </c>
      <c r="E21" s="101">
        <v>330000</v>
      </c>
      <c r="F21" s="101">
        <f>ROUND(E21*D21,2)</f>
        <v>330000</v>
      </c>
      <c r="G21" s="101">
        <f>ROUND(F21*1.2,2)</f>
        <v>396000</v>
      </c>
    </row>
    <row r="22" spans="1:7" x14ac:dyDescent="0.3">
      <c r="A22" s="118">
        <f t="shared" si="5"/>
        <v>16</v>
      </c>
      <c r="B22" s="130" t="s">
        <v>191</v>
      </c>
      <c r="C22" s="123" t="s">
        <v>220</v>
      </c>
      <c r="D22" s="126">
        <v>1</v>
      </c>
      <c r="E22" s="101">
        <f>ROUND(154000/1.2,2)</f>
        <v>128333.33</v>
      </c>
      <c r="F22" s="101">
        <f>ROUND(E22*D22,2)</f>
        <v>128333.33</v>
      </c>
      <c r="G22" s="101">
        <f>ROUND(F22*1.2,2)</f>
        <v>154000</v>
      </c>
    </row>
    <row r="23" spans="1:7" x14ac:dyDescent="0.3">
      <c r="A23" s="604" t="s">
        <v>223</v>
      </c>
      <c r="B23" s="604"/>
      <c r="C23" s="604"/>
      <c r="D23" s="604"/>
      <c r="E23" s="135"/>
      <c r="F23" s="136"/>
      <c r="G23" s="136"/>
    </row>
    <row r="24" spans="1:7" x14ac:dyDescent="0.3">
      <c r="A24" s="118">
        <f>A22+1</f>
        <v>17</v>
      </c>
      <c r="B24" s="66" t="s">
        <v>717</v>
      </c>
      <c r="C24" s="123" t="s">
        <v>193</v>
      </c>
      <c r="D24" s="126">
        <v>105</v>
      </c>
      <c r="E24" s="101">
        <v>5500</v>
      </c>
      <c r="F24" s="101">
        <f>ROUND(E24*D24,2)</f>
        <v>577500</v>
      </c>
      <c r="G24" s="101">
        <f>ROUND(F24*1.2,2)</f>
        <v>693000</v>
      </c>
    </row>
    <row r="25" spans="1:7" x14ac:dyDescent="0.3">
      <c r="A25" s="118">
        <f>A24+1</f>
        <v>18</v>
      </c>
      <c r="B25" s="66" t="s">
        <v>718</v>
      </c>
      <c r="C25" s="123" t="s">
        <v>193</v>
      </c>
      <c r="D25" s="137">
        <v>112.6</v>
      </c>
      <c r="E25" s="101">
        <v>1375</v>
      </c>
      <c r="F25" s="101">
        <f>ROUND(E25*D25,2)</f>
        <v>154825</v>
      </c>
      <c r="G25" s="101">
        <f>ROUND(F25*1.2,2)</f>
        <v>185790</v>
      </c>
    </row>
    <row r="26" spans="1:7" x14ac:dyDescent="0.3">
      <c r="A26" s="118">
        <f>A25+1</f>
        <v>19</v>
      </c>
      <c r="B26" s="66" t="s">
        <v>203</v>
      </c>
      <c r="C26" s="123" t="s">
        <v>194</v>
      </c>
      <c r="D26" s="128">
        <v>156.38999999999999</v>
      </c>
      <c r="E26" s="101">
        <v>168</v>
      </c>
      <c r="F26" s="101">
        <f>ROUND(E26*D26,2)</f>
        <v>26273.52</v>
      </c>
      <c r="G26" s="101">
        <f>ROUND(F26*1.2,2)</f>
        <v>31528.22</v>
      </c>
    </row>
    <row r="27" spans="1:7" ht="27.6" x14ac:dyDescent="0.3">
      <c r="A27" s="118">
        <f>A26+1</f>
        <v>20</v>
      </c>
      <c r="B27" s="130" t="s">
        <v>183</v>
      </c>
      <c r="C27" s="123" t="s">
        <v>194</v>
      </c>
      <c r="D27" s="128">
        <v>156.38999999999999</v>
      </c>
      <c r="E27" s="101">
        <f>ROUND(38500/1.2,2)</f>
        <v>32083.33</v>
      </c>
      <c r="F27" s="101">
        <f>ROUND(E27*D27,2)</f>
        <v>5017511.9800000004</v>
      </c>
      <c r="G27" s="101">
        <f>ROUND(F27*1.2,2)</f>
        <v>6021014.3799999999</v>
      </c>
    </row>
    <row r="28" spans="1:7" x14ac:dyDescent="0.3">
      <c r="A28" s="118">
        <f>A27+1</f>
        <v>21</v>
      </c>
      <c r="B28" s="138" t="s">
        <v>706</v>
      </c>
      <c r="C28" s="123" t="s">
        <v>178</v>
      </c>
      <c r="D28" s="97">
        <v>151</v>
      </c>
      <c r="E28" s="96">
        <f>ROUND(200/1.2,2)</f>
        <v>166.67</v>
      </c>
      <c r="F28" s="101">
        <f t="shared" ref="F28:F29" si="6">ROUND(E28*D28,2)</f>
        <v>25167.17</v>
      </c>
      <c r="G28" s="101">
        <f t="shared" ref="G28:G29" si="7">ROUND(F28*1.2,2)</f>
        <v>30200.6</v>
      </c>
    </row>
    <row r="29" spans="1:7" x14ac:dyDescent="0.3">
      <c r="A29" s="118">
        <f t="shared" ref="A29:A31" si="8">A28+1</f>
        <v>22</v>
      </c>
      <c r="B29" s="138" t="s">
        <v>707</v>
      </c>
      <c r="C29" s="123" t="s">
        <v>178</v>
      </c>
      <c r="D29" s="97">
        <v>50</v>
      </c>
      <c r="E29" s="96">
        <f>ROUND(5841/1.2,2)</f>
        <v>4867.5</v>
      </c>
      <c r="F29" s="101">
        <f t="shared" si="6"/>
        <v>243375</v>
      </c>
      <c r="G29" s="101">
        <f t="shared" si="7"/>
        <v>292050</v>
      </c>
    </row>
    <row r="30" spans="1:7" x14ac:dyDescent="0.3">
      <c r="A30" s="118">
        <f t="shared" si="8"/>
        <v>23</v>
      </c>
      <c r="B30" s="130" t="s">
        <v>719</v>
      </c>
      <c r="C30" s="123" t="s">
        <v>217</v>
      </c>
      <c r="D30" s="126">
        <v>1</v>
      </c>
      <c r="E30" s="101">
        <v>110000</v>
      </c>
      <c r="F30" s="101">
        <f>ROUND(E30*D30,2)</f>
        <v>110000</v>
      </c>
      <c r="G30" s="101">
        <f>ROUND(F30*1.2,2)</f>
        <v>132000</v>
      </c>
    </row>
    <row r="31" spans="1:7" x14ac:dyDescent="0.3">
      <c r="A31" s="118">
        <f t="shared" si="8"/>
        <v>24</v>
      </c>
      <c r="B31" s="130" t="s">
        <v>191</v>
      </c>
      <c r="C31" s="123" t="s">
        <v>220</v>
      </c>
      <c r="D31" s="126">
        <v>1</v>
      </c>
      <c r="E31" s="101">
        <f>ROUND(154000/1.2,2)</f>
        <v>128333.33</v>
      </c>
      <c r="F31" s="101">
        <f>ROUND(E31*D31,2)</f>
        <v>128333.33</v>
      </c>
      <c r="G31" s="101">
        <f>ROUND(F31*1.2,2)</f>
        <v>154000</v>
      </c>
    </row>
    <row r="32" spans="1:7" x14ac:dyDescent="0.3">
      <c r="A32" s="604" t="s">
        <v>224</v>
      </c>
      <c r="B32" s="604"/>
      <c r="C32" s="604"/>
      <c r="D32" s="604"/>
      <c r="E32" s="135"/>
      <c r="F32" s="136"/>
      <c r="G32" s="136"/>
    </row>
    <row r="33" spans="1:7" x14ac:dyDescent="0.3">
      <c r="A33" s="118">
        <f>A31+1</f>
        <v>25</v>
      </c>
      <c r="B33" s="66" t="s">
        <v>717</v>
      </c>
      <c r="C33" s="123" t="s">
        <v>193</v>
      </c>
      <c r="D33" s="126">
        <v>65</v>
      </c>
      <c r="E33" s="101">
        <v>5500</v>
      </c>
      <c r="F33" s="101">
        <f>ROUND(E33*D33,2)</f>
        <v>357500</v>
      </c>
      <c r="G33" s="101">
        <f>ROUND(F33*1.2,2)</f>
        <v>429000</v>
      </c>
    </row>
    <row r="34" spans="1:7" x14ac:dyDescent="0.3">
      <c r="A34" s="118">
        <f>A33+1</f>
        <v>26</v>
      </c>
      <c r="B34" s="66" t="s">
        <v>718</v>
      </c>
      <c r="C34" s="123" t="s">
        <v>193</v>
      </c>
      <c r="D34" s="137">
        <v>70</v>
      </c>
      <c r="E34" s="101">
        <v>1375</v>
      </c>
      <c r="F34" s="101">
        <f>ROUND(E34*D34,2)</f>
        <v>96250</v>
      </c>
      <c r="G34" s="101">
        <f>ROUND(F34*1.2,2)</f>
        <v>115500</v>
      </c>
    </row>
    <row r="35" spans="1:7" x14ac:dyDescent="0.3">
      <c r="A35" s="118">
        <f>A34+1</f>
        <v>27</v>
      </c>
      <c r="B35" s="66" t="s">
        <v>203</v>
      </c>
      <c r="C35" s="123" t="s">
        <v>194</v>
      </c>
      <c r="D35" s="137">
        <v>97.2</v>
      </c>
      <c r="E35" s="101">
        <v>168</v>
      </c>
      <c r="F35" s="101">
        <f>ROUND(E35*D35,2)</f>
        <v>16329.6</v>
      </c>
      <c r="G35" s="101">
        <f>ROUND(F35*1.2,2)</f>
        <v>19595.52</v>
      </c>
    </row>
    <row r="36" spans="1:7" ht="27.6" x14ac:dyDescent="0.3">
      <c r="A36" s="118">
        <f>A35+1</f>
        <v>28</v>
      </c>
      <c r="B36" s="130" t="s">
        <v>183</v>
      </c>
      <c r="C36" s="123" t="s">
        <v>194</v>
      </c>
      <c r="D36" s="128">
        <v>97.2</v>
      </c>
      <c r="E36" s="101">
        <f>ROUND(38500/1.2,2)</f>
        <v>32083.33</v>
      </c>
      <c r="F36" s="101">
        <f>ROUND(E36*D36,2)</f>
        <v>3118499.68</v>
      </c>
      <c r="G36" s="101">
        <f>ROUND(F36*1.2,2)</f>
        <v>3742199.62</v>
      </c>
    </row>
    <row r="37" spans="1:7" x14ac:dyDescent="0.3">
      <c r="A37" s="118">
        <f>A36+1</f>
        <v>29</v>
      </c>
      <c r="B37" s="138" t="s">
        <v>706</v>
      </c>
      <c r="C37" s="123" t="s">
        <v>178</v>
      </c>
      <c r="D37" s="126">
        <v>95</v>
      </c>
      <c r="E37" s="96">
        <f>ROUND(200/1.2,2)</f>
        <v>166.67</v>
      </c>
      <c r="F37" s="101">
        <f t="shared" ref="F37:F38" si="9">ROUND(E37*D37,2)</f>
        <v>15833.65</v>
      </c>
      <c r="G37" s="101">
        <f t="shared" ref="G37:G38" si="10">ROUND(F37*1.2,2)</f>
        <v>19000.38</v>
      </c>
    </row>
    <row r="38" spans="1:7" x14ac:dyDescent="0.3">
      <c r="A38" s="118">
        <f t="shared" ref="A38:A40" si="11">A37+1</f>
        <v>30</v>
      </c>
      <c r="B38" s="138" t="s">
        <v>707</v>
      </c>
      <c r="C38" s="123" t="s">
        <v>178</v>
      </c>
      <c r="D38" s="126">
        <v>32</v>
      </c>
      <c r="E38" s="96">
        <f>ROUND(5841/1.2,2)</f>
        <v>4867.5</v>
      </c>
      <c r="F38" s="101">
        <f t="shared" si="9"/>
        <v>155760</v>
      </c>
      <c r="G38" s="101">
        <f t="shared" si="10"/>
        <v>186912</v>
      </c>
    </row>
    <row r="39" spans="1:7" x14ac:dyDescent="0.3">
      <c r="A39" s="118">
        <f t="shared" si="11"/>
        <v>31</v>
      </c>
      <c r="B39" s="130" t="s">
        <v>719</v>
      </c>
      <c r="C39" s="123" t="s">
        <v>217</v>
      </c>
      <c r="D39" s="126">
        <v>1</v>
      </c>
      <c r="E39" s="101">
        <v>110000</v>
      </c>
      <c r="F39" s="101">
        <f>ROUND(E39*D39,2)</f>
        <v>110000</v>
      </c>
      <c r="G39" s="101">
        <f>ROUND(F39*1.2,2)</f>
        <v>132000</v>
      </c>
    </row>
    <row r="40" spans="1:7" x14ac:dyDescent="0.3">
      <c r="A40" s="118">
        <f t="shared" si="11"/>
        <v>32</v>
      </c>
      <c r="B40" s="130" t="s">
        <v>191</v>
      </c>
      <c r="C40" s="123" t="s">
        <v>220</v>
      </c>
      <c r="D40" s="126">
        <v>1</v>
      </c>
      <c r="E40" s="101">
        <f>ROUND(154000/1.2,2)</f>
        <v>128333.33</v>
      </c>
      <c r="F40" s="101">
        <f>ROUND(E40*D40,2)</f>
        <v>128333.33</v>
      </c>
      <c r="G40" s="101">
        <f>ROUND(F40*1.2,2)</f>
        <v>154000</v>
      </c>
    </row>
    <row r="41" spans="1:7" s="1" customFormat="1" ht="18.75" customHeight="1" x14ac:dyDescent="0.3">
      <c r="A41" s="99"/>
      <c r="B41" s="612" t="s">
        <v>721</v>
      </c>
      <c r="C41" s="613"/>
      <c r="D41" s="613"/>
      <c r="E41" s="614"/>
      <c r="F41" s="110">
        <f>SUM(F6:F40)</f>
        <v>28464147.179999996</v>
      </c>
      <c r="G41" s="110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38"/>
  <sheetViews>
    <sheetView view="pageBreakPreview" topLeftCell="A202" zoomScale="80" zoomScaleNormal="100" zoomScaleSheetLayoutView="80" workbookViewId="0">
      <selection activeCell="D183" sqref="D18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55" customHeight="1" x14ac:dyDescent="0.3">
      <c r="A1" s="539" t="s">
        <v>226</v>
      </c>
      <c r="B1" s="542" t="s">
        <v>201</v>
      </c>
      <c r="C1" s="545" t="s">
        <v>230</v>
      </c>
      <c r="D1" s="545" t="s">
        <v>202</v>
      </c>
      <c r="E1" s="550" t="s">
        <v>703</v>
      </c>
      <c r="F1" s="615"/>
      <c r="G1" s="615"/>
    </row>
    <row r="2" spans="1:8" ht="14.55" customHeight="1" x14ac:dyDescent="0.3">
      <c r="A2" s="540"/>
      <c r="B2" s="543"/>
      <c r="C2" s="545"/>
      <c r="D2" s="545"/>
      <c r="E2" s="551"/>
      <c r="F2" s="549"/>
      <c r="G2" s="549"/>
    </row>
    <row r="3" spans="1:8" ht="55.95" customHeight="1" x14ac:dyDescent="0.3">
      <c r="A3" s="541"/>
      <c r="B3" s="544"/>
      <c r="C3" s="545"/>
      <c r="D3" s="545"/>
      <c r="E3" s="89" t="s">
        <v>441</v>
      </c>
      <c r="F3" s="89" t="s">
        <v>433</v>
      </c>
      <c r="G3" s="100" t="s">
        <v>409</v>
      </c>
    </row>
    <row r="4" spans="1:8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</row>
    <row r="5" spans="1:8" ht="20.25" customHeight="1" x14ac:dyDescent="0.3">
      <c r="A5" s="173"/>
      <c r="B5" s="537" t="s">
        <v>232</v>
      </c>
      <c r="C5" s="538"/>
      <c r="D5" s="538"/>
      <c r="E5" s="174"/>
      <c r="F5" s="175"/>
      <c r="G5" s="183"/>
    </row>
    <row r="6" spans="1:8" ht="20.25" customHeight="1" x14ac:dyDescent="0.3">
      <c r="A6" s="88"/>
      <c r="B6" s="61" t="s">
        <v>442</v>
      </c>
      <c r="C6" s="62"/>
      <c r="D6" s="62"/>
      <c r="E6" s="63"/>
      <c r="F6" s="64"/>
      <c r="G6" s="127"/>
    </row>
    <row r="7" spans="1:8" ht="15.6" x14ac:dyDescent="0.3">
      <c r="A7" s="65">
        <v>1</v>
      </c>
      <c r="B7" s="66" t="s">
        <v>443</v>
      </c>
      <c r="C7" s="73" t="s">
        <v>193</v>
      </c>
      <c r="D7" s="70">
        <v>1080</v>
      </c>
      <c r="E7" s="171">
        <v>325</v>
      </c>
      <c r="F7" s="101">
        <f t="shared" ref="F7:F61" si="0">ROUND(E7*D7,2)</f>
        <v>351000</v>
      </c>
      <c r="G7" s="101">
        <f t="shared" ref="G7:G61" si="1">ROUND(F7*1.2,2)</f>
        <v>421200</v>
      </c>
    </row>
    <row r="8" spans="1:8" ht="15.6" x14ac:dyDescent="0.3">
      <c r="A8" s="65">
        <f>A7+1</f>
        <v>2</v>
      </c>
      <c r="B8" s="66" t="s">
        <v>444</v>
      </c>
      <c r="C8" s="73" t="s">
        <v>193</v>
      </c>
      <c r="D8" s="70">
        <v>20</v>
      </c>
      <c r="E8" s="171">
        <v>1777</v>
      </c>
      <c r="F8" s="101">
        <f t="shared" si="0"/>
        <v>35540</v>
      </c>
      <c r="G8" s="101">
        <f t="shared" si="1"/>
        <v>42648</v>
      </c>
    </row>
    <row r="9" spans="1:8" ht="15.6" x14ac:dyDescent="0.3">
      <c r="A9" s="65">
        <f>A8+1</f>
        <v>3</v>
      </c>
      <c r="B9" s="66" t="s">
        <v>445</v>
      </c>
      <c r="C9" s="65" t="s">
        <v>239</v>
      </c>
      <c r="D9" s="70">
        <v>1744</v>
      </c>
      <c r="E9" s="171">
        <v>3460</v>
      </c>
      <c r="F9" s="101">
        <f t="shared" si="0"/>
        <v>6034240</v>
      </c>
      <c r="G9" s="101">
        <f t="shared" si="1"/>
        <v>7241088</v>
      </c>
    </row>
    <row r="10" spans="1:8" ht="15.6" x14ac:dyDescent="0.3">
      <c r="A10" s="65">
        <f t="shared" ref="A10:A15" si="2">A9+1</f>
        <v>4</v>
      </c>
      <c r="B10" s="66" t="s">
        <v>446</v>
      </c>
      <c r="C10" s="65" t="s">
        <v>193</v>
      </c>
      <c r="D10" s="70">
        <v>1090</v>
      </c>
      <c r="E10" s="171">
        <v>50</v>
      </c>
      <c r="F10" s="101">
        <f t="shared" si="0"/>
        <v>54500</v>
      </c>
      <c r="G10" s="101">
        <f t="shared" si="1"/>
        <v>65400</v>
      </c>
    </row>
    <row r="11" spans="1:8" ht="15.6" x14ac:dyDescent="0.3">
      <c r="A11" s="65">
        <f t="shared" si="2"/>
        <v>5</v>
      </c>
      <c r="B11" s="66" t="s">
        <v>447</v>
      </c>
      <c r="C11" s="65" t="s">
        <v>431</v>
      </c>
      <c r="D11" s="70">
        <v>1030</v>
      </c>
      <c r="E11" s="171">
        <v>325</v>
      </c>
      <c r="F11" s="101">
        <f t="shared" si="0"/>
        <v>334750</v>
      </c>
      <c r="G11" s="101">
        <f t="shared" si="1"/>
        <v>401700</v>
      </c>
    </row>
    <row r="12" spans="1:8" ht="15.6" x14ac:dyDescent="0.3">
      <c r="A12" s="65">
        <f t="shared" si="2"/>
        <v>6</v>
      </c>
      <c r="B12" s="66" t="s">
        <v>448</v>
      </c>
      <c r="C12" s="65" t="s">
        <v>431</v>
      </c>
      <c r="D12" s="70">
        <v>10</v>
      </c>
      <c r="E12" s="171">
        <v>899</v>
      </c>
      <c r="F12" s="101">
        <f t="shared" si="0"/>
        <v>8990</v>
      </c>
      <c r="G12" s="101">
        <f t="shared" si="1"/>
        <v>10788</v>
      </c>
    </row>
    <row r="13" spans="1:8" ht="19.5" customHeight="1" x14ac:dyDescent="0.3">
      <c r="A13" s="65">
        <f t="shared" si="2"/>
        <v>7</v>
      </c>
      <c r="B13" s="66" t="s">
        <v>449</v>
      </c>
      <c r="C13" s="65" t="s">
        <v>193</v>
      </c>
      <c r="D13" s="70">
        <v>8</v>
      </c>
      <c r="E13" s="171">
        <v>325</v>
      </c>
      <c r="F13" s="101">
        <f t="shared" si="0"/>
        <v>2600</v>
      </c>
      <c r="G13" s="101">
        <f t="shared" si="1"/>
        <v>3120</v>
      </c>
    </row>
    <row r="14" spans="1:8" ht="15.6" x14ac:dyDescent="0.3">
      <c r="A14" s="65">
        <f t="shared" si="2"/>
        <v>8</v>
      </c>
      <c r="B14" s="66" t="s">
        <v>450</v>
      </c>
      <c r="C14" s="65" t="s">
        <v>193</v>
      </c>
      <c r="D14" s="70">
        <v>2</v>
      </c>
      <c r="E14" s="171">
        <v>899</v>
      </c>
      <c r="F14" s="101">
        <f t="shared" si="0"/>
        <v>1798</v>
      </c>
      <c r="G14" s="101">
        <f t="shared" si="1"/>
        <v>2157.6</v>
      </c>
    </row>
    <row r="15" spans="1:8" ht="15.6" x14ac:dyDescent="0.3">
      <c r="A15" s="65">
        <f t="shared" si="2"/>
        <v>9</v>
      </c>
      <c r="B15" s="66" t="s">
        <v>451</v>
      </c>
      <c r="C15" s="65" t="s">
        <v>193</v>
      </c>
      <c r="D15" s="70">
        <v>10</v>
      </c>
      <c r="E15" s="171">
        <v>203</v>
      </c>
      <c r="F15" s="101">
        <f t="shared" si="0"/>
        <v>2030</v>
      </c>
      <c r="G15" s="101">
        <f t="shared" si="1"/>
        <v>2436</v>
      </c>
    </row>
    <row r="16" spans="1:8" ht="15.6" x14ac:dyDescent="0.3">
      <c r="A16" s="65"/>
      <c r="B16" s="61" t="s">
        <v>233</v>
      </c>
      <c r="C16" s="65"/>
      <c r="D16" s="70"/>
      <c r="E16" s="181"/>
      <c r="F16" s="101"/>
      <c r="G16" s="101"/>
    </row>
    <row r="17" spans="1:7" ht="15.6" x14ac:dyDescent="0.3">
      <c r="A17" s="65">
        <f>A15+1</f>
        <v>10</v>
      </c>
      <c r="B17" s="66" t="s">
        <v>452</v>
      </c>
      <c r="C17" s="65" t="s">
        <v>193</v>
      </c>
      <c r="D17" s="70">
        <v>168</v>
      </c>
      <c r="E17" s="171">
        <v>1111</v>
      </c>
      <c r="F17" s="101">
        <f t="shared" si="0"/>
        <v>186648</v>
      </c>
      <c r="G17" s="101">
        <f t="shared" si="1"/>
        <v>223977.60000000001</v>
      </c>
    </row>
    <row r="18" spans="1:7" ht="27.6" x14ac:dyDescent="0.3">
      <c r="A18" s="65">
        <f>A17+1</f>
        <v>11</v>
      </c>
      <c r="B18" s="66" t="s">
        <v>453</v>
      </c>
      <c r="C18" s="65" t="s">
        <v>431</v>
      </c>
      <c r="D18" s="70">
        <v>1030</v>
      </c>
      <c r="E18" s="171">
        <v>253</v>
      </c>
      <c r="F18" s="101">
        <f t="shared" si="0"/>
        <v>260590</v>
      </c>
      <c r="G18" s="101">
        <f t="shared" si="1"/>
        <v>312708</v>
      </c>
    </row>
    <row r="19" spans="1:7" ht="15.6" x14ac:dyDescent="0.3">
      <c r="A19" s="65">
        <f>A18+1</f>
        <v>12</v>
      </c>
      <c r="B19" s="66" t="s">
        <v>454</v>
      </c>
      <c r="C19" s="65" t="s">
        <v>431</v>
      </c>
      <c r="D19" s="70">
        <v>1030</v>
      </c>
      <c r="E19" s="171">
        <v>468</v>
      </c>
      <c r="F19" s="101">
        <f t="shared" si="0"/>
        <v>482040</v>
      </c>
      <c r="G19" s="101">
        <f t="shared" si="1"/>
        <v>578448</v>
      </c>
    </row>
    <row r="20" spans="1:7" ht="15.6" x14ac:dyDescent="0.3">
      <c r="A20" s="65">
        <f>A19+1</f>
        <v>13</v>
      </c>
      <c r="B20" s="66" t="s">
        <v>455</v>
      </c>
      <c r="C20" s="65" t="s">
        <v>193</v>
      </c>
      <c r="D20" s="70">
        <v>121</v>
      </c>
      <c r="E20" s="171">
        <v>1475</v>
      </c>
      <c r="F20" s="101">
        <f t="shared" si="0"/>
        <v>178475</v>
      </c>
      <c r="G20" s="101">
        <f t="shared" si="1"/>
        <v>214170</v>
      </c>
    </row>
    <row r="21" spans="1:7" ht="27.6" x14ac:dyDescent="0.3">
      <c r="A21" s="65">
        <f>A20+1</f>
        <v>14</v>
      </c>
      <c r="B21" s="66" t="s">
        <v>456</v>
      </c>
      <c r="C21" s="65" t="s">
        <v>431</v>
      </c>
      <c r="D21" s="70">
        <v>770</v>
      </c>
      <c r="E21" s="171">
        <v>1140</v>
      </c>
      <c r="F21" s="101">
        <f t="shared" si="0"/>
        <v>877800</v>
      </c>
      <c r="G21" s="101">
        <f t="shared" si="1"/>
        <v>1053360</v>
      </c>
    </row>
    <row r="22" spans="1:7" ht="15.6" x14ac:dyDescent="0.3">
      <c r="A22" s="65">
        <f t="shared" ref="A22:A23" si="3">A21+1</f>
        <v>15</v>
      </c>
      <c r="B22" s="66" t="s">
        <v>457</v>
      </c>
      <c r="C22" s="65" t="s">
        <v>431</v>
      </c>
      <c r="D22" s="70">
        <v>150</v>
      </c>
      <c r="E22" s="171">
        <v>1440</v>
      </c>
      <c r="F22" s="101">
        <f t="shared" si="0"/>
        <v>216000</v>
      </c>
      <c r="G22" s="101">
        <f t="shared" si="1"/>
        <v>259200</v>
      </c>
    </row>
    <row r="23" spans="1:7" ht="15.6" x14ac:dyDescent="0.3">
      <c r="A23" s="65">
        <f t="shared" si="3"/>
        <v>16</v>
      </c>
      <c r="B23" s="66" t="s">
        <v>458</v>
      </c>
      <c r="C23" s="65" t="s">
        <v>194</v>
      </c>
      <c r="D23" s="70">
        <v>100</v>
      </c>
      <c r="E23" s="171">
        <v>1205</v>
      </c>
      <c r="F23" s="101">
        <f t="shared" si="0"/>
        <v>120500</v>
      </c>
      <c r="G23" s="101">
        <f t="shared" si="1"/>
        <v>144600</v>
      </c>
    </row>
    <row r="24" spans="1:7" ht="15.6" x14ac:dyDescent="0.3">
      <c r="A24" s="65"/>
      <c r="B24" s="61" t="s">
        <v>244</v>
      </c>
      <c r="C24" s="65"/>
      <c r="D24" s="70"/>
      <c r="E24" s="181"/>
      <c r="F24" s="101"/>
      <c r="G24" s="101"/>
    </row>
    <row r="25" spans="1:7" ht="27.6" x14ac:dyDescent="0.3">
      <c r="A25" s="65">
        <f>A23+1</f>
        <v>17</v>
      </c>
      <c r="B25" s="66" t="s">
        <v>459</v>
      </c>
      <c r="C25" s="65" t="s">
        <v>194</v>
      </c>
      <c r="D25" s="70">
        <v>156</v>
      </c>
      <c r="E25" s="171">
        <v>2348</v>
      </c>
      <c r="F25" s="101">
        <f t="shared" si="0"/>
        <v>366288</v>
      </c>
      <c r="G25" s="101">
        <f t="shared" si="1"/>
        <v>439545.59999999998</v>
      </c>
    </row>
    <row r="26" spans="1:7" ht="20.399999999999999" x14ac:dyDescent="0.3">
      <c r="A26" s="88"/>
      <c r="B26" s="61" t="s">
        <v>251</v>
      </c>
      <c r="C26" s="62"/>
      <c r="D26" s="62"/>
      <c r="E26" s="182"/>
      <c r="F26" s="101"/>
      <c r="G26" s="101"/>
    </row>
    <row r="27" spans="1:7" ht="15.6" x14ac:dyDescent="0.3">
      <c r="A27" s="65"/>
      <c r="B27" s="72" t="s">
        <v>460</v>
      </c>
      <c r="C27" s="73"/>
      <c r="D27" s="74"/>
      <c r="E27" s="181"/>
      <c r="F27" s="101"/>
      <c r="G27" s="101"/>
    </row>
    <row r="28" spans="1:7" ht="15.6" x14ac:dyDescent="0.3">
      <c r="A28" s="65">
        <f>A25+1</f>
        <v>18</v>
      </c>
      <c r="B28" s="66" t="s">
        <v>461</v>
      </c>
      <c r="C28" s="65" t="s">
        <v>193</v>
      </c>
      <c r="D28" s="67">
        <v>1.92</v>
      </c>
      <c r="E28" s="171">
        <v>3979</v>
      </c>
      <c r="F28" s="101">
        <f t="shared" si="0"/>
        <v>7639.68</v>
      </c>
      <c r="G28" s="101">
        <f t="shared" si="1"/>
        <v>9167.6200000000008</v>
      </c>
    </row>
    <row r="29" spans="1:7" ht="15.6" x14ac:dyDescent="0.3">
      <c r="A29" s="65">
        <f t="shared" ref="A29:A37" si="4">A28+1</f>
        <v>19</v>
      </c>
      <c r="B29" s="66" t="s">
        <v>462</v>
      </c>
      <c r="C29" s="65" t="s">
        <v>193</v>
      </c>
      <c r="D29" s="67">
        <v>7.2</v>
      </c>
      <c r="E29" s="171">
        <v>8423</v>
      </c>
      <c r="F29" s="101">
        <f t="shared" si="0"/>
        <v>60645.599999999999</v>
      </c>
      <c r="G29" s="101">
        <f t="shared" si="1"/>
        <v>72774.720000000001</v>
      </c>
    </row>
    <row r="30" spans="1:7" ht="15.6" x14ac:dyDescent="0.3">
      <c r="A30" s="65">
        <f t="shared" si="4"/>
        <v>20</v>
      </c>
      <c r="B30" s="66" t="s">
        <v>463</v>
      </c>
      <c r="C30" s="65" t="s">
        <v>239</v>
      </c>
      <c r="D30" s="76">
        <v>0.13239999999999999</v>
      </c>
      <c r="E30" s="171">
        <v>150291</v>
      </c>
      <c r="F30" s="101">
        <f t="shared" si="0"/>
        <v>19898.53</v>
      </c>
      <c r="G30" s="101">
        <f t="shared" si="1"/>
        <v>23878.240000000002</v>
      </c>
    </row>
    <row r="31" spans="1:7" ht="15.6" x14ac:dyDescent="0.3">
      <c r="A31" s="65">
        <f t="shared" si="4"/>
        <v>21</v>
      </c>
      <c r="B31" s="66" t="s">
        <v>464</v>
      </c>
      <c r="C31" s="65" t="s">
        <v>431</v>
      </c>
      <c r="D31" s="67">
        <v>35.840000000000003</v>
      </c>
      <c r="E31" s="171">
        <v>320</v>
      </c>
      <c r="F31" s="101">
        <f t="shared" si="0"/>
        <v>11468.8</v>
      </c>
      <c r="G31" s="101">
        <f t="shared" si="1"/>
        <v>13762.56</v>
      </c>
    </row>
    <row r="32" spans="1:7" ht="15.6" x14ac:dyDescent="0.3">
      <c r="A32" s="65"/>
      <c r="B32" s="72" t="s">
        <v>263</v>
      </c>
      <c r="C32" s="65"/>
      <c r="D32" s="67"/>
      <c r="E32" s="181"/>
      <c r="F32" s="101"/>
      <c r="G32" s="101"/>
    </row>
    <row r="33" spans="1:7" ht="15.6" x14ac:dyDescent="0.3">
      <c r="A33" s="65">
        <f>A31+1</f>
        <v>22</v>
      </c>
      <c r="B33" s="66" t="s">
        <v>461</v>
      </c>
      <c r="C33" s="65" t="s">
        <v>193</v>
      </c>
      <c r="D33" s="67">
        <v>1.8</v>
      </c>
      <c r="E33" s="171">
        <v>3979</v>
      </c>
      <c r="F33" s="101">
        <f t="shared" si="0"/>
        <v>7162.2</v>
      </c>
      <c r="G33" s="101">
        <f t="shared" si="1"/>
        <v>8594.64</v>
      </c>
    </row>
    <row r="34" spans="1:7" ht="15.6" x14ac:dyDescent="0.3">
      <c r="A34" s="65">
        <f t="shared" si="4"/>
        <v>23</v>
      </c>
      <c r="B34" s="66" t="s">
        <v>462</v>
      </c>
      <c r="C34" s="65" t="s">
        <v>193</v>
      </c>
      <c r="D34" s="67">
        <v>3.6</v>
      </c>
      <c r="E34" s="171">
        <v>8435</v>
      </c>
      <c r="F34" s="101">
        <f t="shared" si="0"/>
        <v>30366</v>
      </c>
      <c r="G34" s="101">
        <f t="shared" si="1"/>
        <v>36439.199999999997</v>
      </c>
    </row>
    <row r="35" spans="1:7" ht="15.6" x14ac:dyDescent="0.3">
      <c r="A35" s="65">
        <f t="shared" si="4"/>
        <v>24</v>
      </c>
      <c r="B35" s="66" t="s">
        <v>465</v>
      </c>
      <c r="C35" s="65" t="s">
        <v>239</v>
      </c>
      <c r="D35" s="76">
        <v>0.12640000000000001</v>
      </c>
      <c r="E35" s="171">
        <v>73989</v>
      </c>
      <c r="F35" s="101">
        <f t="shared" si="0"/>
        <v>9352.2099999999991</v>
      </c>
      <c r="G35" s="101">
        <f t="shared" si="1"/>
        <v>11222.65</v>
      </c>
    </row>
    <row r="36" spans="1:7" ht="15.6" x14ac:dyDescent="0.3">
      <c r="A36" s="65">
        <f t="shared" si="4"/>
        <v>25</v>
      </c>
      <c r="B36" s="66" t="s">
        <v>466</v>
      </c>
      <c r="C36" s="65" t="s">
        <v>239</v>
      </c>
      <c r="D36" s="80">
        <v>0.20216000000000001</v>
      </c>
      <c r="E36" s="171">
        <v>150291</v>
      </c>
      <c r="F36" s="101">
        <f t="shared" si="0"/>
        <v>30382.83</v>
      </c>
      <c r="G36" s="101">
        <f t="shared" si="1"/>
        <v>36459.4</v>
      </c>
    </row>
    <row r="37" spans="1:7" ht="15.6" x14ac:dyDescent="0.3">
      <c r="A37" s="65">
        <f t="shared" si="4"/>
        <v>26</v>
      </c>
      <c r="B37" s="66" t="s">
        <v>464</v>
      </c>
      <c r="C37" s="65" t="s">
        <v>431</v>
      </c>
      <c r="D37" s="67">
        <v>26.4</v>
      </c>
      <c r="E37" s="171">
        <v>320</v>
      </c>
      <c r="F37" s="101">
        <f t="shared" si="0"/>
        <v>8448</v>
      </c>
      <c r="G37" s="101">
        <f t="shared" si="1"/>
        <v>10137.6</v>
      </c>
    </row>
    <row r="38" spans="1:7" ht="15.6" x14ac:dyDescent="0.3">
      <c r="A38" s="65"/>
      <c r="B38" s="61" t="s">
        <v>283</v>
      </c>
      <c r="C38" s="73"/>
      <c r="D38" s="74"/>
      <c r="E38" s="181"/>
      <c r="F38" s="101"/>
      <c r="G38" s="101"/>
    </row>
    <row r="39" spans="1:7" ht="15.6" x14ac:dyDescent="0.3">
      <c r="A39" s="65"/>
      <c r="B39" s="72" t="s">
        <v>284</v>
      </c>
      <c r="C39" s="73"/>
      <c r="D39" s="74"/>
      <c r="E39" s="181"/>
      <c r="F39" s="101"/>
      <c r="G39" s="101"/>
    </row>
    <row r="40" spans="1:7" ht="15.6" x14ac:dyDescent="0.3">
      <c r="A40" s="65">
        <f>A37+1</f>
        <v>27</v>
      </c>
      <c r="B40" s="66" t="s">
        <v>467</v>
      </c>
      <c r="C40" s="65" t="s">
        <v>239</v>
      </c>
      <c r="D40" s="75">
        <v>2.2160000000000002</v>
      </c>
      <c r="E40" s="171">
        <v>150291</v>
      </c>
      <c r="F40" s="101">
        <f t="shared" si="0"/>
        <v>333044.86</v>
      </c>
      <c r="G40" s="101">
        <f t="shared" si="1"/>
        <v>399653.83</v>
      </c>
    </row>
    <row r="41" spans="1:7" ht="15.6" x14ac:dyDescent="0.3">
      <c r="A41" s="65">
        <f>A40+1</f>
        <v>28</v>
      </c>
      <c r="B41" s="66" t="s">
        <v>468</v>
      </c>
      <c r="C41" s="65" t="s">
        <v>431</v>
      </c>
      <c r="D41" s="71">
        <v>55.4</v>
      </c>
      <c r="E41" s="171">
        <v>152</v>
      </c>
      <c r="F41" s="101">
        <f t="shared" si="0"/>
        <v>8420.7999999999993</v>
      </c>
      <c r="G41" s="101">
        <f t="shared" si="1"/>
        <v>10104.959999999999</v>
      </c>
    </row>
    <row r="42" spans="1:7" ht="15.6" x14ac:dyDescent="0.3">
      <c r="A42" s="65">
        <f t="shared" ref="A42:A44" si="5">A41+1</f>
        <v>29</v>
      </c>
      <c r="B42" s="66" t="s">
        <v>469</v>
      </c>
      <c r="C42" s="65" t="s">
        <v>431</v>
      </c>
      <c r="D42" s="71">
        <v>55.4</v>
      </c>
      <c r="E42" s="171">
        <v>152</v>
      </c>
      <c r="F42" s="101">
        <f t="shared" si="0"/>
        <v>8420.7999999999993</v>
      </c>
      <c r="G42" s="101">
        <f t="shared" si="1"/>
        <v>10104.959999999999</v>
      </c>
    </row>
    <row r="43" spans="1:7" ht="15.6" x14ac:dyDescent="0.3">
      <c r="A43" s="65">
        <f t="shared" si="5"/>
        <v>30</v>
      </c>
      <c r="B43" s="66" t="s">
        <v>470</v>
      </c>
      <c r="C43" s="73" t="s">
        <v>431</v>
      </c>
      <c r="D43" s="67">
        <v>1.08</v>
      </c>
      <c r="E43" s="171">
        <v>1454</v>
      </c>
      <c r="F43" s="101">
        <f t="shared" si="0"/>
        <v>1570.32</v>
      </c>
      <c r="G43" s="101">
        <f t="shared" si="1"/>
        <v>1884.38</v>
      </c>
    </row>
    <row r="44" spans="1:7" ht="15.6" x14ac:dyDescent="0.3">
      <c r="A44" s="65">
        <f t="shared" si="5"/>
        <v>31</v>
      </c>
      <c r="B44" s="66" t="s">
        <v>471</v>
      </c>
      <c r="C44" s="73" t="s">
        <v>193</v>
      </c>
      <c r="D44" s="67">
        <v>0.84</v>
      </c>
      <c r="E44" s="171">
        <v>12612</v>
      </c>
      <c r="F44" s="101">
        <f t="shared" si="0"/>
        <v>10594.08</v>
      </c>
      <c r="G44" s="101">
        <f t="shared" si="1"/>
        <v>12712.9</v>
      </c>
    </row>
    <row r="45" spans="1:7" ht="15.6" x14ac:dyDescent="0.3">
      <c r="A45" s="65"/>
      <c r="B45" s="72" t="s">
        <v>472</v>
      </c>
      <c r="C45" s="73"/>
      <c r="D45" s="184"/>
      <c r="E45" s="181"/>
      <c r="F45" s="101"/>
      <c r="G45" s="101"/>
    </row>
    <row r="46" spans="1:7" ht="15.6" x14ac:dyDescent="0.3">
      <c r="A46" s="65">
        <f>A44+1</f>
        <v>32</v>
      </c>
      <c r="B46" s="66" t="s">
        <v>473</v>
      </c>
      <c r="C46" s="73" t="s">
        <v>239</v>
      </c>
      <c r="D46" s="80">
        <v>2.5645500000000001</v>
      </c>
      <c r="E46" s="171">
        <v>73989</v>
      </c>
      <c r="F46" s="101">
        <f t="shared" si="0"/>
        <v>189748.49</v>
      </c>
      <c r="G46" s="101">
        <f t="shared" si="1"/>
        <v>227698.19</v>
      </c>
    </row>
    <row r="47" spans="1:7" ht="15.6" x14ac:dyDescent="0.3">
      <c r="A47" s="65">
        <f t="shared" ref="A47:A53" si="6">A46+1</f>
        <v>33</v>
      </c>
      <c r="B47" s="66" t="s">
        <v>468</v>
      </c>
      <c r="C47" s="65" t="s">
        <v>431</v>
      </c>
      <c r="D47" s="70">
        <v>65</v>
      </c>
      <c r="E47" s="171">
        <v>152</v>
      </c>
      <c r="F47" s="101">
        <f t="shared" si="0"/>
        <v>9880</v>
      </c>
      <c r="G47" s="101">
        <f t="shared" si="1"/>
        <v>11856</v>
      </c>
    </row>
    <row r="48" spans="1:7" ht="15.6" x14ac:dyDescent="0.3">
      <c r="A48" s="65">
        <f t="shared" si="6"/>
        <v>34</v>
      </c>
      <c r="B48" s="66" t="s">
        <v>469</v>
      </c>
      <c r="C48" s="65" t="s">
        <v>431</v>
      </c>
      <c r="D48" s="70">
        <v>65</v>
      </c>
      <c r="E48" s="171">
        <v>152</v>
      </c>
      <c r="F48" s="101">
        <f t="shared" si="0"/>
        <v>9880</v>
      </c>
      <c r="G48" s="101">
        <f t="shared" si="1"/>
        <v>11856</v>
      </c>
    </row>
    <row r="49" spans="1:7" ht="15.6" x14ac:dyDescent="0.3">
      <c r="A49" s="65"/>
      <c r="B49" s="61" t="s">
        <v>314</v>
      </c>
      <c r="C49" s="73"/>
      <c r="D49" s="184"/>
      <c r="E49" s="181"/>
      <c r="F49" s="101"/>
      <c r="G49" s="101"/>
    </row>
    <row r="50" spans="1:7" ht="15.6" x14ac:dyDescent="0.3">
      <c r="A50" s="65"/>
      <c r="B50" s="72" t="s">
        <v>315</v>
      </c>
      <c r="C50" s="73"/>
      <c r="D50" s="184"/>
      <c r="E50" s="181"/>
      <c r="F50" s="101"/>
      <c r="G50" s="101"/>
    </row>
    <row r="51" spans="1:7" ht="15.6" x14ac:dyDescent="0.3">
      <c r="A51" s="65">
        <f>A48+1</f>
        <v>35</v>
      </c>
      <c r="B51" s="66" t="s">
        <v>461</v>
      </c>
      <c r="C51" s="65" t="s">
        <v>193</v>
      </c>
      <c r="D51" s="67">
        <v>0.11</v>
      </c>
      <c r="E51" s="171">
        <v>3979</v>
      </c>
      <c r="F51" s="101">
        <f t="shared" si="0"/>
        <v>437.69</v>
      </c>
      <c r="G51" s="101">
        <f t="shared" si="1"/>
        <v>525.23</v>
      </c>
    </row>
    <row r="52" spans="1:7" ht="15.6" x14ac:dyDescent="0.3">
      <c r="A52" s="65">
        <f t="shared" si="6"/>
        <v>36</v>
      </c>
      <c r="B52" s="66" t="s">
        <v>474</v>
      </c>
      <c r="C52" s="65" t="s">
        <v>193</v>
      </c>
      <c r="D52" s="67">
        <v>0.5</v>
      </c>
      <c r="E52" s="171">
        <v>20591</v>
      </c>
      <c r="F52" s="101">
        <f t="shared" si="0"/>
        <v>10295.5</v>
      </c>
      <c r="G52" s="101">
        <f t="shared" si="1"/>
        <v>12354.6</v>
      </c>
    </row>
    <row r="53" spans="1:7" ht="15.6" x14ac:dyDescent="0.3">
      <c r="A53" s="65">
        <f t="shared" si="6"/>
        <v>37</v>
      </c>
      <c r="B53" s="66" t="s">
        <v>475</v>
      </c>
      <c r="C53" s="65" t="s">
        <v>239</v>
      </c>
      <c r="D53" s="75">
        <v>0.20300000000000001</v>
      </c>
      <c r="E53" s="171">
        <v>69473</v>
      </c>
      <c r="F53" s="101">
        <f t="shared" si="0"/>
        <v>14103.02</v>
      </c>
      <c r="G53" s="101">
        <f t="shared" si="1"/>
        <v>16923.62</v>
      </c>
    </row>
    <row r="54" spans="1:7" ht="15.6" x14ac:dyDescent="0.3">
      <c r="A54" s="65"/>
      <c r="B54" s="72" t="s">
        <v>320</v>
      </c>
      <c r="C54" s="73"/>
      <c r="D54" s="67"/>
      <c r="E54" s="181"/>
      <c r="F54" s="101"/>
      <c r="G54" s="101"/>
    </row>
    <row r="55" spans="1:7" ht="15.6" x14ac:dyDescent="0.3">
      <c r="A55" s="65">
        <f>A53+1</f>
        <v>38</v>
      </c>
      <c r="B55" s="66" t="s">
        <v>476</v>
      </c>
      <c r="C55" s="73" t="s">
        <v>194</v>
      </c>
      <c r="D55" s="70">
        <v>12</v>
      </c>
      <c r="E55" s="171">
        <v>1670</v>
      </c>
      <c r="F55" s="101">
        <f t="shared" si="0"/>
        <v>20040</v>
      </c>
      <c r="G55" s="101">
        <f t="shared" si="1"/>
        <v>24048</v>
      </c>
    </row>
    <row r="56" spans="1:7" ht="15.6" x14ac:dyDescent="0.3">
      <c r="A56" s="65">
        <f t="shared" ref="A56:A61" si="7">A55+1</f>
        <v>39</v>
      </c>
      <c r="B56" s="66" t="s">
        <v>477</v>
      </c>
      <c r="C56" s="73" t="s">
        <v>194</v>
      </c>
      <c r="D56" s="67">
        <v>9.56</v>
      </c>
      <c r="E56" s="171">
        <v>1999</v>
      </c>
      <c r="F56" s="101">
        <f t="shared" si="0"/>
        <v>19110.439999999999</v>
      </c>
      <c r="G56" s="101">
        <f t="shared" si="1"/>
        <v>22932.53</v>
      </c>
    </row>
    <row r="57" spans="1:7" ht="15.6" x14ac:dyDescent="0.3">
      <c r="A57" s="65">
        <f t="shared" si="7"/>
        <v>40</v>
      </c>
      <c r="B57" s="66" t="s">
        <v>478</v>
      </c>
      <c r="C57" s="73" t="s">
        <v>431</v>
      </c>
      <c r="D57" s="67">
        <v>8.6</v>
      </c>
      <c r="E57" s="171">
        <v>1007.6976744186048</v>
      </c>
      <c r="F57" s="101">
        <f t="shared" si="0"/>
        <v>8666.2000000000007</v>
      </c>
      <c r="G57" s="101">
        <f t="shared" si="1"/>
        <v>10399.44</v>
      </c>
    </row>
    <row r="58" spans="1:7" ht="15.6" x14ac:dyDescent="0.3">
      <c r="A58" s="65">
        <f t="shared" si="7"/>
        <v>41</v>
      </c>
      <c r="B58" s="66" t="s">
        <v>479</v>
      </c>
      <c r="C58" s="73" t="s">
        <v>431</v>
      </c>
      <c r="D58" s="67">
        <v>8.6</v>
      </c>
      <c r="E58" s="171">
        <v>85</v>
      </c>
      <c r="F58" s="101">
        <f t="shared" si="0"/>
        <v>731</v>
      </c>
      <c r="G58" s="101">
        <f t="shared" si="1"/>
        <v>877.2</v>
      </c>
    </row>
    <row r="59" spans="1:7" ht="15.6" x14ac:dyDescent="0.3">
      <c r="A59" s="65">
        <f t="shared" si="7"/>
        <v>42</v>
      </c>
      <c r="B59" s="66" t="s">
        <v>480</v>
      </c>
      <c r="C59" s="73" t="s">
        <v>431</v>
      </c>
      <c r="D59" s="67">
        <v>8.6</v>
      </c>
      <c r="E59" s="171">
        <v>104.87</v>
      </c>
      <c r="F59" s="101">
        <f t="shared" si="0"/>
        <v>901.88</v>
      </c>
      <c r="G59" s="101">
        <f t="shared" si="1"/>
        <v>1082.26</v>
      </c>
    </row>
    <row r="60" spans="1:7" ht="15.6" x14ac:dyDescent="0.3">
      <c r="A60" s="65">
        <f t="shared" si="7"/>
        <v>43</v>
      </c>
      <c r="B60" s="66" t="s">
        <v>481</v>
      </c>
      <c r="C60" s="73" t="s">
        <v>431</v>
      </c>
      <c r="D60" s="67">
        <v>8.6</v>
      </c>
      <c r="E60" s="171">
        <v>152</v>
      </c>
      <c r="F60" s="101">
        <f t="shared" si="0"/>
        <v>1307.2</v>
      </c>
      <c r="G60" s="101">
        <f t="shared" si="1"/>
        <v>1568.64</v>
      </c>
    </row>
    <row r="61" spans="1:7" ht="15.6" x14ac:dyDescent="0.3">
      <c r="A61" s="65">
        <f t="shared" si="7"/>
        <v>44</v>
      </c>
      <c r="B61" s="66" t="s">
        <v>482</v>
      </c>
      <c r="C61" s="73" t="s">
        <v>431</v>
      </c>
      <c r="D61" s="67">
        <v>8.6</v>
      </c>
      <c r="E61" s="171">
        <v>152</v>
      </c>
      <c r="F61" s="101">
        <f t="shared" si="0"/>
        <v>1307.2</v>
      </c>
      <c r="G61" s="101">
        <f t="shared" si="1"/>
        <v>1568.64</v>
      </c>
    </row>
    <row r="62" spans="1:7" ht="22.5" customHeight="1" x14ac:dyDescent="0.3">
      <c r="A62" s="173"/>
      <c r="B62" s="537" t="s">
        <v>341</v>
      </c>
      <c r="C62" s="538"/>
      <c r="D62" s="538"/>
      <c r="E62" s="174"/>
      <c r="F62" s="185"/>
      <c r="G62" s="131"/>
    </row>
    <row r="63" spans="1:7" x14ac:dyDescent="0.3">
      <c r="A63" s="65"/>
      <c r="B63" s="61" t="s">
        <v>342</v>
      </c>
      <c r="C63" s="73"/>
      <c r="D63" s="74"/>
      <c r="E63" s="87"/>
      <c r="F63" s="87"/>
      <c r="G63" s="127"/>
    </row>
    <row r="64" spans="1:7" ht="15.6" x14ac:dyDescent="0.3">
      <c r="A64" s="65">
        <f>A61+1</f>
        <v>45</v>
      </c>
      <c r="B64" s="66" t="s">
        <v>483</v>
      </c>
      <c r="C64" s="65" t="s">
        <v>193</v>
      </c>
      <c r="D64" s="67">
        <v>6.4</v>
      </c>
      <c r="E64" s="171">
        <v>1240</v>
      </c>
      <c r="F64" s="101">
        <f t="shared" ref="F64:F82" si="8">ROUND(E64*D64,2)</f>
        <v>7936</v>
      </c>
      <c r="G64" s="101">
        <f t="shared" ref="G64:G82" si="9">ROUND(F64*1.2,2)</f>
        <v>9523.2000000000007</v>
      </c>
    </row>
    <row r="65" spans="1:7" ht="15.6" x14ac:dyDescent="0.3">
      <c r="A65" s="65">
        <f t="shared" ref="A65:A82" si="10">A64+1</f>
        <v>46</v>
      </c>
      <c r="B65" s="66" t="s">
        <v>484</v>
      </c>
      <c r="C65" s="65" t="s">
        <v>194</v>
      </c>
      <c r="D65" s="70">
        <v>65</v>
      </c>
      <c r="E65" s="171">
        <v>2455</v>
      </c>
      <c r="F65" s="101">
        <f t="shared" si="8"/>
        <v>159575</v>
      </c>
      <c r="G65" s="101">
        <f t="shared" si="9"/>
        <v>191490</v>
      </c>
    </row>
    <row r="66" spans="1:7" ht="15.6" x14ac:dyDescent="0.3">
      <c r="A66" s="65">
        <f t="shared" si="10"/>
        <v>47</v>
      </c>
      <c r="B66" s="66" t="s">
        <v>485</v>
      </c>
      <c r="C66" s="65" t="s">
        <v>431</v>
      </c>
      <c r="D66" s="67">
        <v>50.49</v>
      </c>
      <c r="E66" s="171">
        <v>315</v>
      </c>
      <c r="F66" s="101">
        <f t="shared" si="8"/>
        <v>15904.35</v>
      </c>
      <c r="G66" s="101">
        <f t="shared" si="9"/>
        <v>19085.22</v>
      </c>
    </row>
    <row r="67" spans="1:7" ht="15.6" x14ac:dyDescent="0.3">
      <c r="A67" s="65"/>
      <c r="B67" s="72" t="s">
        <v>486</v>
      </c>
      <c r="C67" s="73"/>
      <c r="D67" s="67"/>
      <c r="E67" s="181"/>
      <c r="F67" s="101"/>
      <c r="G67" s="101"/>
    </row>
    <row r="68" spans="1:7" ht="15.6" x14ac:dyDescent="0.3">
      <c r="A68" s="65">
        <f>A66+1</f>
        <v>48</v>
      </c>
      <c r="B68" s="66" t="s">
        <v>487</v>
      </c>
      <c r="C68" s="65" t="s">
        <v>193</v>
      </c>
      <c r="D68" s="67">
        <v>3.75</v>
      </c>
      <c r="E68" s="171">
        <v>1777</v>
      </c>
      <c r="F68" s="101">
        <f t="shared" si="8"/>
        <v>6663.75</v>
      </c>
      <c r="G68" s="101">
        <f t="shared" si="9"/>
        <v>7996.5</v>
      </c>
    </row>
    <row r="69" spans="1:7" ht="15.6" x14ac:dyDescent="0.3">
      <c r="A69" s="65">
        <f t="shared" si="10"/>
        <v>49</v>
      </c>
      <c r="B69" s="66" t="s">
        <v>488</v>
      </c>
      <c r="C69" s="65" t="s">
        <v>193</v>
      </c>
      <c r="D69" s="67">
        <v>1.25</v>
      </c>
      <c r="E69" s="171">
        <v>899</v>
      </c>
      <c r="F69" s="101">
        <f t="shared" si="8"/>
        <v>1123.75</v>
      </c>
      <c r="G69" s="101">
        <f t="shared" si="9"/>
        <v>1348.5</v>
      </c>
    </row>
    <row r="70" spans="1:7" ht="15.6" x14ac:dyDescent="0.3">
      <c r="A70" s="65">
        <f t="shared" si="10"/>
        <v>50</v>
      </c>
      <c r="B70" s="66" t="s">
        <v>489</v>
      </c>
      <c r="C70" s="65" t="s">
        <v>193</v>
      </c>
      <c r="D70" s="67">
        <v>2.2000000000000002</v>
      </c>
      <c r="E70" s="171">
        <v>6056</v>
      </c>
      <c r="F70" s="101">
        <f t="shared" si="8"/>
        <v>13323.2</v>
      </c>
      <c r="G70" s="101">
        <f t="shared" si="9"/>
        <v>15987.84</v>
      </c>
    </row>
    <row r="71" spans="1:7" ht="15.6" x14ac:dyDescent="0.3">
      <c r="A71" s="65">
        <f t="shared" si="10"/>
        <v>51</v>
      </c>
      <c r="B71" s="66" t="s">
        <v>485</v>
      </c>
      <c r="C71" s="65" t="s">
        <v>431</v>
      </c>
      <c r="D71" s="67">
        <v>7.62</v>
      </c>
      <c r="E71" s="171">
        <v>315</v>
      </c>
      <c r="F71" s="101">
        <f t="shared" si="8"/>
        <v>2400.3000000000002</v>
      </c>
      <c r="G71" s="101">
        <f t="shared" si="9"/>
        <v>2880.36</v>
      </c>
    </row>
    <row r="72" spans="1:7" ht="15.6" x14ac:dyDescent="0.3">
      <c r="A72" s="65">
        <f t="shared" si="10"/>
        <v>52</v>
      </c>
      <c r="B72" s="66" t="s">
        <v>490</v>
      </c>
      <c r="C72" s="65" t="s">
        <v>193</v>
      </c>
      <c r="D72" s="67">
        <v>1.7</v>
      </c>
      <c r="E72" s="171">
        <v>6799</v>
      </c>
      <c r="F72" s="101">
        <f t="shared" si="8"/>
        <v>11558.3</v>
      </c>
      <c r="G72" s="101">
        <f t="shared" si="9"/>
        <v>13869.96</v>
      </c>
    </row>
    <row r="73" spans="1:7" ht="15.6" x14ac:dyDescent="0.3">
      <c r="A73" s="65">
        <f t="shared" si="10"/>
        <v>53</v>
      </c>
      <c r="B73" s="66" t="s">
        <v>491</v>
      </c>
      <c r="C73" s="65" t="s">
        <v>431</v>
      </c>
      <c r="D73" s="67">
        <v>0.71440000000000003</v>
      </c>
      <c r="E73" s="171">
        <v>334</v>
      </c>
      <c r="F73" s="101">
        <f t="shared" si="8"/>
        <v>238.61</v>
      </c>
      <c r="G73" s="101">
        <f t="shared" si="9"/>
        <v>286.33</v>
      </c>
    </row>
    <row r="74" spans="1:7" ht="15.6" x14ac:dyDescent="0.3">
      <c r="A74" s="65"/>
      <c r="B74" s="61" t="s">
        <v>352</v>
      </c>
      <c r="C74" s="73"/>
      <c r="D74" s="74"/>
      <c r="E74" s="181"/>
      <c r="F74" s="101"/>
      <c r="G74" s="101"/>
    </row>
    <row r="75" spans="1:7" ht="15.6" x14ac:dyDescent="0.3">
      <c r="A75" s="65">
        <f>A73+1</f>
        <v>54</v>
      </c>
      <c r="B75" s="66" t="s">
        <v>492</v>
      </c>
      <c r="C75" s="65" t="s">
        <v>193</v>
      </c>
      <c r="D75" s="70">
        <v>230</v>
      </c>
      <c r="E75" s="171">
        <v>325</v>
      </c>
      <c r="F75" s="101">
        <f t="shared" si="8"/>
        <v>74750</v>
      </c>
      <c r="G75" s="101">
        <f t="shared" si="9"/>
        <v>89700</v>
      </c>
    </row>
    <row r="76" spans="1:7" ht="15.6" x14ac:dyDescent="0.3">
      <c r="A76" s="65">
        <f t="shared" si="10"/>
        <v>55</v>
      </c>
      <c r="B76" s="66" t="s">
        <v>444</v>
      </c>
      <c r="C76" s="73" t="s">
        <v>193</v>
      </c>
      <c r="D76" s="67">
        <v>2.92</v>
      </c>
      <c r="E76" s="171">
        <v>1777</v>
      </c>
      <c r="F76" s="101">
        <f t="shared" si="8"/>
        <v>5188.84</v>
      </c>
      <c r="G76" s="101">
        <f t="shared" si="9"/>
        <v>6226.61</v>
      </c>
    </row>
    <row r="77" spans="1:7" x14ac:dyDescent="0.3">
      <c r="A77" s="65">
        <f t="shared" si="10"/>
        <v>56</v>
      </c>
      <c r="B77" s="66" t="s">
        <v>493</v>
      </c>
      <c r="C77" s="73" t="s">
        <v>239</v>
      </c>
      <c r="D77" s="67">
        <v>41.12</v>
      </c>
      <c r="E77" s="187">
        <v>3460</v>
      </c>
      <c r="F77" s="101">
        <f t="shared" si="8"/>
        <v>142275.20000000001</v>
      </c>
      <c r="G77" s="101">
        <f t="shared" si="9"/>
        <v>170730.23999999999</v>
      </c>
    </row>
    <row r="78" spans="1:7" ht="20.25" customHeight="1" x14ac:dyDescent="0.3">
      <c r="A78" s="65">
        <f t="shared" si="10"/>
        <v>57</v>
      </c>
      <c r="B78" s="66" t="s">
        <v>449</v>
      </c>
      <c r="C78" s="73" t="s">
        <v>193</v>
      </c>
      <c r="D78" s="70">
        <v>200</v>
      </c>
      <c r="E78" s="171">
        <v>325</v>
      </c>
      <c r="F78" s="101">
        <f t="shared" si="8"/>
        <v>65000</v>
      </c>
      <c r="G78" s="101">
        <f t="shared" si="9"/>
        <v>78000</v>
      </c>
    </row>
    <row r="79" spans="1:7" ht="15.6" x14ac:dyDescent="0.3">
      <c r="A79" s="65">
        <f t="shared" si="10"/>
        <v>58</v>
      </c>
      <c r="B79" s="66" t="s">
        <v>450</v>
      </c>
      <c r="C79" s="73" t="s">
        <v>193</v>
      </c>
      <c r="D79" s="67">
        <v>7.22</v>
      </c>
      <c r="E79" s="171">
        <v>899</v>
      </c>
      <c r="F79" s="101">
        <f t="shared" si="8"/>
        <v>6490.78</v>
      </c>
      <c r="G79" s="101">
        <f t="shared" si="9"/>
        <v>7788.94</v>
      </c>
    </row>
    <row r="80" spans="1:7" ht="15.6" x14ac:dyDescent="0.3">
      <c r="A80" s="65">
        <f t="shared" si="10"/>
        <v>59</v>
      </c>
      <c r="B80" s="66" t="s">
        <v>461</v>
      </c>
      <c r="C80" s="73" t="s">
        <v>193</v>
      </c>
      <c r="D80" s="67">
        <v>7.3</v>
      </c>
      <c r="E80" s="171">
        <v>3979</v>
      </c>
      <c r="F80" s="101">
        <f t="shared" si="8"/>
        <v>29046.7</v>
      </c>
      <c r="G80" s="101">
        <f t="shared" si="9"/>
        <v>34856.04</v>
      </c>
    </row>
    <row r="81" spans="1:7" ht="15.6" x14ac:dyDescent="0.3">
      <c r="A81" s="65">
        <f t="shared" si="10"/>
        <v>60</v>
      </c>
      <c r="B81" s="66" t="s">
        <v>494</v>
      </c>
      <c r="C81" s="73" t="s">
        <v>193</v>
      </c>
      <c r="D81" s="67">
        <v>25.7</v>
      </c>
      <c r="E81" s="171">
        <v>12200</v>
      </c>
      <c r="F81" s="101">
        <f t="shared" si="8"/>
        <v>313540</v>
      </c>
      <c r="G81" s="101">
        <f t="shared" si="9"/>
        <v>376248</v>
      </c>
    </row>
    <row r="82" spans="1:7" ht="15.6" x14ac:dyDescent="0.3">
      <c r="A82" s="65">
        <f t="shared" si="10"/>
        <v>61</v>
      </c>
      <c r="B82" s="66" t="s">
        <v>485</v>
      </c>
      <c r="C82" s="65" t="s">
        <v>431</v>
      </c>
      <c r="D82" s="67">
        <v>269.14999999999998</v>
      </c>
      <c r="E82" s="171">
        <v>315</v>
      </c>
      <c r="F82" s="101">
        <f t="shared" si="8"/>
        <v>84782.25</v>
      </c>
      <c r="G82" s="101">
        <f t="shared" si="9"/>
        <v>101738.7</v>
      </c>
    </row>
    <row r="83" spans="1:7" ht="19.5" customHeight="1" x14ac:dyDescent="0.3">
      <c r="A83" s="173"/>
      <c r="B83" s="537" t="s">
        <v>364</v>
      </c>
      <c r="C83" s="538"/>
      <c r="D83" s="538"/>
      <c r="E83" s="174"/>
      <c r="F83" s="185"/>
      <c r="G83" s="131"/>
    </row>
    <row r="84" spans="1:7" x14ac:dyDescent="0.3">
      <c r="A84" s="65"/>
      <c r="B84" s="61" t="s">
        <v>495</v>
      </c>
      <c r="C84" s="73"/>
      <c r="D84" s="74"/>
      <c r="E84" s="87"/>
      <c r="F84" s="87"/>
      <c r="G84" s="127"/>
    </row>
    <row r="85" spans="1:7" ht="15.6" x14ac:dyDescent="0.3">
      <c r="A85" s="65">
        <f>A82+1</f>
        <v>62</v>
      </c>
      <c r="B85" s="66" t="s">
        <v>496</v>
      </c>
      <c r="C85" s="73" t="s">
        <v>193</v>
      </c>
      <c r="D85" s="70">
        <v>1109</v>
      </c>
      <c r="E85" s="171">
        <v>125</v>
      </c>
      <c r="F85" s="101">
        <f t="shared" ref="F85:F90" si="11">ROUND(E85*D85,2)</f>
        <v>138625</v>
      </c>
      <c r="G85" s="101">
        <f t="shared" ref="G85:G90" si="12">ROUND(F85*1.2,2)</f>
        <v>166350</v>
      </c>
    </row>
    <row r="86" spans="1:7" ht="15.6" x14ac:dyDescent="0.3">
      <c r="A86" s="65">
        <f>A85+1</f>
        <v>63</v>
      </c>
      <c r="B86" s="66" t="s">
        <v>497</v>
      </c>
      <c r="C86" s="73" t="s">
        <v>193</v>
      </c>
      <c r="D86" s="70">
        <v>1109</v>
      </c>
      <c r="E86" s="171">
        <v>325</v>
      </c>
      <c r="F86" s="101">
        <f t="shared" si="11"/>
        <v>360425</v>
      </c>
      <c r="G86" s="101">
        <f t="shared" si="12"/>
        <v>432510</v>
      </c>
    </row>
    <row r="87" spans="1:7" ht="15.6" x14ac:dyDescent="0.3">
      <c r="A87" s="65">
        <f t="shared" ref="A87:A90" si="13">A86+1</f>
        <v>64</v>
      </c>
      <c r="B87" s="66" t="s">
        <v>446</v>
      </c>
      <c r="C87" s="73" t="s">
        <v>193</v>
      </c>
      <c r="D87" s="70">
        <v>1109</v>
      </c>
      <c r="E87" s="171">
        <v>50</v>
      </c>
      <c r="F87" s="101">
        <f t="shared" si="11"/>
        <v>55450</v>
      </c>
      <c r="G87" s="101">
        <f t="shared" si="12"/>
        <v>66540</v>
      </c>
    </row>
    <row r="88" spans="1:7" ht="15.6" x14ac:dyDescent="0.3">
      <c r="A88" s="65">
        <f t="shared" si="13"/>
        <v>65</v>
      </c>
      <c r="B88" s="66" t="s">
        <v>498</v>
      </c>
      <c r="C88" s="73" t="s">
        <v>193</v>
      </c>
      <c r="D88" s="70">
        <v>1109</v>
      </c>
      <c r="E88" s="171">
        <v>325</v>
      </c>
      <c r="F88" s="101">
        <f t="shared" si="11"/>
        <v>360425</v>
      </c>
      <c r="G88" s="101">
        <f t="shared" si="12"/>
        <v>432510</v>
      </c>
    </row>
    <row r="89" spans="1:7" ht="27.6" x14ac:dyDescent="0.3">
      <c r="A89" s="65">
        <f t="shared" si="13"/>
        <v>66</v>
      </c>
      <c r="B89" s="66" t="s">
        <v>499</v>
      </c>
      <c r="C89" s="65" t="s">
        <v>239</v>
      </c>
      <c r="D89" s="71">
        <v>1752.2</v>
      </c>
      <c r="E89" s="171">
        <v>3460</v>
      </c>
      <c r="F89" s="101">
        <f t="shared" si="11"/>
        <v>6062612</v>
      </c>
      <c r="G89" s="101">
        <f t="shared" si="12"/>
        <v>7275134.4000000004</v>
      </c>
    </row>
    <row r="90" spans="1:7" ht="15.6" x14ac:dyDescent="0.3">
      <c r="A90" s="65">
        <f t="shared" si="13"/>
        <v>67</v>
      </c>
      <c r="B90" s="66" t="s">
        <v>500</v>
      </c>
      <c r="C90" s="73" t="s">
        <v>431</v>
      </c>
      <c r="D90" s="70">
        <v>2637</v>
      </c>
      <c r="E90" s="171">
        <v>325</v>
      </c>
      <c r="F90" s="101">
        <f t="shared" si="11"/>
        <v>857025</v>
      </c>
      <c r="G90" s="101">
        <f t="shared" si="12"/>
        <v>1028430</v>
      </c>
    </row>
    <row r="91" spans="1:7" ht="15.6" x14ac:dyDescent="0.3">
      <c r="A91" s="65"/>
      <c r="B91" s="61" t="s">
        <v>365</v>
      </c>
      <c r="C91" s="73"/>
      <c r="D91" s="74"/>
      <c r="E91" s="181"/>
      <c r="F91" s="87"/>
      <c r="G91" s="127"/>
    </row>
    <row r="92" spans="1:7" ht="15.6" x14ac:dyDescent="0.3">
      <c r="A92" s="65">
        <f>A90+1</f>
        <v>68</v>
      </c>
      <c r="B92" s="66" t="s">
        <v>501</v>
      </c>
      <c r="C92" s="73" t="s">
        <v>193</v>
      </c>
      <c r="D92" s="67">
        <v>493.58</v>
      </c>
      <c r="E92" s="171">
        <v>325</v>
      </c>
      <c r="F92" s="101">
        <f t="shared" ref="F92:F99" si="14">ROUND(E92*D92,2)</f>
        <v>160413.5</v>
      </c>
      <c r="G92" s="101">
        <f t="shared" ref="G92:G99" si="15">ROUND(F92*1.2,2)</f>
        <v>192496.2</v>
      </c>
    </row>
    <row r="93" spans="1:7" ht="15.6" x14ac:dyDescent="0.3">
      <c r="A93" s="65">
        <f>A92+1</f>
        <v>69</v>
      </c>
      <c r="B93" s="66" t="s">
        <v>502</v>
      </c>
      <c r="C93" s="73" t="s">
        <v>193</v>
      </c>
      <c r="D93" s="70">
        <v>493</v>
      </c>
      <c r="E93" s="171">
        <v>325</v>
      </c>
      <c r="F93" s="101">
        <f t="shared" si="14"/>
        <v>160225</v>
      </c>
      <c r="G93" s="101">
        <f t="shared" si="15"/>
        <v>192270</v>
      </c>
    </row>
    <row r="94" spans="1:7" ht="15.6" x14ac:dyDescent="0.3">
      <c r="A94" s="65">
        <f t="shared" ref="A94:A99" si="16">A93+1</f>
        <v>70</v>
      </c>
      <c r="B94" s="66" t="s">
        <v>503</v>
      </c>
      <c r="C94" s="73" t="s">
        <v>239</v>
      </c>
      <c r="D94" s="70">
        <v>780</v>
      </c>
      <c r="E94" s="171">
        <v>3460</v>
      </c>
      <c r="F94" s="101">
        <f t="shared" si="14"/>
        <v>2698800</v>
      </c>
      <c r="G94" s="101">
        <f t="shared" si="15"/>
        <v>3238560</v>
      </c>
    </row>
    <row r="95" spans="1:7" ht="15.6" x14ac:dyDescent="0.3">
      <c r="A95" s="65">
        <f t="shared" si="16"/>
        <v>71</v>
      </c>
      <c r="B95" s="66" t="s">
        <v>504</v>
      </c>
      <c r="C95" s="73" t="s">
        <v>193</v>
      </c>
      <c r="D95" s="70">
        <v>281</v>
      </c>
      <c r="E95" s="171">
        <v>1111</v>
      </c>
      <c r="F95" s="101">
        <f t="shared" si="14"/>
        <v>312191</v>
      </c>
      <c r="G95" s="101">
        <f t="shared" si="15"/>
        <v>374629.2</v>
      </c>
    </row>
    <row r="96" spans="1:7" ht="15.6" x14ac:dyDescent="0.3">
      <c r="A96" s="65">
        <f t="shared" si="16"/>
        <v>72</v>
      </c>
      <c r="B96" s="66" t="s">
        <v>505</v>
      </c>
      <c r="C96" s="73" t="s">
        <v>193</v>
      </c>
      <c r="D96" s="71">
        <v>141.69999999999999</v>
      </c>
      <c r="E96" s="171">
        <v>1754</v>
      </c>
      <c r="F96" s="101">
        <f t="shared" si="14"/>
        <v>248541.8</v>
      </c>
      <c r="G96" s="101">
        <f t="shared" si="15"/>
        <v>298250.15999999997</v>
      </c>
    </row>
    <row r="97" spans="1:7" ht="27.6" x14ac:dyDescent="0.3">
      <c r="A97" s="65">
        <f t="shared" si="16"/>
        <v>73</v>
      </c>
      <c r="B97" s="66" t="s">
        <v>506</v>
      </c>
      <c r="C97" s="73" t="s">
        <v>193</v>
      </c>
      <c r="D97" s="71">
        <v>71.5</v>
      </c>
      <c r="E97" s="171">
        <v>1754</v>
      </c>
      <c r="F97" s="101">
        <f t="shared" si="14"/>
        <v>125411</v>
      </c>
      <c r="G97" s="101">
        <f t="shared" si="15"/>
        <v>150493.20000000001</v>
      </c>
    </row>
    <row r="98" spans="1:7" ht="15.6" x14ac:dyDescent="0.3">
      <c r="A98" s="65">
        <f t="shared" si="16"/>
        <v>74</v>
      </c>
      <c r="B98" s="66" t="s">
        <v>507</v>
      </c>
      <c r="C98" s="73" t="s">
        <v>239</v>
      </c>
      <c r="D98" s="71">
        <v>1.4</v>
      </c>
      <c r="E98" s="171">
        <v>1854</v>
      </c>
      <c r="F98" s="101">
        <f t="shared" si="14"/>
        <v>2595.6</v>
      </c>
      <c r="G98" s="101">
        <f t="shared" si="15"/>
        <v>3114.72</v>
      </c>
    </row>
    <row r="99" spans="1:7" ht="15.6" x14ac:dyDescent="0.3">
      <c r="A99" s="65">
        <f t="shared" si="16"/>
        <v>75</v>
      </c>
      <c r="B99" s="66" t="s">
        <v>508</v>
      </c>
      <c r="C99" s="73" t="s">
        <v>431</v>
      </c>
      <c r="D99" s="70">
        <v>851</v>
      </c>
      <c r="E99" s="171">
        <v>1140</v>
      </c>
      <c r="F99" s="101">
        <f t="shared" si="14"/>
        <v>970140</v>
      </c>
      <c r="G99" s="101">
        <f t="shared" si="15"/>
        <v>1164168</v>
      </c>
    </row>
    <row r="100" spans="1:7" ht="15.6" x14ac:dyDescent="0.3">
      <c r="A100" s="214"/>
      <c r="B100" s="215" t="s">
        <v>927</v>
      </c>
      <c r="C100" s="216"/>
      <c r="D100" s="217"/>
      <c r="E100" s="218"/>
      <c r="F100" s="219"/>
      <c r="G100" s="219"/>
    </row>
    <row r="101" spans="1:7" ht="27.6" x14ac:dyDescent="0.3">
      <c r="A101" s="214">
        <f>A99+1</f>
        <v>76</v>
      </c>
      <c r="B101" s="220" t="s">
        <v>928</v>
      </c>
      <c r="C101" s="214" t="s">
        <v>220</v>
      </c>
      <c r="D101" s="217">
        <v>3</v>
      </c>
      <c r="E101" s="218">
        <v>1438</v>
      </c>
      <c r="F101" s="219">
        <f t="shared" ref="F101:F102" si="17">ROUND(E101*D101,2)</f>
        <v>4314</v>
      </c>
      <c r="G101" s="219">
        <f t="shared" ref="G101:G102" si="18">ROUND(F101*1.2,2)</f>
        <v>5176.8</v>
      </c>
    </row>
    <row r="102" spans="1:7" ht="15.6" x14ac:dyDescent="0.3">
      <c r="A102" s="214">
        <f>A101+1</f>
        <v>77</v>
      </c>
      <c r="B102" s="220" t="s">
        <v>929</v>
      </c>
      <c r="C102" s="214" t="s">
        <v>220</v>
      </c>
      <c r="D102" s="217">
        <v>3</v>
      </c>
      <c r="E102" s="218">
        <v>2078</v>
      </c>
      <c r="F102" s="219">
        <f t="shared" si="17"/>
        <v>6234</v>
      </c>
      <c r="G102" s="219">
        <f t="shared" si="18"/>
        <v>7480.8</v>
      </c>
    </row>
    <row r="103" spans="1:7" ht="15.6" x14ac:dyDescent="0.3">
      <c r="A103" s="65"/>
      <c r="B103" s="61" t="s">
        <v>371</v>
      </c>
      <c r="C103" s="73"/>
      <c r="D103" s="70"/>
      <c r="E103" s="181"/>
      <c r="F103" s="87"/>
      <c r="G103" s="127"/>
    </row>
    <row r="104" spans="1:7" ht="15.6" x14ac:dyDescent="0.3">
      <c r="A104" s="65">
        <f>A102+1</f>
        <v>78</v>
      </c>
      <c r="B104" s="66" t="s">
        <v>509</v>
      </c>
      <c r="C104" s="73" t="s">
        <v>431</v>
      </c>
      <c r="D104" s="70">
        <v>454</v>
      </c>
      <c r="E104" s="171">
        <v>325</v>
      </c>
      <c r="F104" s="101">
        <f t="shared" ref="F104:F106" si="19">ROUND(E104*D104,2)</f>
        <v>147550</v>
      </c>
      <c r="G104" s="101">
        <f t="shared" ref="G104:G106" si="20">ROUND(F104*1.2,2)</f>
        <v>177060</v>
      </c>
    </row>
    <row r="105" spans="1:7" ht="27.6" x14ac:dyDescent="0.3">
      <c r="A105" s="65">
        <f>A104+1</f>
        <v>79</v>
      </c>
      <c r="B105" s="66" t="s">
        <v>510</v>
      </c>
      <c r="C105" s="73" t="s">
        <v>431</v>
      </c>
      <c r="D105" s="70">
        <v>454</v>
      </c>
      <c r="E105" s="171">
        <v>549</v>
      </c>
      <c r="F105" s="101">
        <f t="shared" si="19"/>
        <v>249246</v>
      </c>
      <c r="G105" s="101">
        <f t="shared" si="20"/>
        <v>299095.2</v>
      </c>
    </row>
    <row r="106" spans="1:7" ht="15.6" x14ac:dyDescent="0.3">
      <c r="A106" s="65">
        <f>A105+1</f>
        <v>80</v>
      </c>
      <c r="B106" s="66" t="s">
        <v>511</v>
      </c>
      <c r="C106" s="73" t="s">
        <v>431</v>
      </c>
      <c r="D106" s="70">
        <v>454</v>
      </c>
      <c r="E106" s="171">
        <v>110</v>
      </c>
      <c r="F106" s="101">
        <f t="shared" si="19"/>
        <v>49940</v>
      </c>
      <c r="G106" s="101">
        <f t="shared" si="20"/>
        <v>59928</v>
      </c>
    </row>
    <row r="107" spans="1:7" ht="22.5" customHeight="1" x14ac:dyDescent="0.3">
      <c r="A107" s="173"/>
      <c r="B107" s="537" t="s">
        <v>375</v>
      </c>
      <c r="C107" s="538"/>
      <c r="D107" s="538"/>
      <c r="E107" s="174"/>
      <c r="F107" s="185"/>
      <c r="G107" s="131"/>
    </row>
    <row r="108" spans="1:7" x14ac:dyDescent="0.3">
      <c r="A108" s="65"/>
      <c r="B108" s="61" t="s">
        <v>512</v>
      </c>
      <c r="C108" s="73"/>
      <c r="D108" s="70"/>
      <c r="E108" s="87"/>
      <c r="F108" s="87"/>
      <c r="G108" s="127"/>
    </row>
    <row r="109" spans="1:7" x14ac:dyDescent="0.3">
      <c r="A109" s="65"/>
      <c r="B109" s="61" t="s">
        <v>513</v>
      </c>
      <c r="C109" s="73"/>
      <c r="D109" s="70"/>
      <c r="E109" s="87"/>
      <c r="F109" s="87"/>
      <c r="G109" s="127"/>
    </row>
    <row r="110" spans="1:7" ht="15.6" x14ac:dyDescent="0.3">
      <c r="A110" s="65">
        <f>A106+1</f>
        <v>81</v>
      </c>
      <c r="B110" s="66" t="s">
        <v>514</v>
      </c>
      <c r="C110" s="65" t="s">
        <v>193</v>
      </c>
      <c r="D110" s="70">
        <f>60+168</f>
        <v>228</v>
      </c>
      <c r="E110" s="171">
        <v>325</v>
      </c>
      <c r="F110" s="101">
        <f t="shared" ref="F110:F116" si="21">ROUND(E110*D110,2)</f>
        <v>74100</v>
      </c>
      <c r="G110" s="101">
        <f t="shared" ref="G110:G116" si="22">ROUND(F110*1.2,2)</f>
        <v>88920</v>
      </c>
    </row>
    <row r="111" spans="1:7" ht="15.6" x14ac:dyDescent="0.3">
      <c r="A111" s="65">
        <f>A110+1</f>
        <v>82</v>
      </c>
      <c r="B111" s="66" t="s">
        <v>487</v>
      </c>
      <c r="C111" s="65" t="s">
        <v>193</v>
      </c>
      <c r="D111" s="70">
        <v>182</v>
      </c>
      <c r="E111" s="171">
        <v>1777</v>
      </c>
      <c r="F111" s="101">
        <f t="shared" si="21"/>
        <v>323414</v>
      </c>
      <c r="G111" s="101">
        <f t="shared" si="22"/>
        <v>388096.8</v>
      </c>
    </row>
    <row r="112" spans="1:7" ht="15.6" x14ac:dyDescent="0.3">
      <c r="A112" s="65">
        <f t="shared" ref="A112:A116" si="23">A111+1</f>
        <v>83</v>
      </c>
      <c r="B112" s="66" t="s">
        <v>515</v>
      </c>
      <c r="C112" s="65" t="s">
        <v>193</v>
      </c>
      <c r="D112" s="70">
        <v>2</v>
      </c>
      <c r="E112" s="171">
        <v>1777</v>
      </c>
      <c r="F112" s="101">
        <f t="shared" si="21"/>
        <v>3554</v>
      </c>
      <c r="G112" s="101">
        <f t="shared" si="22"/>
        <v>4264.8</v>
      </c>
    </row>
    <row r="113" spans="1:7" ht="15.6" x14ac:dyDescent="0.3">
      <c r="A113" s="65">
        <f t="shared" si="23"/>
        <v>84</v>
      </c>
      <c r="B113" s="66" t="s">
        <v>516</v>
      </c>
      <c r="C113" s="65" t="s">
        <v>193</v>
      </c>
      <c r="D113" s="70">
        <v>360</v>
      </c>
      <c r="E113" s="171">
        <v>125</v>
      </c>
      <c r="F113" s="101">
        <f t="shared" si="21"/>
        <v>45000</v>
      </c>
      <c r="G113" s="101">
        <f t="shared" si="22"/>
        <v>54000</v>
      </c>
    </row>
    <row r="114" spans="1:7" ht="15.6" x14ac:dyDescent="0.3">
      <c r="A114" s="65">
        <f t="shared" si="23"/>
        <v>85</v>
      </c>
      <c r="B114" s="66" t="s">
        <v>517</v>
      </c>
      <c r="C114" s="65" t="s">
        <v>193</v>
      </c>
      <c r="D114" s="70">
        <v>28</v>
      </c>
      <c r="E114" s="171">
        <v>899</v>
      </c>
      <c r="F114" s="101">
        <f t="shared" si="21"/>
        <v>25172</v>
      </c>
      <c r="G114" s="101">
        <f t="shared" si="22"/>
        <v>30206.400000000001</v>
      </c>
    </row>
    <row r="115" spans="1:7" ht="15.6" x14ac:dyDescent="0.3">
      <c r="A115" s="65">
        <f t="shared" si="23"/>
        <v>86</v>
      </c>
      <c r="B115" s="66" t="s">
        <v>518</v>
      </c>
      <c r="C115" s="65" t="s">
        <v>239</v>
      </c>
      <c r="D115" s="71">
        <v>52.8</v>
      </c>
      <c r="E115" s="171">
        <v>325</v>
      </c>
      <c r="F115" s="101">
        <f t="shared" si="21"/>
        <v>17160</v>
      </c>
      <c r="G115" s="101">
        <f t="shared" si="22"/>
        <v>20592</v>
      </c>
    </row>
    <row r="116" spans="1:7" ht="15.6" x14ac:dyDescent="0.3">
      <c r="A116" s="65">
        <f t="shared" si="23"/>
        <v>87</v>
      </c>
      <c r="B116" s="66" t="s">
        <v>503</v>
      </c>
      <c r="C116" s="65" t="s">
        <v>239</v>
      </c>
      <c r="D116" s="71">
        <v>52.8</v>
      </c>
      <c r="E116" s="171">
        <v>3460</v>
      </c>
      <c r="F116" s="101">
        <f t="shared" si="21"/>
        <v>182688</v>
      </c>
      <c r="G116" s="101">
        <f t="shared" si="22"/>
        <v>219225.60000000001</v>
      </c>
    </row>
    <row r="117" spans="1:7" ht="15.6" x14ac:dyDescent="0.3">
      <c r="A117" s="65"/>
      <c r="B117" s="61" t="s">
        <v>519</v>
      </c>
      <c r="C117" s="65"/>
      <c r="D117" s="71"/>
      <c r="E117" s="181"/>
      <c r="F117" s="87"/>
      <c r="G117" s="127"/>
    </row>
    <row r="118" spans="1:7" ht="15.6" x14ac:dyDescent="0.3">
      <c r="A118" s="65">
        <f>A116+1</f>
        <v>88</v>
      </c>
      <c r="B118" s="66" t="s">
        <v>520</v>
      </c>
      <c r="C118" s="65" t="s">
        <v>193</v>
      </c>
      <c r="D118" s="71">
        <v>0.8</v>
      </c>
      <c r="E118" s="171">
        <v>1422</v>
      </c>
      <c r="F118" s="101">
        <f t="shared" ref="F118:F120" si="24">ROUND(E118*D118,2)</f>
        <v>1137.5999999999999</v>
      </c>
      <c r="G118" s="101">
        <f t="shared" ref="G118:G120" si="25">ROUND(F118*1.2,2)</f>
        <v>1365.12</v>
      </c>
    </row>
    <row r="119" spans="1:7" ht="15.6" x14ac:dyDescent="0.3">
      <c r="A119" s="65">
        <f>A118+1</f>
        <v>89</v>
      </c>
      <c r="B119" s="66" t="s">
        <v>521</v>
      </c>
      <c r="C119" s="65" t="s">
        <v>193</v>
      </c>
      <c r="D119" s="70">
        <v>3</v>
      </c>
      <c r="E119" s="171">
        <v>1380</v>
      </c>
      <c r="F119" s="101">
        <f t="shared" si="24"/>
        <v>4140</v>
      </c>
      <c r="G119" s="101">
        <f t="shared" si="25"/>
        <v>4968</v>
      </c>
    </row>
    <row r="120" spans="1:7" ht="15.6" x14ac:dyDescent="0.3">
      <c r="A120" s="65">
        <f>A119+1</f>
        <v>90</v>
      </c>
      <c r="B120" s="66" t="s">
        <v>522</v>
      </c>
      <c r="C120" s="65" t="s">
        <v>193</v>
      </c>
      <c r="D120" s="70">
        <v>9</v>
      </c>
      <c r="E120" s="171">
        <v>1380</v>
      </c>
      <c r="F120" s="101">
        <f t="shared" si="24"/>
        <v>12420</v>
      </c>
      <c r="G120" s="101">
        <f t="shared" si="25"/>
        <v>14904</v>
      </c>
    </row>
    <row r="121" spans="1:7" ht="15.6" x14ac:dyDescent="0.3">
      <c r="A121" s="65"/>
      <c r="B121" s="61" t="s">
        <v>523</v>
      </c>
      <c r="C121" s="65"/>
      <c r="D121" s="70"/>
      <c r="E121" s="181"/>
      <c r="F121" s="87"/>
      <c r="G121" s="127"/>
    </row>
    <row r="122" spans="1:7" ht="27.6" x14ac:dyDescent="0.3">
      <c r="A122" s="65">
        <f>A120+1</f>
        <v>91</v>
      </c>
      <c r="B122" s="66" t="s">
        <v>524</v>
      </c>
      <c r="C122" s="65" t="s">
        <v>194</v>
      </c>
      <c r="D122" s="70">
        <v>29</v>
      </c>
      <c r="E122" s="171">
        <v>539</v>
      </c>
      <c r="F122" s="101">
        <f t="shared" ref="F122" si="26">ROUND(E122*D122,2)</f>
        <v>15631</v>
      </c>
      <c r="G122" s="101">
        <f t="shared" ref="G122" si="27">ROUND(F122*1.2,2)</f>
        <v>18757.2</v>
      </c>
    </row>
    <row r="123" spans="1:7" ht="15.6" x14ac:dyDescent="0.3">
      <c r="A123" s="65"/>
      <c r="B123" s="61" t="s">
        <v>525</v>
      </c>
      <c r="C123" s="65"/>
      <c r="D123" s="70"/>
      <c r="E123" s="181"/>
      <c r="F123" s="87"/>
      <c r="G123" s="127"/>
    </row>
    <row r="124" spans="1:7" ht="27.6" x14ac:dyDescent="0.3">
      <c r="A124" s="65">
        <f>A122+1</f>
        <v>92</v>
      </c>
      <c r="B124" s="66" t="s">
        <v>526</v>
      </c>
      <c r="C124" s="65" t="s">
        <v>193</v>
      </c>
      <c r="D124" s="67">
        <v>3.24</v>
      </c>
      <c r="E124" s="171">
        <v>18174</v>
      </c>
      <c r="F124" s="101">
        <f t="shared" ref="F124:F126" si="28">ROUND(E124*D124,2)</f>
        <v>58883.76</v>
      </c>
      <c r="G124" s="101">
        <f t="shared" ref="G124:G126" si="29">ROUND(F124*1.2,2)</f>
        <v>70660.509999999995</v>
      </c>
    </row>
    <row r="125" spans="1:7" ht="15.6" x14ac:dyDescent="0.3">
      <c r="A125" s="65">
        <f>A124+1</f>
        <v>93</v>
      </c>
      <c r="B125" s="66" t="s">
        <v>527</v>
      </c>
      <c r="C125" s="65" t="s">
        <v>193</v>
      </c>
      <c r="D125" s="71">
        <v>3.5</v>
      </c>
      <c r="E125" s="171">
        <v>25276</v>
      </c>
      <c r="F125" s="101">
        <f t="shared" si="28"/>
        <v>88466</v>
      </c>
      <c r="G125" s="101">
        <f t="shared" si="29"/>
        <v>106159.2</v>
      </c>
    </row>
    <row r="126" spans="1:7" ht="15.6" x14ac:dyDescent="0.3">
      <c r="A126" s="65">
        <f>A125+1</f>
        <v>94</v>
      </c>
      <c r="B126" s="66" t="s">
        <v>528</v>
      </c>
      <c r="C126" s="65" t="s">
        <v>239</v>
      </c>
      <c r="D126" s="76">
        <v>7.4999999999999997E-3</v>
      </c>
      <c r="E126" s="171">
        <v>69775</v>
      </c>
      <c r="F126" s="101">
        <f t="shared" si="28"/>
        <v>523.30999999999995</v>
      </c>
      <c r="G126" s="101">
        <f t="shared" si="29"/>
        <v>627.97</v>
      </c>
    </row>
    <row r="127" spans="1:7" ht="27.6" x14ac:dyDescent="0.3">
      <c r="A127" s="65"/>
      <c r="B127" s="61" t="s">
        <v>529</v>
      </c>
      <c r="C127" s="65"/>
      <c r="D127" s="70"/>
      <c r="E127" s="181"/>
      <c r="F127" s="87"/>
      <c r="G127" s="127"/>
    </row>
    <row r="128" spans="1:7" ht="15.6" x14ac:dyDescent="0.3">
      <c r="A128" s="65">
        <f>A126+1</f>
        <v>95</v>
      </c>
      <c r="B128" s="66" t="s">
        <v>514</v>
      </c>
      <c r="C128" s="65" t="s">
        <v>193</v>
      </c>
      <c r="D128" s="70">
        <v>332</v>
      </c>
      <c r="E128" s="171">
        <v>325</v>
      </c>
      <c r="F128" s="101">
        <f t="shared" ref="F128:F136" si="30">ROUND(E128*D128,2)</f>
        <v>107900</v>
      </c>
      <c r="G128" s="101">
        <f t="shared" ref="G128:G136" si="31">ROUND(F128*1.2,2)</f>
        <v>129480</v>
      </c>
    </row>
    <row r="129" spans="1:7" ht="15.6" x14ac:dyDescent="0.3">
      <c r="A129" s="65">
        <f>A128+1</f>
        <v>96</v>
      </c>
      <c r="B129" s="66" t="s">
        <v>487</v>
      </c>
      <c r="C129" s="65" t="s">
        <v>193</v>
      </c>
      <c r="D129" s="70">
        <v>10</v>
      </c>
      <c r="E129" s="171">
        <v>1777</v>
      </c>
      <c r="F129" s="101">
        <f t="shared" si="30"/>
        <v>17770</v>
      </c>
      <c r="G129" s="101">
        <f t="shared" si="31"/>
        <v>21324</v>
      </c>
    </row>
    <row r="130" spans="1:7" ht="15.6" x14ac:dyDescent="0.3">
      <c r="A130" s="65">
        <f t="shared" ref="A130:A136" si="32">A129+1</f>
        <v>97</v>
      </c>
      <c r="B130" s="66" t="s">
        <v>530</v>
      </c>
      <c r="C130" s="65" t="s">
        <v>194</v>
      </c>
      <c r="D130" s="70">
        <v>27</v>
      </c>
      <c r="E130" s="171">
        <v>4886</v>
      </c>
      <c r="F130" s="101">
        <f t="shared" si="30"/>
        <v>131922</v>
      </c>
      <c r="G130" s="101">
        <f t="shared" si="31"/>
        <v>158306.4</v>
      </c>
    </row>
    <row r="131" spans="1:7" ht="27.6" x14ac:dyDescent="0.3">
      <c r="A131" s="65">
        <f t="shared" si="32"/>
        <v>98</v>
      </c>
      <c r="B131" s="66" t="s">
        <v>531</v>
      </c>
      <c r="C131" s="65" t="s">
        <v>194</v>
      </c>
      <c r="D131" s="70">
        <v>27</v>
      </c>
      <c r="E131" s="171">
        <v>414</v>
      </c>
      <c r="F131" s="101">
        <f t="shared" si="30"/>
        <v>11178</v>
      </c>
      <c r="G131" s="101">
        <f t="shared" si="31"/>
        <v>13413.6</v>
      </c>
    </row>
    <row r="132" spans="1:7" ht="15.6" x14ac:dyDescent="0.3">
      <c r="A132" s="65">
        <f t="shared" si="32"/>
        <v>99</v>
      </c>
      <c r="B132" s="66" t="s">
        <v>532</v>
      </c>
      <c r="C132" s="65" t="s">
        <v>194</v>
      </c>
      <c r="D132" s="70">
        <v>27</v>
      </c>
      <c r="E132" s="171">
        <v>3703</v>
      </c>
      <c r="F132" s="101">
        <f t="shared" si="30"/>
        <v>99981</v>
      </c>
      <c r="G132" s="101">
        <f t="shared" si="31"/>
        <v>119977.2</v>
      </c>
    </row>
    <row r="133" spans="1:7" ht="15.6" x14ac:dyDescent="0.3">
      <c r="A133" s="65">
        <f t="shared" si="32"/>
        <v>100</v>
      </c>
      <c r="B133" s="66" t="s">
        <v>516</v>
      </c>
      <c r="C133" s="65" t="s">
        <v>193</v>
      </c>
      <c r="D133" s="70">
        <v>321</v>
      </c>
      <c r="E133" s="171">
        <v>125</v>
      </c>
      <c r="F133" s="101">
        <f t="shared" si="30"/>
        <v>40125</v>
      </c>
      <c r="G133" s="101">
        <f t="shared" si="31"/>
        <v>48150</v>
      </c>
    </row>
    <row r="134" spans="1:7" ht="15.6" x14ac:dyDescent="0.3">
      <c r="A134" s="65">
        <f t="shared" si="32"/>
        <v>101</v>
      </c>
      <c r="B134" s="66" t="s">
        <v>517</v>
      </c>
      <c r="C134" s="65" t="s">
        <v>193</v>
      </c>
      <c r="D134" s="70">
        <v>17</v>
      </c>
      <c r="E134" s="171">
        <v>899</v>
      </c>
      <c r="F134" s="101">
        <f t="shared" si="30"/>
        <v>15283</v>
      </c>
      <c r="G134" s="101">
        <f t="shared" si="31"/>
        <v>18339.599999999999</v>
      </c>
    </row>
    <row r="135" spans="1:7" ht="15.6" x14ac:dyDescent="0.3">
      <c r="A135" s="65">
        <f t="shared" si="32"/>
        <v>102</v>
      </c>
      <c r="B135" s="66" t="s">
        <v>518</v>
      </c>
      <c r="C135" s="65" t="s">
        <v>239</v>
      </c>
      <c r="D135" s="71">
        <v>6.4</v>
      </c>
      <c r="E135" s="171">
        <v>325</v>
      </c>
      <c r="F135" s="101">
        <f t="shared" si="30"/>
        <v>2080</v>
      </c>
      <c r="G135" s="101">
        <f t="shared" si="31"/>
        <v>2496</v>
      </c>
    </row>
    <row r="136" spans="1:7" ht="15.6" x14ac:dyDescent="0.3">
      <c r="A136" s="65">
        <f t="shared" si="32"/>
        <v>103</v>
      </c>
      <c r="B136" s="66" t="s">
        <v>503</v>
      </c>
      <c r="C136" s="65" t="s">
        <v>239</v>
      </c>
      <c r="D136" s="71">
        <v>6.4</v>
      </c>
      <c r="E136" s="171">
        <v>3460</v>
      </c>
      <c r="F136" s="101">
        <f t="shared" si="30"/>
        <v>22144</v>
      </c>
      <c r="G136" s="101">
        <f t="shared" si="31"/>
        <v>26572.799999999999</v>
      </c>
    </row>
    <row r="137" spans="1:7" ht="21" customHeight="1" x14ac:dyDescent="0.3">
      <c r="A137" s="173"/>
      <c r="B137" s="537" t="s">
        <v>399</v>
      </c>
      <c r="C137" s="538"/>
      <c r="D137" s="538"/>
      <c r="E137" s="174"/>
      <c r="F137" s="185"/>
      <c r="G137" s="131"/>
    </row>
    <row r="138" spans="1:7" x14ac:dyDescent="0.3">
      <c r="A138" s="65"/>
      <c r="B138" s="61" t="s">
        <v>512</v>
      </c>
      <c r="C138" s="73"/>
      <c r="D138" s="70"/>
      <c r="E138" s="87"/>
      <c r="F138" s="87"/>
      <c r="G138" s="127"/>
    </row>
    <row r="139" spans="1:7" x14ac:dyDescent="0.3">
      <c r="A139" s="65"/>
      <c r="B139" s="61" t="s">
        <v>713</v>
      </c>
      <c r="C139" s="65"/>
      <c r="D139" s="71"/>
      <c r="E139" s="87"/>
      <c r="F139" s="87"/>
      <c r="G139" s="127"/>
    </row>
    <row r="140" spans="1:7" ht="15.6" x14ac:dyDescent="0.3">
      <c r="A140" s="65">
        <f>A136+1</f>
        <v>104</v>
      </c>
      <c r="B140" s="66" t="s">
        <v>533</v>
      </c>
      <c r="C140" s="65" t="s">
        <v>193</v>
      </c>
      <c r="D140" s="71">
        <v>5.4</v>
      </c>
      <c r="E140" s="171">
        <v>18650.372222222224</v>
      </c>
      <c r="F140" s="101">
        <f t="shared" ref="F140:F145" si="33">ROUND(E140*D140,2)</f>
        <v>100712.01</v>
      </c>
      <c r="G140" s="101">
        <f t="shared" ref="G140:G145" si="34">ROUND(F140*1.2,2)</f>
        <v>120854.41</v>
      </c>
    </row>
    <row r="141" spans="1:7" ht="15.6" x14ac:dyDescent="0.3">
      <c r="A141" s="65">
        <f>A140+1</f>
        <v>105</v>
      </c>
      <c r="B141" s="66" t="s">
        <v>534</v>
      </c>
      <c r="C141" s="65" t="s">
        <v>239</v>
      </c>
      <c r="D141" s="226">
        <v>2.06</v>
      </c>
      <c r="E141" s="171">
        <v>31141.773584905659</v>
      </c>
      <c r="F141" s="101">
        <f t="shared" si="33"/>
        <v>64152.05</v>
      </c>
      <c r="G141" s="101">
        <f t="shared" si="34"/>
        <v>76982.460000000006</v>
      </c>
    </row>
    <row r="142" spans="1:7" ht="15.6" x14ac:dyDescent="0.3">
      <c r="A142" s="86">
        <f t="shared" ref="A142:A144" si="35">A141+1</f>
        <v>106</v>
      </c>
      <c r="B142" s="243" t="s">
        <v>932</v>
      </c>
      <c r="C142" s="86" t="s">
        <v>239</v>
      </c>
      <c r="D142" s="226">
        <v>1.95</v>
      </c>
      <c r="E142" s="170">
        <v>31141.773584905659</v>
      </c>
      <c r="F142" s="102">
        <f t="shared" ref="F142" si="36">ROUND(E142*D142,2)</f>
        <v>60726.46</v>
      </c>
      <c r="G142" s="102">
        <f t="shared" ref="G142" si="37">ROUND(F142*1.2,2)</f>
        <v>72871.75</v>
      </c>
    </row>
    <row r="143" spans="1:7" ht="15.6" x14ac:dyDescent="0.3">
      <c r="A143" s="65">
        <f t="shared" si="35"/>
        <v>107</v>
      </c>
      <c r="B143" s="66" t="s">
        <v>535</v>
      </c>
      <c r="C143" s="65" t="s">
        <v>239</v>
      </c>
      <c r="D143" s="226">
        <v>1.65</v>
      </c>
      <c r="E143" s="171">
        <v>31141.773584905663</v>
      </c>
      <c r="F143" s="101">
        <f t="shared" si="33"/>
        <v>51383.93</v>
      </c>
      <c r="G143" s="101">
        <f t="shared" si="34"/>
        <v>61660.72</v>
      </c>
    </row>
    <row r="144" spans="1:7" x14ac:dyDescent="0.3">
      <c r="A144" s="65">
        <f t="shared" si="35"/>
        <v>108</v>
      </c>
      <c r="B144" s="66" t="s">
        <v>536</v>
      </c>
      <c r="C144" s="65" t="s">
        <v>239</v>
      </c>
      <c r="D144" s="226">
        <v>20</v>
      </c>
      <c r="E144" s="187">
        <v>250</v>
      </c>
      <c r="F144" s="101">
        <f t="shared" si="33"/>
        <v>5000</v>
      </c>
      <c r="G144" s="101">
        <f t="shared" si="34"/>
        <v>6000</v>
      </c>
    </row>
    <row r="145" spans="1:7" x14ac:dyDescent="0.3">
      <c r="A145" s="65">
        <f t="shared" ref="A145" si="38">A144+1</f>
        <v>109</v>
      </c>
      <c r="B145" s="79" t="s">
        <v>446</v>
      </c>
      <c r="C145" s="65" t="s">
        <v>193</v>
      </c>
      <c r="D145" s="226">
        <v>20</v>
      </c>
      <c r="E145" s="187">
        <v>50</v>
      </c>
      <c r="F145" s="101">
        <f t="shared" si="33"/>
        <v>1000</v>
      </c>
      <c r="G145" s="101">
        <f t="shared" si="34"/>
        <v>1200</v>
      </c>
    </row>
    <row r="146" spans="1:7" x14ac:dyDescent="0.3">
      <c r="A146" s="65"/>
      <c r="B146" s="186" t="s">
        <v>513</v>
      </c>
      <c r="C146" s="73"/>
      <c r="D146" s="227"/>
      <c r="E146" s="187"/>
      <c r="F146" s="87"/>
      <c r="G146" s="127"/>
    </row>
    <row r="147" spans="1:7" ht="19.5" customHeight="1" x14ac:dyDescent="0.3">
      <c r="A147" s="65">
        <f>A144+1</f>
        <v>109</v>
      </c>
      <c r="B147" s="66" t="s">
        <v>514</v>
      </c>
      <c r="C147" s="65" t="s">
        <v>193</v>
      </c>
      <c r="D147" s="227">
        <v>77.400000000000006</v>
      </c>
      <c r="E147" s="171">
        <v>325</v>
      </c>
      <c r="F147" s="101">
        <f t="shared" ref="F147:F151" si="39">ROUND(E147*D147,2)</f>
        <v>25155</v>
      </c>
      <c r="G147" s="101">
        <f t="shared" ref="G147:G151" si="40">ROUND(F147*1.2,2)</f>
        <v>30186</v>
      </c>
    </row>
    <row r="148" spans="1:7" ht="15.6" x14ac:dyDescent="0.3">
      <c r="A148" s="65">
        <f>A147+1</f>
        <v>110</v>
      </c>
      <c r="B148" s="66" t="s">
        <v>515</v>
      </c>
      <c r="C148" s="65" t="s">
        <v>193</v>
      </c>
      <c r="D148" s="227">
        <v>1.5</v>
      </c>
      <c r="E148" s="171">
        <v>1776.64</v>
      </c>
      <c r="F148" s="101">
        <f t="shared" si="39"/>
        <v>2664.96</v>
      </c>
      <c r="G148" s="101">
        <f t="shared" si="40"/>
        <v>3197.95</v>
      </c>
    </row>
    <row r="149" spans="1:7" ht="15.6" x14ac:dyDescent="0.3">
      <c r="A149" s="65">
        <f t="shared" ref="A149:A151" si="41">A148+1</f>
        <v>111</v>
      </c>
      <c r="B149" s="66" t="s">
        <v>537</v>
      </c>
      <c r="C149" s="65" t="s">
        <v>193</v>
      </c>
      <c r="D149" s="227">
        <v>80.099999999999994</v>
      </c>
      <c r="E149" s="171">
        <v>125</v>
      </c>
      <c r="F149" s="101">
        <f t="shared" si="39"/>
        <v>10012.5</v>
      </c>
      <c r="G149" s="101">
        <f t="shared" si="40"/>
        <v>12015</v>
      </c>
    </row>
    <row r="150" spans="1:7" ht="15.6" x14ac:dyDescent="0.3">
      <c r="A150" s="65">
        <f t="shared" si="41"/>
        <v>112</v>
      </c>
      <c r="B150" s="66" t="s">
        <v>538</v>
      </c>
      <c r="C150" s="65" t="s">
        <v>193</v>
      </c>
      <c r="D150" s="227">
        <v>4.2</v>
      </c>
      <c r="E150" s="171">
        <v>898.85000000000014</v>
      </c>
      <c r="F150" s="101">
        <f t="shared" si="39"/>
        <v>3775.17</v>
      </c>
      <c r="G150" s="101">
        <f t="shared" si="40"/>
        <v>4530.2</v>
      </c>
    </row>
    <row r="151" spans="1:7" x14ac:dyDescent="0.3">
      <c r="A151" s="65">
        <f t="shared" si="41"/>
        <v>113</v>
      </c>
      <c r="B151" s="66" t="s">
        <v>539</v>
      </c>
      <c r="C151" s="65" t="s">
        <v>239</v>
      </c>
      <c r="D151" s="226">
        <v>8.64</v>
      </c>
      <c r="E151" s="187">
        <v>125</v>
      </c>
      <c r="F151" s="101">
        <f t="shared" si="39"/>
        <v>1080</v>
      </c>
      <c r="G151" s="101">
        <f t="shared" si="40"/>
        <v>1296</v>
      </c>
    </row>
    <row r="152" spans="1:7" x14ac:dyDescent="0.3">
      <c r="A152" s="65"/>
      <c r="B152" s="61" t="s">
        <v>513</v>
      </c>
      <c r="C152" s="73"/>
      <c r="D152" s="152"/>
      <c r="E152" s="187"/>
      <c r="F152" s="87"/>
      <c r="G152" s="127"/>
    </row>
    <row r="153" spans="1:7" ht="23.25" customHeight="1" x14ac:dyDescent="0.3">
      <c r="A153" s="65">
        <f>A151+1</f>
        <v>114</v>
      </c>
      <c r="B153" s="66" t="s">
        <v>514</v>
      </c>
      <c r="C153" s="65" t="s">
        <v>193</v>
      </c>
      <c r="D153" s="227">
        <f>490.6+217.7</f>
        <v>708.3</v>
      </c>
      <c r="E153" s="171">
        <v>325</v>
      </c>
      <c r="F153" s="101">
        <f t="shared" ref="F153:F159" si="42">ROUND(E153*D153,2)</f>
        <v>230197.5</v>
      </c>
      <c r="G153" s="101">
        <f t="shared" ref="G153:G159" si="43">ROUND(F153*1.2,2)</f>
        <v>276237</v>
      </c>
    </row>
    <row r="154" spans="1:7" ht="21" customHeight="1" x14ac:dyDescent="0.3">
      <c r="A154" s="65">
        <f>A153+1</f>
        <v>115</v>
      </c>
      <c r="B154" s="66" t="s">
        <v>515</v>
      </c>
      <c r="C154" s="65" t="s">
        <v>193</v>
      </c>
      <c r="D154" s="227">
        <f>14.72+3.81</f>
        <v>18.53</v>
      </c>
      <c r="E154" s="171">
        <v>1776.9307116104872</v>
      </c>
      <c r="F154" s="101">
        <f t="shared" si="42"/>
        <v>32926.53</v>
      </c>
      <c r="G154" s="101">
        <f t="shared" si="43"/>
        <v>39511.839999999997</v>
      </c>
    </row>
    <row r="155" spans="1:7" ht="19.5" customHeight="1" x14ac:dyDescent="0.3">
      <c r="A155" s="65">
        <f t="shared" ref="A155:A159" si="44">A154+1</f>
        <v>116</v>
      </c>
      <c r="B155" s="66" t="s">
        <v>540</v>
      </c>
      <c r="C155" s="65" t="s">
        <v>193</v>
      </c>
      <c r="D155" s="227">
        <f>337.86+170.18</f>
        <v>508.04</v>
      </c>
      <c r="E155" s="171">
        <v>125</v>
      </c>
      <c r="F155" s="101">
        <f t="shared" si="42"/>
        <v>63505</v>
      </c>
      <c r="G155" s="101">
        <f t="shared" si="43"/>
        <v>76206</v>
      </c>
    </row>
    <row r="156" spans="1:7" ht="15.6" x14ac:dyDescent="0.3">
      <c r="A156" s="65">
        <f t="shared" si="44"/>
        <v>117</v>
      </c>
      <c r="B156" s="66" t="s">
        <v>517</v>
      </c>
      <c r="C156" s="65" t="s">
        <v>193</v>
      </c>
      <c r="D156" s="152">
        <f>84.46+42.54</f>
        <v>127</v>
      </c>
      <c r="E156" s="171">
        <v>898.68666666666672</v>
      </c>
      <c r="F156" s="101">
        <f t="shared" si="42"/>
        <v>114133.21</v>
      </c>
      <c r="G156" s="101">
        <f t="shared" si="43"/>
        <v>136959.85</v>
      </c>
    </row>
    <row r="157" spans="1:7" ht="15.6" x14ac:dyDescent="0.3">
      <c r="A157" s="65">
        <f t="shared" si="44"/>
        <v>118</v>
      </c>
      <c r="B157" s="66" t="s">
        <v>518</v>
      </c>
      <c r="C157" s="65" t="s">
        <v>239</v>
      </c>
      <c r="D157" s="227">
        <f>132.8+14.1</f>
        <v>146.9</v>
      </c>
      <c r="E157" s="171">
        <v>325</v>
      </c>
      <c r="F157" s="101">
        <f t="shared" si="42"/>
        <v>47742.5</v>
      </c>
      <c r="G157" s="101">
        <f t="shared" si="43"/>
        <v>57291</v>
      </c>
    </row>
    <row r="158" spans="1:7" ht="15.6" x14ac:dyDescent="0.3">
      <c r="A158" s="65">
        <f t="shared" si="44"/>
        <v>119</v>
      </c>
      <c r="B158" s="66" t="s">
        <v>541</v>
      </c>
      <c r="C158" s="65" t="s">
        <v>239</v>
      </c>
      <c r="D158" s="227">
        <f t="shared" ref="D158:D159" si="45">132.8+14.1</f>
        <v>146.9</v>
      </c>
      <c r="E158" s="171">
        <v>250</v>
      </c>
      <c r="F158" s="101">
        <f t="shared" si="42"/>
        <v>36725</v>
      </c>
      <c r="G158" s="101">
        <f t="shared" si="43"/>
        <v>44070</v>
      </c>
    </row>
    <row r="159" spans="1:7" ht="15.6" x14ac:dyDescent="0.3">
      <c r="A159" s="65">
        <f t="shared" si="44"/>
        <v>120</v>
      </c>
      <c r="B159" s="79" t="s">
        <v>446</v>
      </c>
      <c r="C159" s="65" t="s">
        <v>193</v>
      </c>
      <c r="D159" s="227">
        <f t="shared" si="45"/>
        <v>146.9</v>
      </c>
      <c r="E159" s="171">
        <v>50</v>
      </c>
      <c r="F159" s="101">
        <f t="shared" si="42"/>
        <v>7345</v>
      </c>
      <c r="G159" s="101">
        <f t="shared" si="43"/>
        <v>8814</v>
      </c>
    </row>
    <row r="160" spans="1:7" ht="27.6" x14ac:dyDescent="0.3">
      <c r="A160" s="65"/>
      <c r="B160" s="61" t="s">
        <v>945</v>
      </c>
      <c r="C160" s="65"/>
      <c r="D160" s="71"/>
      <c r="E160" s="187"/>
      <c r="F160" s="87"/>
      <c r="G160" s="127"/>
    </row>
    <row r="161" spans="1:8" ht="27.6" x14ac:dyDescent="0.3">
      <c r="A161" s="65">
        <f>A159+1</f>
        <v>121</v>
      </c>
      <c r="B161" s="66" t="s">
        <v>542</v>
      </c>
      <c r="C161" s="65" t="s">
        <v>220</v>
      </c>
      <c r="D161" s="152">
        <v>11</v>
      </c>
      <c r="E161" s="171">
        <v>6240</v>
      </c>
      <c r="F161" s="101">
        <f t="shared" ref="F161:F215" si="46">ROUND(E161*D161,2)</f>
        <v>68640</v>
      </c>
      <c r="G161" s="101">
        <f t="shared" ref="G161:G215" si="47">ROUND(F161*1.2,2)</f>
        <v>82368</v>
      </c>
    </row>
    <row r="162" spans="1:8" ht="27.6" x14ac:dyDescent="0.3">
      <c r="A162" s="65">
        <f t="shared" ref="A162:A202" si="48">A161+1</f>
        <v>122</v>
      </c>
      <c r="B162" s="66" t="s">
        <v>543</v>
      </c>
      <c r="C162" s="65" t="s">
        <v>220</v>
      </c>
      <c r="D162" s="152">
        <v>43</v>
      </c>
      <c r="E162" s="171">
        <v>1560</v>
      </c>
      <c r="F162" s="101">
        <f t="shared" ref="F162:F169" si="49">ROUND(E162*D162,2)</f>
        <v>67080</v>
      </c>
      <c r="G162" s="101">
        <f t="shared" ref="G162:G169" si="50">ROUND(F162*1.2,2)</f>
        <v>80496</v>
      </c>
    </row>
    <row r="163" spans="1:8" ht="41.4" x14ac:dyDescent="0.3">
      <c r="A163" s="65">
        <f t="shared" si="48"/>
        <v>123</v>
      </c>
      <c r="B163" s="66" t="s">
        <v>544</v>
      </c>
      <c r="C163" s="65" t="s">
        <v>220</v>
      </c>
      <c r="D163" s="152">
        <v>14</v>
      </c>
      <c r="E163" s="171">
        <v>1060</v>
      </c>
      <c r="F163" s="101">
        <f t="shared" si="49"/>
        <v>14840</v>
      </c>
      <c r="G163" s="101">
        <f t="shared" si="50"/>
        <v>17808</v>
      </c>
    </row>
    <row r="164" spans="1:8" ht="27.6" x14ac:dyDescent="0.3">
      <c r="A164" s="65">
        <f t="shared" si="48"/>
        <v>124</v>
      </c>
      <c r="B164" s="66" t="s">
        <v>545</v>
      </c>
      <c r="C164" s="65" t="s">
        <v>193</v>
      </c>
      <c r="D164" s="226">
        <v>0.02</v>
      </c>
      <c r="E164" s="171">
        <v>127396</v>
      </c>
      <c r="F164" s="101">
        <f t="shared" si="49"/>
        <v>2547.92</v>
      </c>
      <c r="G164" s="101">
        <f t="shared" si="50"/>
        <v>3057.5</v>
      </c>
    </row>
    <row r="165" spans="1:8" ht="27.6" x14ac:dyDescent="0.3">
      <c r="A165" s="65">
        <f t="shared" si="48"/>
        <v>125</v>
      </c>
      <c r="B165" s="66" t="s">
        <v>546</v>
      </c>
      <c r="C165" s="65" t="s">
        <v>193</v>
      </c>
      <c r="D165" s="226">
        <v>5.63</v>
      </c>
      <c r="E165" s="171">
        <v>5763.1974358974367</v>
      </c>
      <c r="F165" s="101">
        <f t="shared" si="49"/>
        <v>32446.799999999999</v>
      </c>
      <c r="G165" s="101">
        <f t="shared" si="50"/>
        <v>38936.160000000003</v>
      </c>
    </row>
    <row r="166" spans="1:8" ht="27.6" x14ac:dyDescent="0.3">
      <c r="A166" s="86">
        <f t="shared" si="48"/>
        <v>126</v>
      </c>
      <c r="B166" s="243" t="s">
        <v>933</v>
      </c>
      <c r="C166" s="86" t="s">
        <v>431</v>
      </c>
      <c r="D166" s="226">
        <v>171.64</v>
      </c>
      <c r="E166" s="170">
        <v>1007.6976744186048</v>
      </c>
      <c r="F166" s="102">
        <f t="shared" si="49"/>
        <v>172961.23</v>
      </c>
      <c r="G166" s="102">
        <f t="shared" si="50"/>
        <v>207553.48</v>
      </c>
    </row>
    <row r="167" spans="1:8" ht="27.6" x14ac:dyDescent="0.3">
      <c r="A167" s="86">
        <f t="shared" si="48"/>
        <v>127</v>
      </c>
      <c r="B167" s="243" t="s">
        <v>934</v>
      </c>
      <c r="C167" s="250" t="s">
        <v>431</v>
      </c>
      <c r="D167" s="226">
        <v>171.64</v>
      </c>
      <c r="E167" s="170">
        <v>152</v>
      </c>
      <c r="F167" s="102">
        <f t="shared" si="49"/>
        <v>26089.279999999999</v>
      </c>
      <c r="G167" s="102">
        <f t="shared" si="50"/>
        <v>31307.14</v>
      </c>
    </row>
    <row r="168" spans="1:8" ht="27.6" x14ac:dyDescent="0.3">
      <c r="A168" s="86">
        <f t="shared" si="48"/>
        <v>128</v>
      </c>
      <c r="B168" s="243" t="s">
        <v>935</v>
      </c>
      <c r="C168" s="86" t="s">
        <v>431</v>
      </c>
      <c r="D168" s="226">
        <v>171.64</v>
      </c>
      <c r="E168" s="170">
        <v>315.54000000000002</v>
      </c>
      <c r="F168" s="102">
        <f t="shared" si="49"/>
        <v>54159.29</v>
      </c>
      <c r="G168" s="102">
        <f t="shared" si="50"/>
        <v>64991.15</v>
      </c>
    </row>
    <row r="169" spans="1:8" ht="27.6" x14ac:dyDescent="0.3">
      <c r="A169" s="214">
        <f t="shared" si="48"/>
        <v>129</v>
      </c>
      <c r="B169" s="222" t="s">
        <v>1071</v>
      </c>
      <c r="C169" s="214" t="s">
        <v>193</v>
      </c>
      <c r="D169" s="223">
        <v>0.34</v>
      </c>
      <c r="E169" s="218">
        <v>30352.94</v>
      </c>
      <c r="F169" s="219">
        <f t="shared" si="49"/>
        <v>10320</v>
      </c>
      <c r="G169" s="219">
        <f t="shared" si="50"/>
        <v>12384</v>
      </c>
      <c r="H169" s="210"/>
    </row>
    <row r="170" spans="1:8" ht="27.6" x14ac:dyDescent="0.3">
      <c r="A170" s="214">
        <f t="shared" si="48"/>
        <v>130</v>
      </c>
      <c r="B170" s="222" t="s">
        <v>936</v>
      </c>
      <c r="C170" s="214" t="s">
        <v>193</v>
      </c>
      <c r="D170" s="223">
        <v>0.62</v>
      </c>
      <c r="E170" s="218">
        <v>30352.94</v>
      </c>
      <c r="F170" s="219">
        <f t="shared" ref="F170:F174" si="51">ROUND(E170*D170,2)</f>
        <v>18818.82</v>
      </c>
      <c r="G170" s="219">
        <f t="shared" ref="G170:G174" si="52">ROUND(F170*1.2,2)</f>
        <v>22582.58</v>
      </c>
    </row>
    <row r="171" spans="1:8" ht="27.6" x14ac:dyDescent="0.3">
      <c r="A171" s="86">
        <f t="shared" si="48"/>
        <v>131</v>
      </c>
      <c r="B171" s="243" t="s">
        <v>933</v>
      </c>
      <c r="C171" s="86" t="s">
        <v>431</v>
      </c>
      <c r="D171" s="226">
        <v>0.8</v>
      </c>
      <c r="E171" s="170">
        <v>1007.6976744186048</v>
      </c>
      <c r="F171" s="102">
        <f t="shared" si="51"/>
        <v>806.16</v>
      </c>
      <c r="G171" s="102">
        <f t="shared" si="52"/>
        <v>967.39</v>
      </c>
    </row>
    <row r="172" spans="1:8" ht="27.6" x14ac:dyDescent="0.3">
      <c r="A172" s="86">
        <f t="shared" si="48"/>
        <v>132</v>
      </c>
      <c r="B172" s="243" t="s">
        <v>934</v>
      </c>
      <c r="C172" s="250" t="s">
        <v>431</v>
      </c>
      <c r="D172" s="226">
        <v>3.8</v>
      </c>
      <c r="E172" s="170">
        <v>152</v>
      </c>
      <c r="F172" s="102">
        <f t="shared" si="51"/>
        <v>577.6</v>
      </c>
      <c r="G172" s="102">
        <f t="shared" si="52"/>
        <v>693.12</v>
      </c>
    </row>
    <row r="173" spans="1:8" ht="27.6" x14ac:dyDescent="0.3">
      <c r="A173" s="86">
        <f t="shared" si="48"/>
        <v>133</v>
      </c>
      <c r="B173" s="243" t="s">
        <v>935</v>
      </c>
      <c r="C173" s="86" t="s">
        <v>431</v>
      </c>
      <c r="D173" s="226">
        <v>3.8</v>
      </c>
      <c r="E173" s="170">
        <v>315.54000000000002</v>
      </c>
      <c r="F173" s="102">
        <f t="shared" si="51"/>
        <v>1199.05</v>
      </c>
      <c r="G173" s="102">
        <f t="shared" si="52"/>
        <v>1438.86</v>
      </c>
    </row>
    <row r="174" spans="1:8" ht="15.6" x14ac:dyDescent="0.3">
      <c r="A174" s="86">
        <f t="shared" si="48"/>
        <v>134</v>
      </c>
      <c r="B174" s="243" t="s">
        <v>937</v>
      </c>
      <c r="C174" s="86" t="s">
        <v>193</v>
      </c>
      <c r="D174" s="226">
        <v>1.5</v>
      </c>
      <c r="E174" s="170">
        <v>5761.0434782608691</v>
      </c>
      <c r="F174" s="102">
        <f t="shared" si="51"/>
        <v>8641.57</v>
      </c>
      <c r="G174" s="102">
        <f t="shared" si="52"/>
        <v>10369.879999999999</v>
      </c>
    </row>
    <row r="175" spans="1:8" ht="27.6" x14ac:dyDescent="0.3">
      <c r="A175" s="214">
        <f t="shared" si="48"/>
        <v>135</v>
      </c>
      <c r="B175" s="222" t="s">
        <v>938</v>
      </c>
      <c r="C175" s="214" t="s">
        <v>193</v>
      </c>
      <c r="D175" s="223">
        <v>0.16</v>
      </c>
      <c r="E175" s="218">
        <v>6943.75</v>
      </c>
      <c r="F175" s="219">
        <f t="shared" ref="F175" si="53">ROUND(E175*D175,2)</f>
        <v>1111</v>
      </c>
      <c r="G175" s="219">
        <f t="shared" ref="G175" si="54">ROUND(F175*1.2,2)</f>
        <v>1333.2</v>
      </c>
    </row>
    <row r="176" spans="1:8" ht="15.6" x14ac:dyDescent="0.3">
      <c r="A176" s="214">
        <f t="shared" si="48"/>
        <v>136</v>
      </c>
      <c r="B176" s="222" t="s">
        <v>939</v>
      </c>
      <c r="C176" s="214" t="s">
        <v>193</v>
      </c>
      <c r="D176" s="223">
        <v>0.6</v>
      </c>
      <c r="E176" s="218">
        <f>4166/0.6</f>
        <v>6943.3333333333339</v>
      </c>
      <c r="F176" s="219">
        <f t="shared" ref="F176:F185" si="55">ROUND(E176*D176,2)</f>
        <v>4166</v>
      </c>
      <c r="G176" s="219">
        <f t="shared" ref="G176:G183" si="56">ROUND(F176*1.2,2)</f>
        <v>4999.2</v>
      </c>
    </row>
    <row r="177" spans="1:8" ht="27.6" x14ac:dyDescent="0.3">
      <c r="A177" s="86">
        <f t="shared" si="48"/>
        <v>137</v>
      </c>
      <c r="B177" s="243" t="s">
        <v>933</v>
      </c>
      <c r="C177" s="86" t="s">
        <v>431</v>
      </c>
      <c r="D177" s="226">
        <v>4.5</v>
      </c>
      <c r="E177" s="170">
        <v>1007.6976744186048</v>
      </c>
      <c r="F177" s="102">
        <f t="shared" si="55"/>
        <v>4534.6400000000003</v>
      </c>
      <c r="G177" s="102">
        <f t="shared" si="56"/>
        <v>5441.57</v>
      </c>
    </row>
    <row r="178" spans="1:8" ht="27.6" x14ac:dyDescent="0.3">
      <c r="A178" s="86">
        <f t="shared" si="48"/>
        <v>138</v>
      </c>
      <c r="B178" s="243" t="s">
        <v>934</v>
      </c>
      <c r="C178" s="250" t="s">
        <v>431</v>
      </c>
      <c r="D178" s="226">
        <v>4.5</v>
      </c>
      <c r="E178" s="170">
        <v>152</v>
      </c>
      <c r="F178" s="102">
        <f t="shared" si="55"/>
        <v>684</v>
      </c>
      <c r="G178" s="102">
        <f t="shared" si="56"/>
        <v>820.8</v>
      </c>
    </row>
    <row r="179" spans="1:8" ht="27.6" x14ac:dyDescent="0.3">
      <c r="A179" s="86">
        <f t="shared" si="48"/>
        <v>139</v>
      </c>
      <c r="B179" s="243" t="s">
        <v>935</v>
      </c>
      <c r="C179" s="86" t="s">
        <v>431</v>
      </c>
      <c r="D179" s="226">
        <v>4.5</v>
      </c>
      <c r="E179" s="170">
        <v>315.54000000000002</v>
      </c>
      <c r="F179" s="102">
        <f t="shared" si="55"/>
        <v>1419.93</v>
      </c>
      <c r="G179" s="102">
        <f t="shared" si="56"/>
        <v>1703.92</v>
      </c>
    </row>
    <row r="180" spans="1:8" ht="15.6" x14ac:dyDescent="0.3">
      <c r="A180" s="214">
        <f t="shared" si="48"/>
        <v>140</v>
      </c>
      <c r="B180" s="222" t="s">
        <v>940</v>
      </c>
      <c r="C180" s="214" t="s">
        <v>193</v>
      </c>
      <c r="D180" s="223">
        <v>0.08</v>
      </c>
      <c r="E180" s="218">
        <f>2280/0.08</f>
        <v>28500</v>
      </c>
      <c r="F180" s="219">
        <f t="shared" si="55"/>
        <v>2280</v>
      </c>
      <c r="G180" s="219">
        <f t="shared" si="56"/>
        <v>2736</v>
      </c>
    </row>
    <row r="181" spans="1:8" ht="15.6" x14ac:dyDescent="0.3">
      <c r="A181" s="214">
        <f t="shared" si="48"/>
        <v>141</v>
      </c>
      <c r="B181" s="222" t="s">
        <v>944</v>
      </c>
      <c r="C181" s="214" t="s">
        <v>220</v>
      </c>
      <c r="D181" s="217">
        <v>1</v>
      </c>
      <c r="E181" s="218">
        <v>56237</v>
      </c>
      <c r="F181" s="219">
        <f t="shared" si="55"/>
        <v>56237</v>
      </c>
      <c r="G181" s="219">
        <f t="shared" si="56"/>
        <v>67484.399999999994</v>
      </c>
    </row>
    <row r="182" spans="1:8" ht="15.6" x14ac:dyDescent="0.3">
      <c r="A182" s="214">
        <f t="shared" si="48"/>
        <v>142</v>
      </c>
      <c r="B182" s="222" t="s">
        <v>1257</v>
      </c>
      <c r="C182" s="214" t="s">
        <v>254</v>
      </c>
      <c r="D182" s="223">
        <v>138.83000000000001</v>
      </c>
      <c r="E182" s="218">
        <f>3037/138.83</f>
        <v>21.8756752863214</v>
      </c>
      <c r="F182" s="219">
        <f t="shared" si="55"/>
        <v>3037</v>
      </c>
      <c r="G182" s="219">
        <f t="shared" si="56"/>
        <v>3644.4</v>
      </c>
    </row>
    <row r="183" spans="1:8" ht="15.6" x14ac:dyDescent="0.3">
      <c r="A183" s="214">
        <f t="shared" si="48"/>
        <v>143</v>
      </c>
      <c r="B183" s="222" t="s">
        <v>943</v>
      </c>
      <c r="C183" s="214" t="s">
        <v>254</v>
      </c>
      <c r="D183" s="223">
        <v>45</v>
      </c>
      <c r="E183" s="218">
        <v>115.24</v>
      </c>
      <c r="F183" s="219">
        <f t="shared" si="55"/>
        <v>5185.8</v>
      </c>
      <c r="G183" s="219">
        <f t="shared" si="56"/>
        <v>6222.96</v>
      </c>
    </row>
    <row r="184" spans="1:8" ht="15.6" x14ac:dyDescent="0.3">
      <c r="A184" s="86"/>
      <c r="B184" s="225" t="s">
        <v>946</v>
      </c>
      <c r="C184" s="86"/>
      <c r="D184" s="226"/>
      <c r="E184" s="170"/>
      <c r="F184" s="102"/>
      <c r="G184" s="102"/>
    </row>
    <row r="185" spans="1:8" ht="15.6" x14ac:dyDescent="0.3">
      <c r="A185" s="214">
        <f>A183+1</f>
        <v>144</v>
      </c>
      <c r="B185" s="222" t="s">
        <v>947</v>
      </c>
      <c r="C185" s="214" t="s">
        <v>193</v>
      </c>
      <c r="D185" s="223">
        <v>9.9</v>
      </c>
      <c r="E185" s="218">
        <v>13642.522222222222</v>
      </c>
      <c r="F185" s="219">
        <f t="shared" si="55"/>
        <v>135060.97</v>
      </c>
      <c r="G185" s="219">
        <f t="shared" ref="G185" si="57">ROUND(F185*1.2,2)</f>
        <v>162073.16</v>
      </c>
    </row>
    <row r="186" spans="1:8" ht="15.6" x14ac:dyDescent="0.3">
      <c r="A186" s="86">
        <f>A185+1</f>
        <v>145</v>
      </c>
      <c r="B186" s="243" t="s">
        <v>948</v>
      </c>
      <c r="C186" s="86" t="s">
        <v>193</v>
      </c>
      <c r="D186" s="226">
        <v>1.7</v>
      </c>
      <c r="E186" s="170">
        <v>13272.15</v>
      </c>
      <c r="F186" s="102">
        <f t="shared" ref="F186:F191" si="58">ROUND(E186*D186,2)</f>
        <v>22562.66</v>
      </c>
      <c r="G186" s="102">
        <f t="shared" ref="G186:G191" si="59">ROUND(F186*1.2,2)</f>
        <v>27075.19</v>
      </c>
    </row>
    <row r="187" spans="1:8" ht="15.6" x14ac:dyDescent="0.3">
      <c r="A187" s="214">
        <f t="shared" ref="A187:A192" si="60">A186+1</f>
        <v>146</v>
      </c>
      <c r="B187" s="222" t="s">
        <v>1258</v>
      </c>
      <c r="C187" s="269" t="s">
        <v>220</v>
      </c>
      <c r="D187" s="241">
        <v>3</v>
      </c>
      <c r="E187" s="218">
        <v>3041</v>
      </c>
      <c r="F187" s="219">
        <f t="shared" si="58"/>
        <v>9123</v>
      </c>
      <c r="G187" s="219">
        <f t="shared" si="59"/>
        <v>10947.6</v>
      </c>
      <c r="H187" s="270" t="s">
        <v>1261</v>
      </c>
    </row>
    <row r="188" spans="1:8" ht="15.6" x14ac:dyDescent="0.3">
      <c r="A188" s="214">
        <f t="shared" si="60"/>
        <v>147</v>
      </c>
      <c r="B188" s="222" t="s">
        <v>1259</v>
      </c>
      <c r="C188" s="269" t="s">
        <v>220</v>
      </c>
      <c r="D188" s="241">
        <v>2</v>
      </c>
      <c r="E188" s="218">
        <v>1416</v>
      </c>
      <c r="F188" s="219">
        <f t="shared" si="58"/>
        <v>2832</v>
      </c>
      <c r="G188" s="219">
        <f t="shared" si="59"/>
        <v>3398.4</v>
      </c>
      <c r="H188" s="270" t="s">
        <v>1261</v>
      </c>
    </row>
    <row r="189" spans="1:8" ht="15.6" x14ac:dyDescent="0.3">
      <c r="A189" s="214">
        <f t="shared" si="60"/>
        <v>148</v>
      </c>
      <c r="B189" s="222" t="s">
        <v>1260</v>
      </c>
      <c r="C189" s="269" t="s">
        <v>220</v>
      </c>
      <c r="D189" s="241">
        <v>1</v>
      </c>
      <c r="E189" s="218">
        <v>1294</v>
      </c>
      <c r="F189" s="219">
        <f t="shared" si="58"/>
        <v>1294</v>
      </c>
      <c r="G189" s="219">
        <f t="shared" si="59"/>
        <v>1552.8</v>
      </c>
      <c r="H189" s="270" t="s">
        <v>1261</v>
      </c>
    </row>
    <row r="190" spans="1:8" ht="15.6" x14ac:dyDescent="0.3">
      <c r="A190" s="214">
        <f t="shared" si="60"/>
        <v>149</v>
      </c>
      <c r="B190" s="222" t="s">
        <v>949</v>
      </c>
      <c r="C190" s="214" t="s">
        <v>220</v>
      </c>
      <c r="D190" s="217">
        <v>2</v>
      </c>
      <c r="E190" s="218">
        <v>4289</v>
      </c>
      <c r="F190" s="219">
        <f t="shared" si="58"/>
        <v>8578</v>
      </c>
      <c r="G190" s="219">
        <f t="shared" si="59"/>
        <v>10293.6</v>
      </c>
    </row>
    <row r="191" spans="1:8" ht="15.6" x14ac:dyDescent="0.3">
      <c r="A191" s="214">
        <f t="shared" si="60"/>
        <v>150</v>
      </c>
      <c r="B191" s="222" t="s">
        <v>950</v>
      </c>
      <c r="C191" s="214" t="s">
        <v>220</v>
      </c>
      <c r="D191" s="217">
        <v>2</v>
      </c>
      <c r="E191" s="218">
        <v>2078</v>
      </c>
      <c r="F191" s="219">
        <f t="shared" si="58"/>
        <v>4156</v>
      </c>
      <c r="G191" s="219">
        <f t="shared" si="59"/>
        <v>4987.2</v>
      </c>
    </row>
    <row r="192" spans="1:8" ht="15.6" x14ac:dyDescent="0.3">
      <c r="A192" s="214">
        <f t="shared" si="60"/>
        <v>151</v>
      </c>
      <c r="B192" s="222" t="s">
        <v>951</v>
      </c>
      <c r="C192" s="214" t="s">
        <v>220</v>
      </c>
      <c r="D192" s="217">
        <v>2</v>
      </c>
      <c r="E192" s="218">
        <v>2078</v>
      </c>
      <c r="F192" s="219">
        <f t="shared" ref="F192" si="61">ROUND(E192*D192,2)</f>
        <v>4156</v>
      </c>
      <c r="G192" s="219">
        <f t="shared" ref="G192" si="62">ROUND(F192*1.2,2)</f>
        <v>4987.2</v>
      </c>
    </row>
    <row r="193" spans="1:8" ht="27.6" x14ac:dyDescent="0.3">
      <c r="A193" s="214">
        <f>A192+1</f>
        <v>152</v>
      </c>
      <c r="B193" s="222" t="s">
        <v>952</v>
      </c>
      <c r="C193" s="214" t="s">
        <v>220</v>
      </c>
      <c r="D193" s="217">
        <v>2</v>
      </c>
      <c r="E193" s="218">
        <v>5667</v>
      </c>
      <c r="F193" s="219">
        <f t="shared" ref="F193:F194" si="63">ROUND(E193*D193,2)</f>
        <v>11334</v>
      </c>
      <c r="G193" s="219">
        <f t="shared" ref="G193:G194" si="64">ROUND(F193*1.2,2)</f>
        <v>13600.8</v>
      </c>
    </row>
    <row r="194" spans="1:8" ht="27.6" x14ac:dyDescent="0.3">
      <c r="A194" s="214">
        <f t="shared" ref="A194:A196" si="65">A193+1</f>
        <v>153</v>
      </c>
      <c r="B194" s="222" t="s">
        <v>953</v>
      </c>
      <c r="C194" s="214" t="s">
        <v>220</v>
      </c>
      <c r="D194" s="217">
        <v>2</v>
      </c>
      <c r="E194" s="218">
        <v>18703</v>
      </c>
      <c r="F194" s="219">
        <f t="shared" si="63"/>
        <v>37406</v>
      </c>
      <c r="G194" s="219">
        <f t="shared" si="64"/>
        <v>44887.199999999997</v>
      </c>
    </row>
    <row r="195" spans="1:8" ht="27.6" x14ac:dyDescent="0.3">
      <c r="A195" s="214">
        <f t="shared" si="65"/>
        <v>154</v>
      </c>
      <c r="B195" s="222" t="s">
        <v>954</v>
      </c>
      <c r="C195" s="214" t="s">
        <v>220</v>
      </c>
      <c r="D195" s="217">
        <v>2</v>
      </c>
      <c r="E195" s="218">
        <v>6960</v>
      </c>
      <c r="F195" s="219">
        <f t="shared" ref="F195" si="66">ROUND(E195*D195,2)</f>
        <v>13920</v>
      </c>
      <c r="G195" s="219">
        <f t="shared" ref="G195" si="67">ROUND(F195*1.2,2)</f>
        <v>16704</v>
      </c>
    </row>
    <row r="196" spans="1:8" ht="27.6" x14ac:dyDescent="0.3">
      <c r="A196" s="214">
        <f t="shared" si="65"/>
        <v>155</v>
      </c>
      <c r="B196" s="222" t="s">
        <v>955</v>
      </c>
      <c r="C196" s="214" t="s">
        <v>220</v>
      </c>
      <c r="D196" s="217">
        <v>2</v>
      </c>
      <c r="E196" s="218">
        <f>1258*2</f>
        <v>2516</v>
      </c>
      <c r="F196" s="219">
        <f t="shared" ref="F196" si="68">ROUND(E196*D196,2)</f>
        <v>5032</v>
      </c>
      <c r="G196" s="219">
        <f t="shared" ref="G196" si="69">ROUND(F196*1.2,2)</f>
        <v>6038.4</v>
      </c>
    </row>
    <row r="197" spans="1:8" ht="15.6" x14ac:dyDescent="0.3">
      <c r="A197" s="214">
        <f>A196+1</f>
        <v>156</v>
      </c>
      <c r="B197" s="222" t="s">
        <v>956</v>
      </c>
      <c r="C197" s="214" t="s">
        <v>239</v>
      </c>
      <c r="D197" s="228">
        <v>7.8E-2</v>
      </c>
      <c r="E197" s="218">
        <f>9795/0.078</f>
        <v>125576.92307692308</v>
      </c>
      <c r="F197" s="219">
        <f t="shared" ref="F197:F202" si="70">ROUND(E197*D197,2)</f>
        <v>9795</v>
      </c>
      <c r="G197" s="219">
        <f t="shared" ref="G197:G202" si="71">ROUND(F197*1.2,2)</f>
        <v>11754</v>
      </c>
    </row>
    <row r="198" spans="1:8" ht="27.6" x14ac:dyDescent="0.3">
      <c r="A198" s="86">
        <f t="shared" si="48"/>
        <v>157</v>
      </c>
      <c r="B198" s="243" t="s">
        <v>934</v>
      </c>
      <c r="C198" s="86" t="s">
        <v>431</v>
      </c>
      <c r="D198" s="226">
        <v>54.1</v>
      </c>
      <c r="E198" s="170">
        <v>152</v>
      </c>
      <c r="F198" s="102">
        <f t="shared" si="70"/>
        <v>8223.2000000000007</v>
      </c>
      <c r="G198" s="102">
        <f t="shared" si="71"/>
        <v>9867.84</v>
      </c>
    </row>
    <row r="199" spans="1:8" ht="27.6" x14ac:dyDescent="0.3">
      <c r="A199" s="86">
        <f t="shared" si="48"/>
        <v>158</v>
      </c>
      <c r="B199" s="243" t="s">
        <v>935</v>
      </c>
      <c r="C199" s="86" t="s">
        <v>431</v>
      </c>
      <c r="D199" s="226">
        <v>54.1</v>
      </c>
      <c r="E199" s="170">
        <v>315.54000000000002</v>
      </c>
      <c r="F199" s="102">
        <f t="shared" si="70"/>
        <v>17070.71</v>
      </c>
      <c r="G199" s="102">
        <f t="shared" si="71"/>
        <v>20484.849999999999</v>
      </c>
    </row>
    <row r="200" spans="1:8" ht="27.6" x14ac:dyDescent="0.3">
      <c r="A200" s="65">
        <f t="shared" si="48"/>
        <v>159</v>
      </c>
      <c r="B200" s="66" t="s">
        <v>547</v>
      </c>
      <c r="C200" s="65" t="s">
        <v>431</v>
      </c>
      <c r="D200" s="152">
        <v>2</v>
      </c>
      <c r="E200" s="171">
        <v>182</v>
      </c>
      <c r="F200" s="101">
        <f t="shared" si="70"/>
        <v>364</v>
      </c>
      <c r="G200" s="101">
        <f t="shared" si="71"/>
        <v>436.8</v>
      </c>
    </row>
    <row r="201" spans="1:8" ht="15.6" x14ac:dyDescent="0.3">
      <c r="A201" s="65">
        <f t="shared" si="48"/>
        <v>160</v>
      </c>
      <c r="B201" s="66" t="s">
        <v>548</v>
      </c>
      <c r="C201" s="65" t="s">
        <v>431</v>
      </c>
      <c r="D201" s="152">
        <v>2</v>
      </c>
      <c r="E201" s="171">
        <v>182</v>
      </c>
      <c r="F201" s="101">
        <f t="shared" si="70"/>
        <v>364</v>
      </c>
      <c r="G201" s="101">
        <f t="shared" si="71"/>
        <v>436.8</v>
      </c>
    </row>
    <row r="202" spans="1:8" ht="27.6" x14ac:dyDescent="0.3">
      <c r="A202" s="65">
        <f t="shared" si="48"/>
        <v>161</v>
      </c>
      <c r="B202" s="66" t="s">
        <v>549</v>
      </c>
      <c r="C202" s="65" t="s">
        <v>193</v>
      </c>
      <c r="D202" s="71">
        <v>0.2</v>
      </c>
      <c r="E202" s="171">
        <v>13272.15</v>
      </c>
      <c r="F202" s="101">
        <f t="shared" si="70"/>
        <v>2654.43</v>
      </c>
      <c r="G202" s="101">
        <f t="shared" si="71"/>
        <v>3185.32</v>
      </c>
    </row>
    <row r="203" spans="1:8" ht="27.6" x14ac:dyDescent="0.3">
      <c r="A203" s="214">
        <f>A202+1</f>
        <v>162</v>
      </c>
      <c r="B203" s="222" t="s">
        <v>957</v>
      </c>
      <c r="C203" s="214" t="s">
        <v>193</v>
      </c>
      <c r="D203" s="228">
        <v>0.621</v>
      </c>
      <c r="E203" s="218">
        <f>52655/0.621</f>
        <v>84790.660225442829</v>
      </c>
      <c r="F203" s="219">
        <f t="shared" ref="F203:F205" si="72">ROUND(E203*D203,2)</f>
        <v>52655</v>
      </c>
      <c r="G203" s="219">
        <f t="shared" ref="G203:G205" si="73">ROUND(F203*1.2,2)</f>
        <v>63186</v>
      </c>
    </row>
    <row r="204" spans="1:8" ht="27.6" x14ac:dyDescent="0.3">
      <c r="A204" s="214">
        <f>A203+1</f>
        <v>163</v>
      </c>
      <c r="B204" s="222" t="s">
        <v>958</v>
      </c>
      <c r="C204" s="214" t="s">
        <v>960</v>
      </c>
      <c r="D204" s="223">
        <v>23.55</v>
      </c>
      <c r="E204" s="218">
        <v>626.07000000000005</v>
      </c>
      <c r="F204" s="219">
        <f t="shared" si="72"/>
        <v>14743.95</v>
      </c>
      <c r="G204" s="219">
        <f t="shared" si="73"/>
        <v>17692.740000000002</v>
      </c>
    </row>
    <row r="205" spans="1:8" ht="15.6" x14ac:dyDescent="0.3">
      <c r="A205" s="214">
        <f>A204+1</f>
        <v>164</v>
      </c>
      <c r="B205" s="222" t="s">
        <v>959</v>
      </c>
      <c r="C205" s="214" t="s">
        <v>431</v>
      </c>
      <c r="D205" s="223">
        <v>0.3</v>
      </c>
      <c r="E205" s="218">
        <f>102/0.3</f>
        <v>340</v>
      </c>
      <c r="F205" s="219">
        <f t="shared" si="72"/>
        <v>102</v>
      </c>
      <c r="G205" s="219">
        <f t="shared" si="73"/>
        <v>122.4</v>
      </c>
    </row>
    <row r="206" spans="1:8" ht="15.6" x14ac:dyDescent="0.3">
      <c r="A206" s="65"/>
      <c r="B206" s="61" t="s">
        <v>404</v>
      </c>
      <c r="C206" s="65"/>
      <c r="D206" s="71"/>
      <c r="E206" s="181"/>
      <c r="F206" s="101"/>
      <c r="G206" s="101"/>
    </row>
    <row r="207" spans="1:8" ht="43.2" x14ac:dyDescent="0.3">
      <c r="A207" s="65">
        <f>A205+1</f>
        <v>165</v>
      </c>
      <c r="B207" s="208" t="s">
        <v>961</v>
      </c>
      <c r="C207" s="65" t="s">
        <v>194</v>
      </c>
      <c r="D207" s="227">
        <v>115</v>
      </c>
      <c r="E207" s="171">
        <v>2290.1579999999999</v>
      </c>
      <c r="F207" s="101">
        <f t="shared" si="46"/>
        <v>263368.17</v>
      </c>
      <c r="G207" s="101">
        <f t="shared" si="47"/>
        <v>316041.8</v>
      </c>
      <c r="H207" s="240" t="s">
        <v>1080</v>
      </c>
    </row>
    <row r="208" spans="1:8" ht="15.6" x14ac:dyDescent="0.3">
      <c r="A208" s="65">
        <f>A207+1</f>
        <v>166</v>
      </c>
      <c r="B208" s="230" t="s">
        <v>1081</v>
      </c>
      <c r="C208" s="65" t="s">
        <v>220</v>
      </c>
      <c r="D208" s="71">
        <v>24</v>
      </c>
      <c r="E208" s="171">
        <v>9339.7969230769231</v>
      </c>
      <c r="F208" s="101">
        <f t="shared" si="46"/>
        <v>224155.13</v>
      </c>
      <c r="G208" s="101">
        <f t="shared" si="47"/>
        <v>268986.15999999997</v>
      </c>
      <c r="H208" s="229" t="s">
        <v>973</v>
      </c>
    </row>
    <row r="209" spans="1:8" ht="15.6" x14ac:dyDescent="0.3">
      <c r="A209" s="65">
        <f t="shared" ref="A209:A211" si="74">A208+1</f>
        <v>167</v>
      </c>
      <c r="B209" s="230" t="s">
        <v>1082</v>
      </c>
      <c r="C209" s="65" t="s">
        <v>220</v>
      </c>
      <c r="D209" s="71">
        <v>24</v>
      </c>
      <c r="E209" s="171">
        <v>1866.7559615384619</v>
      </c>
      <c r="F209" s="101">
        <f t="shared" si="46"/>
        <v>44802.14</v>
      </c>
      <c r="G209" s="101">
        <f t="shared" si="47"/>
        <v>53762.57</v>
      </c>
      <c r="H209" s="229" t="s">
        <v>973</v>
      </c>
    </row>
    <row r="210" spans="1:8" ht="19.5" customHeight="1" x14ac:dyDescent="0.3">
      <c r="A210" s="214">
        <f t="shared" si="74"/>
        <v>168</v>
      </c>
      <c r="B210" s="222" t="s">
        <v>1048</v>
      </c>
      <c r="C210" s="214" t="s">
        <v>217</v>
      </c>
      <c r="D210" s="224">
        <f>12+12</f>
        <v>24</v>
      </c>
      <c r="E210" s="218">
        <v>10778</v>
      </c>
      <c r="F210" s="219">
        <f t="shared" ref="F210" si="75">ROUND(E210*D210,2)</f>
        <v>258672</v>
      </c>
      <c r="G210" s="219">
        <f t="shared" ref="G210" si="76">ROUND(F210*1.2,2)</f>
        <v>310406.40000000002</v>
      </c>
      <c r="H210" s="270" t="s">
        <v>1272</v>
      </c>
    </row>
    <row r="211" spans="1:8" ht="41.4" x14ac:dyDescent="0.3">
      <c r="A211" s="214">
        <f t="shared" si="74"/>
        <v>169</v>
      </c>
      <c r="B211" s="222" t="s">
        <v>1262</v>
      </c>
      <c r="C211" s="214" t="s">
        <v>194</v>
      </c>
      <c r="D211" s="224">
        <v>11</v>
      </c>
      <c r="E211" s="218">
        <v>981.27272727272725</v>
      </c>
      <c r="F211" s="219">
        <f t="shared" ref="F211" si="77">ROUND(E211*D211,2)</f>
        <v>10794</v>
      </c>
      <c r="G211" s="219">
        <f t="shared" ref="G211" si="78">ROUND(F211*1.2,2)</f>
        <v>12952.8</v>
      </c>
    </row>
    <row r="212" spans="1:8" ht="27.6" x14ac:dyDescent="0.3">
      <c r="A212" s="214">
        <f>A211+1</f>
        <v>170</v>
      </c>
      <c r="B212" s="222" t="s">
        <v>962</v>
      </c>
      <c r="C212" s="214" t="s">
        <v>194</v>
      </c>
      <c r="D212" s="224">
        <v>10.5</v>
      </c>
      <c r="E212" s="218">
        <v>918.1</v>
      </c>
      <c r="F212" s="219">
        <f t="shared" ref="F212" si="79">ROUND(E212*D212,2)</f>
        <v>9640.0499999999993</v>
      </c>
      <c r="G212" s="219">
        <f t="shared" ref="G212" si="80">ROUND(F212*1.2,2)</f>
        <v>11568.06</v>
      </c>
      <c r="H212" s="257"/>
    </row>
    <row r="213" spans="1:8" ht="15.6" x14ac:dyDescent="0.3">
      <c r="A213" s="86">
        <f>A212+1</f>
        <v>171</v>
      </c>
      <c r="B213" s="243" t="s">
        <v>963</v>
      </c>
      <c r="C213" s="86" t="s">
        <v>220</v>
      </c>
      <c r="D213" s="152">
        <v>16</v>
      </c>
      <c r="E213" s="170">
        <v>4680</v>
      </c>
      <c r="F213" s="102">
        <f t="shared" si="46"/>
        <v>74880</v>
      </c>
      <c r="G213" s="102">
        <f t="shared" si="47"/>
        <v>89856</v>
      </c>
      <c r="H213" s="258"/>
    </row>
    <row r="214" spans="1:8" ht="15.6" x14ac:dyDescent="0.3">
      <c r="A214" s="214">
        <f>A213+1</f>
        <v>172</v>
      </c>
      <c r="B214" s="222" t="s">
        <v>964</v>
      </c>
      <c r="C214" s="214" t="s">
        <v>220</v>
      </c>
      <c r="D214" s="217">
        <v>6</v>
      </c>
      <c r="E214" s="218">
        <v>1347.33</v>
      </c>
      <c r="F214" s="219">
        <f t="shared" si="46"/>
        <v>8083.98</v>
      </c>
      <c r="G214" s="219">
        <f t="shared" si="47"/>
        <v>9700.7800000000007</v>
      </c>
      <c r="H214" s="258"/>
    </row>
    <row r="215" spans="1:8" ht="15.6" x14ac:dyDescent="0.3">
      <c r="A215" s="214">
        <f>A214+1</f>
        <v>173</v>
      </c>
      <c r="B215" s="222" t="s">
        <v>965</v>
      </c>
      <c r="C215" s="214" t="s">
        <v>220</v>
      </c>
      <c r="D215" s="217">
        <v>8</v>
      </c>
      <c r="E215" s="218">
        <v>275.38</v>
      </c>
      <c r="F215" s="219">
        <f t="shared" si="46"/>
        <v>2203.04</v>
      </c>
      <c r="G215" s="219">
        <f t="shared" si="47"/>
        <v>2643.65</v>
      </c>
    </row>
    <row r="216" spans="1:8" ht="27.6" x14ac:dyDescent="0.3">
      <c r="A216" s="214">
        <f t="shared" ref="A216:A224" si="81">A215+1</f>
        <v>174</v>
      </c>
      <c r="B216" s="222" t="s">
        <v>966</v>
      </c>
      <c r="C216" s="214" t="s">
        <v>220</v>
      </c>
      <c r="D216" s="217">
        <v>4</v>
      </c>
      <c r="E216" s="283">
        <v>13305</v>
      </c>
      <c r="F216" s="219">
        <f t="shared" ref="F216:F225" si="82">ROUND(E216*D216,2)</f>
        <v>53220</v>
      </c>
      <c r="G216" s="219">
        <f t="shared" ref="G216:G225" si="83">ROUND(F216*1.2,2)</f>
        <v>63864</v>
      </c>
    </row>
    <row r="217" spans="1:8" ht="27.6" x14ac:dyDescent="0.3">
      <c r="A217" s="214">
        <f t="shared" si="81"/>
        <v>175</v>
      </c>
      <c r="B217" s="222" t="s">
        <v>967</v>
      </c>
      <c r="C217" s="214" t="s">
        <v>220</v>
      </c>
      <c r="D217" s="217">
        <v>2</v>
      </c>
      <c r="E217" s="283">
        <v>7683</v>
      </c>
      <c r="F217" s="219">
        <f t="shared" si="82"/>
        <v>15366</v>
      </c>
      <c r="G217" s="219">
        <f t="shared" si="83"/>
        <v>18439.2</v>
      </c>
    </row>
    <row r="218" spans="1:8" ht="27.6" x14ac:dyDescent="0.3">
      <c r="A218" s="214">
        <f t="shared" si="81"/>
        <v>176</v>
      </c>
      <c r="B218" s="222" t="s">
        <v>968</v>
      </c>
      <c r="C218" s="214" t="s">
        <v>220</v>
      </c>
      <c r="D218" s="217">
        <v>4</v>
      </c>
      <c r="E218" s="283">
        <v>4797</v>
      </c>
      <c r="F218" s="219">
        <f t="shared" si="82"/>
        <v>19188</v>
      </c>
      <c r="G218" s="219">
        <f t="shared" si="83"/>
        <v>23025.599999999999</v>
      </c>
    </row>
    <row r="219" spans="1:8" ht="15.6" x14ac:dyDescent="0.3">
      <c r="A219" s="214">
        <f t="shared" si="81"/>
        <v>177</v>
      </c>
      <c r="B219" s="222" t="s">
        <v>969</v>
      </c>
      <c r="C219" s="214" t="s">
        <v>220</v>
      </c>
      <c r="D219" s="217">
        <v>2</v>
      </c>
      <c r="E219" s="218">
        <v>1529</v>
      </c>
      <c r="F219" s="219">
        <f t="shared" si="82"/>
        <v>3058</v>
      </c>
      <c r="G219" s="219">
        <f t="shared" si="83"/>
        <v>3669.6</v>
      </c>
    </row>
    <row r="220" spans="1:8" ht="15.6" x14ac:dyDescent="0.3">
      <c r="A220" s="214">
        <f t="shared" si="81"/>
        <v>178</v>
      </c>
      <c r="B220" s="222" t="s">
        <v>970</v>
      </c>
      <c r="C220" s="214" t="s">
        <v>194</v>
      </c>
      <c r="D220" s="224">
        <v>2.2999999999999998</v>
      </c>
      <c r="E220" s="218">
        <f>1596/D220</f>
        <v>693.91304347826087</v>
      </c>
      <c r="F220" s="219">
        <f t="shared" si="82"/>
        <v>1596</v>
      </c>
      <c r="G220" s="219">
        <f t="shared" si="83"/>
        <v>1915.2</v>
      </c>
    </row>
    <row r="221" spans="1:8" ht="15.6" x14ac:dyDescent="0.3">
      <c r="A221" s="214">
        <f t="shared" si="81"/>
        <v>179</v>
      </c>
      <c r="B221" s="222" t="s">
        <v>971</v>
      </c>
      <c r="C221" s="214" t="s">
        <v>220</v>
      </c>
      <c r="D221" s="217">
        <v>1</v>
      </c>
      <c r="E221" s="218">
        <v>3453</v>
      </c>
      <c r="F221" s="219">
        <f t="shared" si="82"/>
        <v>3453</v>
      </c>
      <c r="G221" s="219">
        <f t="shared" si="83"/>
        <v>4143.6000000000004</v>
      </c>
    </row>
    <row r="222" spans="1:8" ht="15.6" x14ac:dyDescent="0.3">
      <c r="A222" s="214">
        <f t="shared" si="81"/>
        <v>180</v>
      </c>
      <c r="B222" s="222" t="s">
        <v>972</v>
      </c>
      <c r="C222" s="214" t="s">
        <v>220</v>
      </c>
      <c r="D222" s="217">
        <v>4</v>
      </c>
      <c r="E222" s="218">
        <f>3211</f>
        <v>3211</v>
      </c>
      <c r="F222" s="219">
        <f t="shared" si="82"/>
        <v>12844</v>
      </c>
      <c r="G222" s="219">
        <f t="shared" si="83"/>
        <v>15412.8</v>
      </c>
      <c r="H222" s="270" t="s">
        <v>1264</v>
      </c>
    </row>
    <row r="223" spans="1:8" ht="15.6" x14ac:dyDescent="0.3">
      <c r="A223" s="214">
        <f t="shared" si="81"/>
        <v>181</v>
      </c>
      <c r="B223" s="222" t="s">
        <v>1041</v>
      </c>
      <c r="C223" s="214" t="s">
        <v>217</v>
      </c>
      <c r="D223" s="217">
        <v>4</v>
      </c>
      <c r="E223" s="218">
        <v>425</v>
      </c>
      <c r="F223" s="219">
        <f t="shared" ref="F223" si="84">ROUND(E223*D223,2)</f>
        <v>1700</v>
      </c>
      <c r="G223" s="219">
        <f t="shared" ref="G223" si="85">ROUND(F223*1.2,2)</f>
        <v>2040</v>
      </c>
      <c r="H223" s="270" t="s">
        <v>1265</v>
      </c>
    </row>
    <row r="224" spans="1:8" ht="15.6" x14ac:dyDescent="0.3">
      <c r="A224" s="86">
        <f t="shared" si="81"/>
        <v>182</v>
      </c>
      <c r="B224" s="243" t="s">
        <v>974</v>
      </c>
      <c r="C224" s="86" t="s">
        <v>193</v>
      </c>
      <c r="D224" s="227">
        <f>0.31+0.34+0.27+0.403</f>
        <v>1.323</v>
      </c>
      <c r="E224" s="170">
        <v>18174</v>
      </c>
      <c r="F224" s="102">
        <f t="shared" si="82"/>
        <v>24044.2</v>
      </c>
      <c r="G224" s="102">
        <f t="shared" si="83"/>
        <v>28853.040000000001</v>
      </c>
    </row>
    <row r="225" spans="1:8" ht="15.6" x14ac:dyDescent="0.3">
      <c r="A225" s="214">
        <f>A224+1</f>
        <v>183</v>
      </c>
      <c r="B225" s="222" t="s">
        <v>951</v>
      </c>
      <c r="C225" s="214" t="s">
        <v>220</v>
      </c>
      <c r="D225" s="217">
        <v>1</v>
      </c>
      <c r="E225" s="218">
        <v>2078</v>
      </c>
      <c r="F225" s="219">
        <f t="shared" si="82"/>
        <v>2078</v>
      </c>
      <c r="G225" s="219">
        <f t="shared" si="83"/>
        <v>2493.6</v>
      </c>
    </row>
    <row r="226" spans="1:8" ht="15.6" x14ac:dyDescent="0.3">
      <c r="A226" s="214">
        <f>A225+1</f>
        <v>184</v>
      </c>
      <c r="B226" s="222" t="s">
        <v>981</v>
      </c>
      <c r="C226" s="214" t="s">
        <v>193</v>
      </c>
      <c r="D226" s="223">
        <v>0.28000000000000003</v>
      </c>
      <c r="E226" s="218">
        <f>4703/D226</f>
        <v>16796.428571428569</v>
      </c>
      <c r="F226" s="219">
        <f t="shared" ref="F226:F232" si="86">ROUND(E226*D226,2)</f>
        <v>4703</v>
      </c>
      <c r="G226" s="219">
        <f t="shared" ref="G226:G232" si="87">ROUND(F226*1.2,2)</f>
        <v>5643.6</v>
      </c>
    </row>
    <row r="227" spans="1:8" ht="15.6" x14ac:dyDescent="0.3">
      <c r="A227" s="214">
        <f t="shared" ref="A227:A235" si="88">A226+1</f>
        <v>185</v>
      </c>
      <c r="B227" s="222" t="s">
        <v>982</v>
      </c>
      <c r="C227" s="214" t="s">
        <v>193</v>
      </c>
      <c r="D227" s="223">
        <v>0.05</v>
      </c>
      <c r="E227" s="218">
        <f>1324/D227</f>
        <v>26480</v>
      </c>
      <c r="F227" s="219">
        <f t="shared" si="86"/>
        <v>1324</v>
      </c>
      <c r="G227" s="219">
        <f t="shared" si="87"/>
        <v>1588.8</v>
      </c>
      <c r="H227" s="270" t="s">
        <v>1266</v>
      </c>
    </row>
    <row r="228" spans="1:8" ht="15.6" x14ac:dyDescent="0.3">
      <c r="A228" s="214">
        <f t="shared" si="88"/>
        <v>186</v>
      </c>
      <c r="B228" s="222" t="s">
        <v>983</v>
      </c>
      <c r="C228" s="214" t="s">
        <v>193</v>
      </c>
      <c r="D228" s="224">
        <v>0.3</v>
      </c>
      <c r="E228" s="218">
        <v>1380</v>
      </c>
      <c r="F228" s="219">
        <f t="shared" si="86"/>
        <v>414</v>
      </c>
      <c r="G228" s="219">
        <f t="shared" si="87"/>
        <v>496.8</v>
      </c>
    </row>
    <row r="229" spans="1:8" ht="15.6" x14ac:dyDescent="0.3">
      <c r="A229" s="214">
        <f t="shared" si="88"/>
        <v>187</v>
      </c>
      <c r="B229" s="222" t="s">
        <v>984</v>
      </c>
      <c r="C229" s="214" t="s">
        <v>239</v>
      </c>
      <c r="D229" s="228">
        <v>0.123</v>
      </c>
      <c r="E229" s="218">
        <f>8639/D229</f>
        <v>70235.772357723574</v>
      </c>
      <c r="F229" s="219">
        <f t="shared" si="86"/>
        <v>8639</v>
      </c>
      <c r="G229" s="219">
        <f t="shared" si="87"/>
        <v>10366.799999999999</v>
      </c>
    </row>
    <row r="230" spans="1:8" ht="15.6" x14ac:dyDescent="0.3">
      <c r="A230" s="214">
        <f t="shared" si="88"/>
        <v>188</v>
      </c>
      <c r="B230" s="222" t="s">
        <v>986</v>
      </c>
      <c r="C230" s="214" t="s">
        <v>220</v>
      </c>
      <c r="D230" s="217">
        <v>3</v>
      </c>
      <c r="E230" s="218">
        <v>874</v>
      </c>
      <c r="F230" s="219">
        <f t="shared" si="86"/>
        <v>2622</v>
      </c>
      <c r="G230" s="219">
        <f t="shared" si="87"/>
        <v>3146.4</v>
      </c>
    </row>
    <row r="231" spans="1:8" ht="15.6" x14ac:dyDescent="0.3">
      <c r="A231" s="214">
        <f t="shared" si="88"/>
        <v>189</v>
      </c>
      <c r="B231" s="222" t="s">
        <v>980</v>
      </c>
      <c r="C231" s="214" t="s">
        <v>193</v>
      </c>
      <c r="D231" s="223">
        <v>0.02</v>
      </c>
      <c r="E231" s="218">
        <f>1391/D231</f>
        <v>69550</v>
      </c>
      <c r="F231" s="219">
        <f t="shared" si="86"/>
        <v>1391</v>
      </c>
      <c r="G231" s="219">
        <f t="shared" si="87"/>
        <v>1669.2</v>
      </c>
    </row>
    <row r="232" spans="1:8" ht="15.6" x14ac:dyDescent="0.3">
      <c r="A232" s="214">
        <f t="shared" si="88"/>
        <v>190</v>
      </c>
      <c r="B232" s="222" t="s">
        <v>1263</v>
      </c>
      <c r="C232" s="214" t="s">
        <v>193</v>
      </c>
      <c r="D232" s="228">
        <v>4.3890000000000002</v>
      </c>
      <c r="E232" s="218">
        <f>61720/D232</f>
        <v>14062.428799270903</v>
      </c>
      <c r="F232" s="219">
        <f t="shared" si="86"/>
        <v>61720</v>
      </c>
      <c r="G232" s="219">
        <f t="shared" si="87"/>
        <v>74064</v>
      </c>
    </row>
    <row r="233" spans="1:8" ht="15.6" x14ac:dyDescent="0.3">
      <c r="A233" s="86">
        <f t="shared" si="88"/>
        <v>191</v>
      </c>
      <c r="B233" s="243" t="s">
        <v>978</v>
      </c>
      <c r="C233" s="86" t="s">
        <v>431</v>
      </c>
      <c r="D233" s="226">
        <v>41.6</v>
      </c>
      <c r="E233" s="170">
        <v>152</v>
      </c>
      <c r="F233" s="102">
        <f t="shared" ref="F233:F235" si="89">ROUND(E233*D233,2)</f>
        <v>6323.2</v>
      </c>
      <c r="G233" s="102">
        <f t="shared" ref="G233:G235" si="90">ROUND(F233*1.2,2)</f>
        <v>7587.84</v>
      </c>
    </row>
    <row r="234" spans="1:8" ht="15.6" x14ac:dyDescent="0.3">
      <c r="A234" s="86">
        <f t="shared" si="88"/>
        <v>192</v>
      </c>
      <c r="B234" s="243" t="s">
        <v>979</v>
      </c>
      <c r="C234" s="86" t="s">
        <v>431</v>
      </c>
      <c r="D234" s="226">
        <v>41.6</v>
      </c>
      <c r="E234" s="170">
        <v>315.54000000000002</v>
      </c>
      <c r="F234" s="102">
        <f t="shared" si="89"/>
        <v>13126.46</v>
      </c>
      <c r="G234" s="102">
        <f t="shared" si="90"/>
        <v>15751.75</v>
      </c>
    </row>
    <row r="235" spans="1:8" ht="15.6" x14ac:dyDescent="0.3">
      <c r="A235" s="214">
        <f t="shared" si="88"/>
        <v>193</v>
      </c>
      <c r="B235" s="222" t="s">
        <v>985</v>
      </c>
      <c r="C235" s="214" t="s">
        <v>239</v>
      </c>
      <c r="D235" s="228">
        <v>0.13300000000000001</v>
      </c>
      <c r="E235" s="218">
        <f>9341/D235</f>
        <v>70233.082706766916</v>
      </c>
      <c r="F235" s="219">
        <f t="shared" si="89"/>
        <v>9341</v>
      </c>
      <c r="G235" s="219">
        <f t="shared" si="90"/>
        <v>11209.2</v>
      </c>
    </row>
    <row r="236" spans="1:8" x14ac:dyDescent="0.3">
      <c r="A236" s="533" t="s">
        <v>721</v>
      </c>
      <c r="B236" s="534"/>
      <c r="C236" s="534"/>
      <c r="D236" s="534"/>
      <c r="E236" s="535"/>
      <c r="F236" s="157">
        <f>SUM(F7:F235)</f>
        <v>28478442.130000014</v>
      </c>
      <c r="G236" s="157">
        <f>SUM(G7:G235)</f>
        <v>34174130.570000008</v>
      </c>
    </row>
    <row r="237" spans="1:8" x14ac:dyDescent="0.3">
      <c r="A237" s="533" t="s">
        <v>722</v>
      </c>
      <c r="B237" s="534"/>
      <c r="C237" s="534"/>
      <c r="D237" s="534"/>
      <c r="E237" s="535"/>
      <c r="F237" s="211">
        <f>ROUND(F236*0.03,2)</f>
        <v>854353.26</v>
      </c>
      <c r="G237" s="211">
        <f>ROUND(G236*0.03,2)</f>
        <v>1025223.92</v>
      </c>
    </row>
    <row r="238" spans="1:8" x14ac:dyDescent="0.3">
      <c r="A238" s="533" t="s">
        <v>723</v>
      </c>
      <c r="B238" s="534"/>
      <c r="C238" s="534"/>
      <c r="D238" s="534"/>
      <c r="E238" s="535"/>
      <c r="F238" s="211">
        <f>F236+F237</f>
        <v>29332795.390000015</v>
      </c>
      <c r="G238" s="211">
        <f>G236+G237</f>
        <v>35199354.49000001</v>
      </c>
    </row>
  </sheetData>
  <mergeCells count="13">
    <mergeCell ref="A236:E236"/>
    <mergeCell ref="A237:E237"/>
    <mergeCell ref="A238:E238"/>
    <mergeCell ref="B137:D137"/>
    <mergeCell ref="E1:G2"/>
    <mergeCell ref="B62:D62"/>
    <mergeCell ref="B83:D83"/>
    <mergeCell ref="B107:D10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01"/>
  <sheetViews>
    <sheetView view="pageBreakPreview" topLeftCell="A247" zoomScale="80" zoomScaleNormal="100" zoomScaleSheetLayoutView="80" workbookViewId="0">
      <selection activeCell="B267" sqref="B26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55" customHeight="1" x14ac:dyDescent="0.3">
      <c r="A1" s="539" t="s">
        <v>226</v>
      </c>
      <c r="B1" s="542" t="s">
        <v>201</v>
      </c>
      <c r="C1" s="545" t="s">
        <v>230</v>
      </c>
      <c r="D1" s="545" t="s">
        <v>202</v>
      </c>
      <c r="E1" s="550" t="s">
        <v>703</v>
      </c>
      <c r="F1" s="615"/>
      <c r="G1" s="615"/>
    </row>
    <row r="2" spans="1:7" ht="14.55" customHeight="1" x14ac:dyDescent="0.3">
      <c r="A2" s="540"/>
      <c r="B2" s="543"/>
      <c r="C2" s="545"/>
      <c r="D2" s="545"/>
      <c r="E2" s="550"/>
      <c r="F2" s="615"/>
      <c r="G2" s="615"/>
    </row>
    <row r="3" spans="1:7" ht="27.6" x14ac:dyDescent="0.3">
      <c r="A3" s="541"/>
      <c r="B3" s="544"/>
      <c r="C3" s="545"/>
      <c r="D3" s="545"/>
      <c r="E3" s="58" t="s">
        <v>231</v>
      </c>
      <c r="F3" s="58" t="s">
        <v>410</v>
      </c>
      <c r="G3" s="60" t="s">
        <v>409</v>
      </c>
    </row>
    <row r="4" spans="1:7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</row>
    <row r="5" spans="1:7" ht="20.25" customHeight="1" x14ac:dyDescent="0.3">
      <c r="A5" s="173"/>
      <c r="B5" s="537" t="s">
        <v>232</v>
      </c>
      <c r="C5" s="538"/>
      <c r="D5" s="538"/>
      <c r="E5" s="174"/>
      <c r="F5" s="175"/>
      <c r="G5" s="176"/>
    </row>
    <row r="6" spans="1:7" x14ac:dyDescent="0.3">
      <c r="A6" s="59"/>
      <c r="B6" s="61" t="s">
        <v>233</v>
      </c>
      <c r="C6" s="62"/>
      <c r="D6" s="62"/>
      <c r="E6" s="63"/>
      <c r="F6" s="64"/>
      <c r="G6" s="55"/>
    </row>
    <row r="7" spans="1:7" ht="15.6" x14ac:dyDescent="0.3">
      <c r="A7" s="65">
        <v>1</v>
      </c>
      <c r="B7" s="66" t="s">
        <v>234</v>
      </c>
      <c r="C7" s="65" t="s">
        <v>193</v>
      </c>
      <c r="D7" s="67">
        <v>218.4</v>
      </c>
      <c r="E7" s="181">
        <v>1320</v>
      </c>
      <c r="F7" s="101">
        <f t="shared" ref="F7:F14" si="0">ROUND(E7*D7,2)</f>
        <v>288288</v>
      </c>
      <c r="G7" s="101">
        <f t="shared" ref="G7:G14" si="1">ROUND(F7*1.2,2)</f>
        <v>345945.59999999998</v>
      </c>
    </row>
    <row r="8" spans="1:7" ht="15.6" x14ac:dyDescent="0.3">
      <c r="A8" s="65">
        <f>A7+1</f>
        <v>2</v>
      </c>
      <c r="B8" s="66" t="s">
        <v>235</v>
      </c>
      <c r="C8" s="65" t="s">
        <v>193</v>
      </c>
      <c r="D8" s="67">
        <v>370.8</v>
      </c>
      <c r="E8" s="181">
        <v>1581</v>
      </c>
      <c r="F8" s="101">
        <f t="shared" si="0"/>
        <v>586234.80000000005</v>
      </c>
      <c r="G8" s="101">
        <f t="shared" si="1"/>
        <v>703481.76</v>
      </c>
    </row>
    <row r="9" spans="1:7" ht="15.6" x14ac:dyDescent="0.3">
      <c r="A9" s="65">
        <f>A8+1</f>
        <v>3</v>
      </c>
      <c r="B9" s="66" t="s">
        <v>236</v>
      </c>
      <c r="C9" s="65" t="s">
        <v>193</v>
      </c>
      <c r="D9" s="67">
        <v>337.22199999999998</v>
      </c>
      <c r="E9" s="181">
        <v>4006</v>
      </c>
      <c r="F9" s="101">
        <f t="shared" si="0"/>
        <v>1350911.33</v>
      </c>
      <c r="G9" s="101">
        <f t="shared" si="1"/>
        <v>1621093.6</v>
      </c>
    </row>
    <row r="10" spans="1:7" ht="15.6" x14ac:dyDescent="0.3">
      <c r="A10" s="65">
        <f t="shared" ref="A10:A14" si="2">A9+1</f>
        <v>4</v>
      </c>
      <c r="B10" s="66" t="s">
        <v>237</v>
      </c>
      <c r="C10" s="65" t="s">
        <v>193</v>
      </c>
      <c r="D10" s="67">
        <v>141.57</v>
      </c>
      <c r="E10" s="181">
        <v>4217</v>
      </c>
      <c r="F10" s="101">
        <f t="shared" si="0"/>
        <v>597000.68999999994</v>
      </c>
      <c r="G10" s="101">
        <f t="shared" si="1"/>
        <v>716400.83</v>
      </c>
    </row>
    <row r="11" spans="1:7" ht="15.6" x14ac:dyDescent="0.3">
      <c r="A11" s="65">
        <f t="shared" si="2"/>
        <v>5</v>
      </c>
      <c r="B11" s="66" t="s">
        <v>238</v>
      </c>
      <c r="C11" s="65" t="s">
        <v>239</v>
      </c>
      <c r="D11" s="67">
        <v>123.17</v>
      </c>
      <c r="E11" s="181">
        <v>6220</v>
      </c>
      <c r="F11" s="101">
        <f t="shared" si="0"/>
        <v>766117.4</v>
      </c>
      <c r="G11" s="101">
        <f t="shared" si="1"/>
        <v>919340.88</v>
      </c>
    </row>
    <row r="12" spans="1:7" ht="15.6" x14ac:dyDescent="0.3">
      <c r="A12" s="65">
        <f t="shared" si="2"/>
        <v>6</v>
      </c>
      <c r="B12" s="66" t="s">
        <v>240</v>
      </c>
      <c r="C12" s="65" t="s">
        <v>220</v>
      </c>
      <c r="D12" s="70">
        <v>100</v>
      </c>
      <c r="E12" s="181">
        <v>401</v>
      </c>
      <c r="F12" s="101">
        <f t="shared" si="0"/>
        <v>40100</v>
      </c>
      <c r="G12" s="101">
        <f t="shared" si="1"/>
        <v>48120</v>
      </c>
    </row>
    <row r="13" spans="1:7" ht="15.6" x14ac:dyDescent="0.3">
      <c r="A13" s="65">
        <f t="shared" si="2"/>
        <v>7</v>
      </c>
      <c r="B13" s="66" t="s">
        <v>241</v>
      </c>
      <c r="C13" s="65" t="s">
        <v>193</v>
      </c>
      <c r="D13" s="71">
        <v>5.9</v>
      </c>
      <c r="E13" s="181">
        <v>5060</v>
      </c>
      <c r="F13" s="101">
        <f t="shared" si="0"/>
        <v>29854</v>
      </c>
      <c r="G13" s="101">
        <f t="shared" si="1"/>
        <v>35824.800000000003</v>
      </c>
    </row>
    <row r="14" spans="1:7" ht="27.6" x14ac:dyDescent="0.3">
      <c r="A14" s="65">
        <f t="shared" si="2"/>
        <v>8</v>
      </c>
      <c r="B14" s="66" t="s">
        <v>242</v>
      </c>
      <c r="C14" s="65" t="s">
        <v>243</v>
      </c>
      <c r="D14" s="70">
        <v>1</v>
      </c>
      <c r="E14" s="181">
        <v>33000</v>
      </c>
      <c r="F14" s="101">
        <f t="shared" si="0"/>
        <v>33000</v>
      </c>
      <c r="G14" s="101">
        <f t="shared" si="1"/>
        <v>39600</v>
      </c>
    </row>
    <row r="15" spans="1:7" ht="20.399999999999999" x14ac:dyDescent="0.3">
      <c r="A15" s="59"/>
      <c r="B15" s="61" t="s">
        <v>244</v>
      </c>
      <c r="C15" s="62"/>
      <c r="D15" s="62"/>
      <c r="E15" s="182"/>
      <c r="F15" s="101"/>
      <c r="G15" s="101"/>
    </row>
    <row r="16" spans="1:7" ht="15.6" x14ac:dyDescent="0.3">
      <c r="A16" s="65">
        <f>A14+1</f>
        <v>9</v>
      </c>
      <c r="B16" s="66" t="s">
        <v>245</v>
      </c>
      <c r="C16" s="65" t="s">
        <v>220</v>
      </c>
      <c r="D16" s="70">
        <v>284</v>
      </c>
      <c r="E16" s="171">
        <v>2635</v>
      </c>
      <c r="F16" s="101">
        <f t="shared" ref="F16:F21" si="3">ROUND(E16*D16,2)</f>
        <v>748340</v>
      </c>
      <c r="G16" s="101">
        <f t="shared" ref="G16:G21" si="4">ROUND(F16*1.2,2)</f>
        <v>898008</v>
      </c>
    </row>
    <row r="17" spans="1:7" ht="15.6" x14ac:dyDescent="0.3">
      <c r="A17" s="65">
        <f>A16+1</f>
        <v>10</v>
      </c>
      <c r="B17" s="66" t="s">
        <v>246</v>
      </c>
      <c r="C17" s="65" t="s">
        <v>220</v>
      </c>
      <c r="D17" s="70">
        <v>16</v>
      </c>
      <c r="E17" s="171">
        <v>81171</v>
      </c>
      <c r="F17" s="101">
        <f t="shared" si="3"/>
        <v>1298736</v>
      </c>
      <c r="G17" s="101">
        <f t="shared" si="4"/>
        <v>1558483.2</v>
      </c>
    </row>
    <row r="18" spans="1:7" ht="15.6" x14ac:dyDescent="0.3">
      <c r="A18" s="65">
        <f t="shared" ref="A18:A21" si="5">A17+1</f>
        <v>11</v>
      </c>
      <c r="B18" s="66" t="s">
        <v>247</v>
      </c>
      <c r="C18" s="65" t="s">
        <v>239</v>
      </c>
      <c r="D18" s="67">
        <v>4.04</v>
      </c>
      <c r="E18" s="171">
        <v>253000.00000000003</v>
      </c>
      <c r="F18" s="101">
        <f t="shared" si="3"/>
        <v>1022120</v>
      </c>
      <c r="G18" s="101">
        <f t="shared" si="4"/>
        <v>1226544</v>
      </c>
    </row>
    <row r="19" spans="1:7" ht="15.6" x14ac:dyDescent="0.3">
      <c r="A19" s="65">
        <f t="shared" si="5"/>
        <v>12</v>
      </c>
      <c r="B19" s="66" t="s">
        <v>248</v>
      </c>
      <c r="C19" s="65" t="s">
        <v>220</v>
      </c>
      <c r="D19" s="70">
        <v>574</v>
      </c>
      <c r="E19" s="171">
        <v>79</v>
      </c>
      <c r="F19" s="101">
        <f t="shared" si="3"/>
        <v>45346</v>
      </c>
      <c r="G19" s="101">
        <f t="shared" si="4"/>
        <v>54415.199999999997</v>
      </c>
    </row>
    <row r="20" spans="1:7" ht="15.6" x14ac:dyDescent="0.3">
      <c r="A20" s="65">
        <f t="shared" si="5"/>
        <v>13</v>
      </c>
      <c r="B20" s="66" t="s">
        <v>249</v>
      </c>
      <c r="C20" s="65" t="s">
        <v>220</v>
      </c>
      <c r="D20" s="70">
        <v>574</v>
      </c>
      <c r="E20" s="171">
        <v>71</v>
      </c>
      <c r="F20" s="101">
        <f t="shared" si="3"/>
        <v>40754</v>
      </c>
      <c r="G20" s="101">
        <f t="shared" si="4"/>
        <v>48904.800000000003</v>
      </c>
    </row>
    <row r="21" spans="1:7" ht="27.6" x14ac:dyDescent="0.3">
      <c r="A21" s="65">
        <f t="shared" si="5"/>
        <v>14</v>
      </c>
      <c r="B21" s="66" t="s">
        <v>250</v>
      </c>
      <c r="C21" s="65" t="s">
        <v>243</v>
      </c>
      <c r="D21" s="70">
        <v>1</v>
      </c>
      <c r="E21" s="181">
        <v>330000</v>
      </c>
      <c r="F21" s="101">
        <f t="shared" si="3"/>
        <v>330000</v>
      </c>
      <c r="G21" s="101">
        <f t="shared" si="4"/>
        <v>396000</v>
      </c>
    </row>
    <row r="22" spans="1:7" ht="20.399999999999999" x14ac:dyDescent="0.3">
      <c r="A22" s="59"/>
      <c r="B22" s="61" t="s">
        <v>251</v>
      </c>
      <c r="C22" s="62"/>
      <c r="D22" s="62"/>
      <c r="E22" s="182"/>
      <c r="F22" s="101"/>
      <c r="G22" s="101"/>
    </row>
    <row r="23" spans="1:7" ht="15.6" x14ac:dyDescent="0.3">
      <c r="A23" s="65"/>
      <c r="B23" s="72" t="s">
        <v>252</v>
      </c>
      <c r="C23" s="73"/>
      <c r="D23" s="74"/>
      <c r="E23" s="181"/>
      <c r="F23" s="101"/>
      <c r="G23" s="101"/>
    </row>
    <row r="24" spans="1:7" ht="15.6" x14ac:dyDescent="0.3">
      <c r="A24" s="65">
        <f>A21+1</f>
        <v>15</v>
      </c>
      <c r="B24" s="66" t="s">
        <v>253</v>
      </c>
      <c r="C24" s="65" t="s">
        <v>254</v>
      </c>
      <c r="D24" s="67">
        <f>10*1.73*4*2</f>
        <v>138.4</v>
      </c>
      <c r="E24" s="171">
        <v>63</v>
      </c>
      <c r="F24" s="101">
        <f t="shared" ref="F24:F33" si="6">ROUND(E24*D24,2)</f>
        <v>8719.2000000000007</v>
      </c>
      <c r="G24" s="101">
        <f t="shared" ref="G24:G33" si="7">ROUND(F24*1.2,2)</f>
        <v>10463.040000000001</v>
      </c>
    </row>
    <row r="25" spans="1:7" ht="15.6" x14ac:dyDescent="0.3">
      <c r="A25" s="65">
        <f>A24+1</f>
        <v>16</v>
      </c>
      <c r="B25" s="66" t="s">
        <v>255</v>
      </c>
      <c r="C25" s="65" t="s">
        <v>254</v>
      </c>
      <c r="D25" s="75">
        <f>8*2.524*4</f>
        <v>80.768000000000001</v>
      </c>
      <c r="E25" s="171">
        <v>68</v>
      </c>
      <c r="F25" s="101">
        <f t="shared" si="6"/>
        <v>5492.22</v>
      </c>
      <c r="G25" s="101">
        <f t="shared" si="7"/>
        <v>6590.66</v>
      </c>
    </row>
    <row r="26" spans="1:7" ht="15.6" x14ac:dyDescent="0.3">
      <c r="A26" s="65">
        <f t="shared" ref="A26:A32" si="8">A25+1</f>
        <v>17</v>
      </c>
      <c r="B26" s="66" t="s">
        <v>256</v>
      </c>
      <c r="C26" s="65" t="s">
        <v>254</v>
      </c>
      <c r="D26" s="75">
        <f>4*1.191*4</f>
        <v>19.056000000000001</v>
      </c>
      <c r="E26" s="171">
        <v>70</v>
      </c>
      <c r="F26" s="101">
        <f t="shared" si="6"/>
        <v>1333.92</v>
      </c>
      <c r="G26" s="101">
        <f t="shared" si="7"/>
        <v>1600.7</v>
      </c>
    </row>
    <row r="27" spans="1:7" ht="15.6" x14ac:dyDescent="0.3">
      <c r="A27" s="65">
        <f t="shared" si="8"/>
        <v>18</v>
      </c>
      <c r="B27" s="66" t="s">
        <v>256</v>
      </c>
      <c r="C27" s="65" t="s">
        <v>254</v>
      </c>
      <c r="D27" s="67">
        <f>4*0.86*4</f>
        <v>13.76</v>
      </c>
      <c r="E27" s="171">
        <v>70</v>
      </c>
      <c r="F27" s="101">
        <f t="shared" si="6"/>
        <v>963.2</v>
      </c>
      <c r="G27" s="101">
        <f t="shared" si="7"/>
        <v>1155.8399999999999</v>
      </c>
    </row>
    <row r="28" spans="1:7" ht="15.6" x14ac:dyDescent="0.3">
      <c r="A28" s="65">
        <f t="shared" si="8"/>
        <v>19</v>
      </c>
      <c r="B28" s="66" t="s">
        <v>257</v>
      </c>
      <c r="C28" s="65" t="s">
        <v>254</v>
      </c>
      <c r="D28" s="67">
        <f>4*6.77*4</f>
        <v>108.32</v>
      </c>
      <c r="E28" s="171">
        <v>184</v>
      </c>
      <c r="F28" s="101">
        <f t="shared" si="6"/>
        <v>19930.88</v>
      </c>
      <c r="G28" s="101">
        <f t="shared" si="7"/>
        <v>23917.06</v>
      </c>
    </row>
    <row r="29" spans="1:7" ht="15.6" x14ac:dyDescent="0.3">
      <c r="A29" s="65">
        <f t="shared" si="8"/>
        <v>20</v>
      </c>
      <c r="B29" s="66" t="s">
        <v>258</v>
      </c>
      <c r="C29" s="65" t="s">
        <v>254</v>
      </c>
      <c r="D29" s="67">
        <f>(2+2)*1.51*4</f>
        <v>24.16</v>
      </c>
      <c r="E29" s="171">
        <v>75</v>
      </c>
      <c r="F29" s="101">
        <f t="shared" si="6"/>
        <v>1812</v>
      </c>
      <c r="G29" s="101">
        <f t="shared" si="7"/>
        <v>2174.4</v>
      </c>
    </row>
    <row r="30" spans="1:7" ht="15.6" x14ac:dyDescent="0.3">
      <c r="A30" s="65">
        <f t="shared" si="8"/>
        <v>21</v>
      </c>
      <c r="B30" s="66" t="s">
        <v>259</v>
      </c>
      <c r="C30" s="65" t="s">
        <v>193</v>
      </c>
      <c r="D30" s="75">
        <f>1.8*4*1.015</f>
        <v>7.3079999999999998</v>
      </c>
      <c r="E30" s="171">
        <v>6114</v>
      </c>
      <c r="F30" s="101">
        <f t="shared" si="6"/>
        <v>44681.11</v>
      </c>
      <c r="G30" s="101">
        <f t="shared" si="7"/>
        <v>53617.33</v>
      </c>
    </row>
    <row r="31" spans="1:7" ht="15.6" x14ac:dyDescent="0.3">
      <c r="A31" s="65">
        <f t="shared" si="8"/>
        <v>22</v>
      </c>
      <c r="B31" s="66" t="s">
        <v>260</v>
      </c>
      <c r="C31" s="65" t="s">
        <v>193</v>
      </c>
      <c r="D31" s="76">
        <f>0.48*4*1.02</f>
        <v>1.9583999999999999</v>
      </c>
      <c r="E31" s="171">
        <v>5060</v>
      </c>
      <c r="F31" s="101">
        <f t="shared" si="6"/>
        <v>9909.5</v>
      </c>
      <c r="G31" s="101">
        <f t="shared" si="7"/>
        <v>11891.4</v>
      </c>
    </row>
    <row r="32" spans="1:7" ht="15.6" x14ac:dyDescent="0.3">
      <c r="A32" s="65">
        <f t="shared" si="8"/>
        <v>23</v>
      </c>
      <c r="B32" s="66" t="s">
        <v>261</v>
      </c>
      <c r="C32" s="65" t="s">
        <v>254</v>
      </c>
      <c r="D32" s="75">
        <v>86.016000000000005</v>
      </c>
      <c r="E32" s="171">
        <v>157</v>
      </c>
      <c r="F32" s="101">
        <f t="shared" si="6"/>
        <v>13504.51</v>
      </c>
      <c r="G32" s="101">
        <f t="shared" si="7"/>
        <v>16205.41</v>
      </c>
    </row>
    <row r="33" spans="1:7" ht="27.6" x14ac:dyDescent="0.3">
      <c r="A33" s="65">
        <f>A32+1</f>
        <v>24</v>
      </c>
      <c r="B33" s="66" t="s">
        <v>262</v>
      </c>
      <c r="C33" s="65" t="s">
        <v>243</v>
      </c>
      <c r="D33" s="70">
        <v>1</v>
      </c>
      <c r="E33" s="181">
        <v>33000</v>
      </c>
      <c r="F33" s="101">
        <f t="shared" si="6"/>
        <v>33000</v>
      </c>
      <c r="G33" s="101">
        <f t="shared" si="7"/>
        <v>39600</v>
      </c>
    </row>
    <row r="34" spans="1:7" ht="15.6" x14ac:dyDescent="0.3">
      <c r="A34" s="65"/>
      <c r="B34" s="72" t="s">
        <v>263</v>
      </c>
      <c r="C34" s="65"/>
      <c r="D34" s="70"/>
      <c r="E34" s="181"/>
      <c r="F34" s="101"/>
      <c r="G34" s="101"/>
    </row>
    <row r="35" spans="1:7" ht="15.6" x14ac:dyDescent="0.3">
      <c r="A35" s="65">
        <f>A33+1</f>
        <v>25</v>
      </c>
      <c r="B35" s="66" t="s">
        <v>264</v>
      </c>
      <c r="C35" s="65" t="s">
        <v>254</v>
      </c>
      <c r="D35" s="75">
        <f>12*2.618*4</f>
        <v>125.66399999999999</v>
      </c>
      <c r="E35" s="171">
        <v>63</v>
      </c>
      <c r="F35" s="101">
        <f t="shared" ref="F35:F41" si="9">ROUND(E35*D35,2)</f>
        <v>7916.83</v>
      </c>
      <c r="G35" s="101">
        <f t="shared" ref="G35:G41" si="10">ROUND(F35*1.2,2)</f>
        <v>9500.2000000000007</v>
      </c>
    </row>
    <row r="36" spans="1:7" ht="15.6" x14ac:dyDescent="0.3">
      <c r="A36" s="65">
        <f>A35+1</f>
        <v>26</v>
      </c>
      <c r="B36" s="66" t="s">
        <v>265</v>
      </c>
      <c r="C36" s="65" t="s">
        <v>254</v>
      </c>
      <c r="D36" s="67">
        <f>30*1.02*4</f>
        <v>122.4</v>
      </c>
      <c r="E36" s="171">
        <v>68</v>
      </c>
      <c r="F36" s="101">
        <f t="shared" si="9"/>
        <v>8323.2000000000007</v>
      </c>
      <c r="G36" s="101">
        <f t="shared" si="10"/>
        <v>9987.84</v>
      </c>
    </row>
    <row r="37" spans="1:7" ht="15.6" x14ac:dyDescent="0.3">
      <c r="A37" s="65">
        <f t="shared" ref="A37:A42" si="11">A36+1</f>
        <v>27</v>
      </c>
      <c r="B37" s="66" t="s">
        <v>266</v>
      </c>
      <c r="C37" s="65" t="s">
        <v>254</v>
      </c>
      <c r="D37" s="75">
        <f>(42+4)*0.371*4</f>
        <v>68.263999999999996</v>
      </c>
      <c r="E37" s="171">
        <v>70</v>
      </c>
      <c r="F37" s="101">
        <f t="shared" si="9"/>
        <v>4778.4799999999996</v>
      </c>
      <c r="G37" s="101">
        <f t="shared" si="10"/>
        <v>5734.18</v>
      </c>
    </row>
    <row r="38" spans="1:7" ht="15.6" x14ac:dyDescent="0.3">
      <c r="A38" s="65">
        <f t="shared" si="11"/>
        <v>28</v>
      </c>
      <c r="B38" s="66" t="s">
        <v>259</v>
      </c>
      <c r="C38" s="65" t="s">
        <v>193</v>
      </c>
      <c r="D38" s="75">
        <f>0.9*4*1.015</f>
        <v>3.6539999999999999</v>
      </c>
      <c r="E38" s="171">
        <v>6114</v>
      </c>
      <c r="F38" s="101">
        <f t="shared" si="9"/>
        <v>22340.560000000001</v>
      </c>
      <c r="G38" s="101">
        <f t="shared" si="10"/>
        <v>26808.67</v>
      </c>
    </row>
    <row r="39" spans="1:7" ht="15.6" x14ac:dyDescent="0.3">
      <c r="A39" s="65">
        <f t="shared" si="11"/>
        <v>29</v>
      </c>
      <c r="B39" s="66" t="s">
        <v>260</v>
      </c>
      <c r="C39" s="65" t="s">
        <v>193</v>
      </c>
      <c r="D39" s="75">
        <f>0.45*4*1.02</f>
        <v>1.8360000000000001</v>
      </c>
      <c r="E39" s="171">
        <v>5060</v>
      </c>
      <c r="F39" s="101">
        <f t="shared" si="9"/>
        <v>9290.16</v>
      </c>
      <c r="G39" s="101">
        <f t="shared" si="10"/>
        <v>11148.19</v>
      </c>
    </row>
    <row r="40" spans="1:7" ht="15.6" x14ac:dyDescent="0.3">
      <c r="A40" s="65">
        <f t="shared" si="11"/>
        <v>30</v>
      </c>
      <c r="B40" s="66" t="s">
        <v>261</v>
      </c>
      <c r="C40" s="65" t="s">
        <v>254</v>
      </c>
      <c r="D40" s="67">
        <v>63.36</v>
      </c>
      <c r="E40" s="171">
        <v>157</v>
      </c>
      <c r="F40" s="101">
        <f t="shared" si="9"/>
        <v>9947.52</v>
      </c>
      <c r="G40" s="101">
        <f t="shared" si="10"/>
        <v>11937.02</v>
      </c>
    </row>
    <row r="41" spans="1:7" ht="27.6" x14ac:dyDescent="0.3">
      <c r="A41" s="65">
        <f t="shared" si="11"/>
        <v>31</v>
      </c>
      <c r="B41" s="66" t="s">
        <v>267</v>
      </c>
      <c r="C41" s="65" t="s">
        <v>243</v>
      </c>
      <c r="D41" s="70">
        <v>1</v>
      </c>
      <c r="E41" s="181">
        <v>5500</v>
      </c>
      <c r="F41" s="101">
        <f t="shared" si="9"/>
        <v>5500</v>
      </c>
      <c r="G41" s="101">
        <f t="shared" si="10"/>
        <v>6600</v>
      </c>
    </row>
    <row r="42" spans="1:7" ht="15.6" x14ac:dyDescent="0.3">
      <c r="A42" s="65">
        <f t="shared" si="11"/>
        <v>32</v>
      </c>
      <c r="B42" s="77" t="s">
        <v>268</v>
      </c>
      <c r="C42" s="65"/>
      <c r="D42" s="70"/>
      <c r="E42" s="181"/>
      <c r="F42" s="101"/>
      <c r="G42" s="101"/>
    </row>
    <row r="43" spans="1:7" ht="15.6" x14ac:dyDescent="0.3">
      <c r="A43" s="78" t="s">
        <v>269</v>
      </c>
      <c r="B43" s="66" t="s">
        <v>270</v>
      </c>
      <c r="C43" s="65" t="s">
        <v>254</v>
      </c>
      <c r="D43" s="67">
        <f>1*10.73*2*4</f>
        <v>85.84</v>
      </c>
      <c r="E43" s="171">
        <v>114</v>
      </c>
      <c r="F43" s="101">
        <f t="shared" ref="F43:F49" si="12">ROUND(E43*D43,2)</f>
        <v>9785.76</v>
      </c>
      <c r="G43" s="101">
        <f t="shared" ref="G43:G49" si="13">ROUND(F43*1.2,2)</f>
        <v>11742.91</v>
      </c>
    </row>
    <row r="44" spans="1:7" ht="15.6" x14ac:dyDescent="0.3">
      <c r="A44" s="78" t="s">
        <v>271</v>
      </c>
      <c r="B44" s="66" t="s">
        <v>272</v>
      </c>
      <c r="C44" s="65" t="s">
        <v>254</v>
      </c>
      <c r="D44" s="67">
        <f>1*11.3*2*4</f>
        <v>90.4</v>
      </c>
      <c r="E44" s="171">
        <v>89</v>
      </c>
      <c r="F44" s="101">
        <f t="shared" si="12"/>
        <v>8045.6</v>
      </c>
      <c r="G44" s="101">
        <f t="shared" si="13"/>
        <v>9654.7199999999993</v>
      </c>
    </row>
    <row r="45" spans="1:7" ht="15.6" x14ac:dyDescent="0.3">
      <c r="A45" s="78" t="s">
        <v>273</v>
      </c>
      <c r="B45" s="66" t="s">
        <v>274</v>
      </c>
      <c r="C45" s="65" t="s">
        <v>254</v>
      </c>
      <c r="D45" s="67">
        <f>2*5.54*2*4</f>
        <v>88.64</v>
      </c>
      <c r="E45" s="171">
        <v>89</v>
      </c>
      <c r="F45" s="101">
        <f t="shared" si="12"/>
        <v>7888.96</v>
      </c>
      <c r="G45" s="101">
        <f t="shared" si="13"/>
        <v>9466.75</v>
      </c>
    </row>
    <row r="46" spans="1:7" ht="15.6" x14ac:dyDescent="0.3">
      <c r="A46" s="78" t="s">
        <v>275</v>
      </c>
      <c r="B46" s="66" t="s">
        <v>276</v>
      </c>
      <c r="C46" s="65" t="s">
        <v>254</v>
      </c>
      <c r="D46" s="67">
        <f>1*3.46*2*4</f>
        <v>27.68</v>
      </c>
      <c r="E46" s="171">
        <v>89</v>
      </c>
      <c r="F46" s="101">
        <f t="shared" si="12"/>
        <v>2463.52</v>
      </c>
      <c r="G46" s="101">
        <f t="shared" si="13"/>
        <v>2956.22</v>
      </c>
    </row>
    <row r="47" spans="1:7" ht="15.6" x14ac:dyDescent="0.3">
      <c r="A47" s="78" t="s">
        <v>277</v>
      </c>
      <c r="B47" s="66" t="s">
        <v>278</v>
      </c>
      <c r="C47" s="65" t="s">
        <v>254</v>
      </c>
      <c r="D47" s="67">
        <f>9*0.31*2*4</f>
        <v>22.32</v>
      </c>
      <c r="E47" s="171">
        <v>89</v>
      </c>
      <c r="F47" s="101">
        <f t="shared" si="12"/>
        <v>1986.48</v>
      </c>
      <c r="G47" s="101">
        <f t="shared" si="13"/>
        <v>2383.7800000000002</v>
      </c>
    </row>
    <row r="48" spans="1:7" ht="15.6" x14ac:dyDescent="0.3">
      <c r="A48" s="78" t="s">
        <v>279</v>
      </c>
      <c r="B48" s="66" t="s">
        <v>280</v>
      </c>
      <c r="C48" s="65" t="s">
        <v>254</v>
      </c>
      <c r="D48" s="67">
        <f>9*0.19*2*4</f>
        <v>13.68</v>
      </c>
      <c r="E48" s="171">
        <v>69</v>
      </c>
      <c r="F48" s="101">
        <f t="shared" si="12"/>
        <v>943.92</v>
      </c>
      <c r="G48" s="101">
        <f t="shared" si="13"/>
        <v>1132.7</v>
      </c>
    </row>
    <row r="49" spans="1:7" ht="15.6" x14ac:dyDescent="0.3">
      <c r="A49" s="78" t="s">
        <v>281</v>
      </c>
      <c r="B49" s="66" t="s">
        <v>282</v>
      </c>
      <c r="C49" s="65" t="s">
        <v>254</v>
      </c>
      <c r="D49" s="67">
        <f>16*0.3</f>
        <v>4.8</v>
      </c>
      <c r="E49" s="171">
        <v>317</v>
      </c>
      <c r="F49" s="101">
        <f t="shared" si="12"/>
        <v>1521.6</v>
      </c>
      <c r="G49" s="101">
        <f t="shared" si="13"/>
        <v>1825.92</v>
      </c>
    </row>
    <row r="50" spans="1:7" ht="15.6" x14ac:dyDescent="0.3">
      <c r="A50" s="65"/>
      <c r="B50" s="61" t="s">
        <v>283</v>
      </c>
      <c r="C50" s="65"/>
      <c r="D50" s="70"/>
      <c r="E50" s="181"/>
      <c r="F50" s="101"/>
      <c r="G50" s="101"/>
    </row>
    <row r="51" spans="1:7" ht="15.6" x14ac:dyDescent="0.3">
      <c r="A51" s="65"/>
      <c r="B51" s="72" t="s">
        <v>284</v>
      </c>
      <c r="C51" s="65"/>
      <c r="D51" s="70"/>
      <c r="E51" s="181"/>
      <c r="F51" s="101"/>
      <c r="G51" s="101"/>
    </row>
    <row r="52" spans="1:7" ht="15.6" x14ac:dyDescent="0.3">
      <c r="A52" s="65">
        <f>A42+1</f>
        <v>33</v>
      </c>
      <c r="B52" s="66" t="s">
        <v>285</v>
      </c>
      <c r="C52" s="65" t="s">
        <v>254</v>
      </c>
      <c r="D52" s="67">
        <f>0.9*5.8*4</f>
        <v>20.88</v>
      </c>
      <c r="E52" s="171">
        <v>75</v>
      </c>
      <c r="F52" s="101">
        <f t="shared" ref="F52:F61" si="14">ROUND(E52*D52,2)</f>
        <v>1566</v>
      </c>
      <c r="G52" s="101">
        <f t="shared" ref="G52:G61" si="15">ROUND(F52*1.2,2)</f>
        <v>1879.2</v>
      </c>
    </row>
    <row r="53" spans="1:7" ht="15.6" x14ac:dyDescent="0.3">
      <c r="A53" s="65">
        <f>A52+1</f>
        <v>34</v>
      </c>
      <c r="B53" s="66" t="s">
        <v>286</v>
      </c>
      <c r="C53" s="65" t="s">
        <v>254</v>
      </c>
      <c r="D53" s="67">
        <f>7.5*59.07*4</f>
        <v>1772.1</v>
      </c>
      <c r="E53" s="171">
        <v>112</v>
      </c>
      <c r="F53" s="101">
        <f t="shared" si="14"/>
        <v>198475.2</v>
      </c>
      <c r="G53" s="101">
        <f t="shared" si="15"/>
        <v>238170.23999999999</v>
      </c>
    </row>
    <row r="54" spans="1:7" ht="15.6" x14ac:dyDescent="0.3">
      <c r="A54" s="65">
        <f t="shared" ref="A54:A61" si="16">A53+1</f>
        <v>35</v>
      </c>
      <c r="B54" s="66" t="s">
        <v>287</v>
      </c>
      <c r="C54" s="65" t="s">
        <v>254</v>
      </c>
      <c r="D54" s="67">
        <f>0.27*235.5*4</f>
        <v>254.34</v>
      </c>
      <c r="E54" s="171">
        <v>94</v>
      </c>
      <c r="F54" s="101">
        <f t="shared" si="14"/>
        <v>23907.96</v>
      </c>
      <c r="G54" s="101">
        <f t="shared" si="15"/>
        <v>28689.55</v>
      </c>
    </row>
    <row r="55" spans="1:7" ht="15.6" x14ac:dyDescent="0.3">
      <c r="A55" s="65">
        <f t="shared" si="16"/>
        <v>36</v>
      </c>
      <c r="B55" s="66" t="s">
        <v>288</v>
      </c>
      <c r="C55" s="65" t="s">
        <v>254</v>
      </c>
      <c r="D55" s="67">
        <f>0.53*94.2*4</f>
        <v>199.70400000000001</v>
      </c>
      <c r="E55" s="171">
        <v>89</v>
      </c>
      <c r="F55" s="101">
        <f t="shared" si="14"/>
        <v>17773.66</v>
      </c>
      <c r="G55" s="101">
        <f t="shared" si="15"/>
        <v>21328.39</v>
      </c>
    </row>
    <row r="56" spans="1:7" ht="15.6" x14ac:dyDescent="0.3">
      <c r="A56" s="65">
        <f t="shared" si="16"/>
        <v>37</v>
      </c>
      <c r="B56" s="66" t="s">
        <v>289</v>
      </c>
      <c r="C56" s="65" t="s">
        <v>254</v>
      </c>
      <c r="D56" s="67">
        <f>0.07*39.25*4</f>
        <v>10.99</v>
      </c>
      <c r="E56" s="171">
        <v>89</v>
      </c>
      <c r="F56" s="101">
        <f t="shared" si="14"/>
        <v>978.11</v>
      </c>
      <c r="G56" s="101">
        <f t="shared" si="15"/>
        <v>1173.73</v>
      </c>
    </row>
    <row r="57" spans="1:7" ht="15.6" x14ac:dyDescent="0.3">
      <c r="A57" s="65">
        <f t="shared" si="16"/>
        <v>38</v>
      </c>
      <c r="B57" s="66" t="s">
        <v>290</v>
      </c>
      <c r="C57" s="65" t="s">
        <v>193</v>
      </c>
      <c r="D57" s="76">
        <f>0.21*4*1.015</f>
        <v>0.85259999999999991</v>
      </c>
      <c r="E57" s="171">
        <v>5271</v>
      </c>
      <c r="F57" s="101">
        <f t="shared" si="14"/>
        <v>4494.05</v>
      </c>
      <c r="G57" s="101">
        <f t="shared" si="15"/>
        <v>5392.86</v>
      </c>
    </row>
    <row r="58" spans="1:7" ht="15.6" x14ac:dyDescent="0.3">
      <c r="A58" s="65">
        <f t="shared" si="16"/>
        <v>39</v>
      </c>
      <c r="B58" s="66" t="s">
        <v>291</v>
      </c>
      <c r="C58" s="65" t="s">
        <v>193</v>
      </c>
      <c r="D58" s="75">
        <v>8.7999999999999995E-2</v>
      </c>
      <c r="E58" s="171">
        <v>8855</v>
      </c>
      <c r="F58" s="101">
        <f t="shared" si="14"/>
        <v>779.24</v>
      </c>
      <c r="G58" s="101">
        <f t="shared" si="15"/>
        <v>935.09</v>
      </c>
    </row>
    <row r="59" spans="1:7" ht="15.6" x14ac:dyDescent="0.3">
      <c r="A59" s="65">
        <f t="shared" si="16"/>
        <v>40</v>
      </c>
      <c r="B59" s="66" t="s">
        <v>292</v>
      </c>
      <c r="C59" s="65" t="s">
        <v>254</v>
      </c>
      <c r="D59" s="67">
        <v>9.9600000000000009</v>
      </c>
      <c r="E59" s="171">
        <v>157</v>
      </c>
      <c r="F59" s="101">
        <f t="shared" si="14"/>
        <v>1563.72</v>
      </c>
      <c r="G59" s="101">
        <f t="shared" si="15"/>
        <v>1876.46</v>
      </c>
    </row>
    <row r="60" spans="1:7" ht="15.6" x14ac:dyDescent="0.3">
      <c r="A60" s="65">
        <f t="shared" si="16"/>
        <v>41</v>
      </c>
      <c r="B60" s="66" t="s">
        <v>293</v>
      </c>
      <c r="C60" s="65" t="s">
        <v>254</v>
      </c>
      <c r="D60" s="67">
        <v>9.9600000000000009</v>
      </c>
      <c r="E60" s="171">
        <v>174</v>
      </c>
      <c r="F60" s="101">
        <f t="shared" si="14"/>
        <v>1733.04</v>
      </c>
      <c r="G60" s="101">
        <f t="shared" si="15"/>
        <v>2079.65</v>
      </c>
    </row>
    <row r="61" spans="1:7" ht="27.6" x14ac:dyDescent="0.3">
      <c r="A61" s="65">
        <f t="shared" si="16"/>
        <v>42</v>
      </c>
      <c r="B61" s="66" t="s">
        <v>262</v>
      </c>
      <c r="C61" s="65"/>
      <c r="D61" s="70">
        <v>1</v>
      </c>
      <c r="E61" s="181">
        <v>6600.0000000000009</v>
      </c>
      <c r="F61" s="101">
        <f t="shared" si="14"/>
        <v>6600</v>
      </c>
      <c r="G61" s="101">
        <f t="shared" si="15"/>
        <v>7920</v>
      </c>
    </row>
    <row r="62" spans="1:7" ht="15.6" x14ac:dyDescent="0.3">
      <c r="A62" s="65"/>
      <c r="B62" s="72" t="s">
        <v>294</v>
      </c>
      <c r="C62" s="65"/>
      <c r="D62" s="70"/>
      <c r="E62" s="181"/>
      <c r="F62" s="101"/>
      <c r="G62" s="101"/>
    </row>
    <row r="63" spans="1:7" ht="15.6" x14ac:dyDescent="0.3">
      <c r="A63" s="65">
        <f>A61+1</f>
        <v>43</v>
      </c>
      <c r="B63" s="66" t="s">
        <v>295</v>
      </c>
      <c r="C63" s="65" t="s">
        <v>254</v>
      </c>
      <c r="D63" s="67">
        <f>75.6*5.8*2</f>
        <v>876.95999999999992</v>
      </c>
      <c r="E63" s="171">
        <v>75</v>
      </c>
      <c r="F63" s="101">
        <f t="shared" ref="F63:F71" si="17">ROUND(E63*D63,2)</f>
        <v>65772</v>
      </c>
      <c r="G63" s="101">
        <f t="shared" ref="G63:G71" si="18">ROUND(F63*1.2,2)</f>
        <v>78926.399999999994</v>
      </c>
    </row>
    <row r="64" spans="1:7" ht="15.6" x14ac:dyDescent="0.3">
      <c r="A64" s="65">
        <f>A63+1</f>
        <v>44</v>
      </c>
      <c r="B64" s="66" t="s">
        <v>296</v>
      </c>
      <c r="C64" s="65" t="s">
        <v>254</v>
      </c>
      <c r="D64" s="67">
        <f>121.2*3.05*2</f>
        <v>739.31999999999994</v>
      </c>
      <c r="E64" s="171">
        <v>75</v>
      </c>
      <c r="F64" s="101">
        <f t="shared" si="17"/>
        <v>55449</v>
      </c>
      <c r="G64" s="101">
        <f t="shared" si="18"/>
        <v>66538.8</v>
      </c>
    </row>
    <row r="65" spans="1:7" ht="15.6" x14ac:dyDescent="0.3">
      <c r="A65" s="65">
        <f t="shared" ref="A65:A71" si="19">A64+1</f>
        <v>45</v>
      </c>
      <c r="B65" s="66" t="s">
        <v>297</v>
      </c>
      <c r="C65" s="65" t="s">
        <v>254</v>
      </c>
      <c r="D65" s="67">
        <f>0.15*125.6*2</f>
        <v>37.68</v>
      </c>
      <c r="E65" s="171">
        <v>89</v>
      </c>
      <c r="F65" s="101">
        <f t="shared" si="17"/>
        <v>3353.52</v>
      </c>
      <c r="G65" s="101">
        <f t="shared" si="18"/>
        <v>4024.22</v>
      </c>
    </row>
    <row r="66" spans="1:7" ht="15.6" x14ac:dyDescent="0.3">
      <c r="A66" s="65">
        <f t="shared" si="19"/>
        <v>46</v>
      </c>
      <c r="B66" s="66" t="s">
        <v>298</v>
      </c>
      <c r="C66" s="65" t="s">
        <v>254</v>
      </c>
      <c r="D66" s="67">
        <f>0.24*78.5*2</f>
        <v>37.68</v>
      </c>
      <c r="E66" s="171">
        <v>89</v>
      </c>
      <c r="F66" s="101">
        <f t="shared" si="17"/>
        <v>3353.52</v>
      </c>
      <c r="G66" s="101">
        <f t="shared" si="18"/>
        <v>4024.22</v>
      </c>
    </row>
    <row r="67" spans="1:7" ht="15.6" x14ac:dyDescent="0.3">
      <c r="A67" s="65">
        <f t="shared" si="19"/>
        <v>47</v>
      </c>
      <c r="B67" s="66" t="s">
        <v>299</v>
      </c>
      <c r="C67" s="65" t="s">
        <v>254</v>
      </c>
      <c r="D67" s="67">
        <f>1.62*39.25*2</f>
        <v>127.17</v>
      </c>
      <c r="E67" s="171">
        <v>89</v>
      </c>
      <c r="F67" s="101">
        <f t="shared" si="17"/>
        <v>11318.13</v>
      </c>
      <c r="G67" s="101">
        <f t="shared" si="18"/>
        <v>13581.76</v>
      </c>
    </row>
    <row r="68" spans="1:7" ht="15.6" x14ac:dyDescent="0.3">
      <c r="A68" s="65">
        <f t="shared" si="19"/>
        <v>48</v>
      </c>
      <c r="B68" s="66" t="s">
        <v>300</v>
      </c>
      <c r="C68" s="65" t="s">
        <v>254</v>
      </c>
      <c r="D68" s="67">
        <f>16*0.137</f>
        <v>2.1920000000000002</v>
      </c>
      <c r="E68" s="171">
        <v>127</v>
      </c>
      <c r="F68" s="101">
        <f t="shared" si="17"/>
        <v>278.38</v>
      </c>
      <c r="G68" s="101">
        <f t="shared" si="18"/>
        <v>334.06</v>
      </c>
    </row>
    <row r="69" spans="1:7" ht="15.6" x14ac:dyDescent="0.3">
      <c r="A69" s="65">
        <f t="shared" si="19"/>
        <v>49</v>
      </c>
      <c r="B69" s="66" t="s">
        <v>301</v>
      </c>
      <c r="C69" s="65" t="s">
        <v>254</v>
      </c>
      <c r="D69" s="67">
        <f>16*0.032</f>
        <v>0.51200000000000001</v>
      </c>
      <c r="E69" s="171">
        <v>147</v>
      </c>
      <c r="F69" s="101">
        <f t="shared" si="17"/>
        <v>75.260000000000005</v>
      </c>
      <c r="G69" s="101">
        <f t="shared" si="18"/>
        <v>90.31</v>
      </c>
    </row>
    <row r="70" spans="1:7" ht="15.6" x14ac:dyDescent="0.3">
      <c r="A70" s="65">
        <f t="shared" si="19"/>
        <v>50</v>
      </c>
      <c r="B70" s="66" t="s">
        <v>302</v>
      </c>
      <c r="C70" s="65" t="s">
        <v>254</v>
      </c>
      <c r="D70" s="67">
        <f>16*0.013</f>
        <v>0.20799999999999999</v>
      </c>
      <c r="E70" s="171">
        <v>197</v>
      </c>
      <c r="F70" s="101">
        <f t="shared" si="17"/>
        <v>40.98</v>
      </c>
      <c r="G70" s="101">
        <f t="shared" si="18"/>
        <v>49.18</v>
      </c>
    </row>
    <row r="71" spans="1:7" ht="15.6" x14ac:dyDescent="0.3">
      <c r="A71" s="65">
        <f t="shared" si="19"/>
        <v>51</v>
      </c>
      <c r="B71" s="66" t="s">
        <v>303</v>
      </c>
      <c r="C71" s="65" t="s">
        <v>254</v>
      </c>
      <c r="D71" s="67">
        <f>16*0.006</f>
        <v>9.6000000000000002E-2</v>
      </c>
      <c r="E71" s="171">
        <v>214</v>
      </c>
      <c r="F71" s="101">
        <f t="shared" si="17"/>
        <v>20.54</v>
      </c>
      <c r="G71" s="101">
        <f t="shared" si="18"/>
        <v>24.65</v>
      </c>
    </row>
    <row r="72" spans="1:7" ht="15.6" x14ac:dyDescent="0.3">
      <c r="A72" s="65"/>
      <c r="B72" s="72" t="s">
        <v>304</v>
      </c>
      <c r="C72" s="65"/>
      <c r="D72" s="70"/>
      <c r="E72" s="181"/>
      <c r="F72" s="101"/>
      <c r="G72" s="101"/>
    </row>
    <row r="73" spans="1:7" ht="15.6" x14ac:dyDescent="0.3">
      <c r="A73" s="65">
        <f>A71+1</f>
        <v>52</v>
      </c>
      <c r="B73" s="66" t="s">
        <v>305</v>
      </c>
      <c r="C73" s="65" t="s">
        <v>254</v>
      </c>
      <c r="D73" s="67">
        <f>56.4*5.8</f>
        <v>327.12</v>
      </c>
      <c r="E73" s="171">
        <v>75</v>
      </c>
      <c r="F73" s="101">
        <f t="shared" ref="F73:F84" si="20">ROUND(E73*D73,2)</f>
        <v>24534</v>
      </c>
      <c r="G73" s="101">
        <f t="shared" ref="G73:G84" si="21">ROUND(F73*1.2,2)</f>
        <v>29440.799999999999</v>
      </c>
    </row>
    <row r="74" spans="1:7" ht="15.6" x14ac:dyDescent="0.3">
      <c r="A74" s="65">
        <f>A73+1</f>
        <v>53</v>
      </c>
      <c r="B74" s="66" t="s">
        <v>306</v>
      </c>
      <c r="C74" s="65" t="s">
        <v>254</v>
      </c>
      <c r="D74" s="67">
        <f>107.7*3.05</f>
        <v>328.48500000000001</v>
      </c>
      <c r="E74" s="171">
        <v>75</v>
      </c>
      <c r="F74" s="101">
        <f t="shared" si="20"/>
        <v>24636.38</v>
      </c>
      <c r="G74" s="101">
        <f t="shared" si="21"/>
        <v>29563.66</v>
      </c>
    </row>
    <row r="75" spans="1:7" ht="15.6" x14ac:dyDescent="0.3">
      <c r="A75" s="65">
        <f t="shared" ref="A75:A84" si="22">A74+1</f>
        <v>54</v>
      </c>
      <c r="B75" s="66" t="s">
        <v>307</v>
      </c>
      <c r="C75" s="65" t="s">
        <v>254</v>
      </c>
      <c r="D75" s="67">
        <f>0.15*125.6</f>
        <v>18.84</v>
      </c>
      <c r="E75" s="171">
        <v>89</v>
      </c>
      <c r="F75" s="101">
        <f t="shared" si="20"/>
        <v>1676.76</v>
      </c>
      <c r="G75" s="101">
        <f t="shared" si="21"/>
        <v>2012.11</v>
      </c>
    </row>
    <row r="76" spans="1:7" ht="15.6" x14ac:dyDescent="0.3">
      <c r="A76" s="65">
        <f t="shared" si="22"/>
        <v>55</v>
      </c>
      <c r="B76" s="66" t="s">
        <v>308</v>
      </c>
      <c r="C76" s="65" t="s">
        <v>254</v>
      </c>
      <c r="D76" s="67">
        <f>0.24*78.5</f>
        <v>18.84</v>
      </c>
      <c r="E76" s="171">
        <v>89</v>
      </c>
      <c r="F76" s="101">
        <f t="shared" si="20"/>
        <v>1676.76</v>
      </c>
      <c r="G76" s="101">
        <f t="shared" si="21"/>
        <v>2012.11</v>
      </c>
    </row>
    <row r="77" spans="1:7" ht="15.6" x14ac:dyDescent="0.3">
      <c r="A77" s="65">
        <f t="shared" si="22"/>
        <v>56</v>
      </c>
      <c r="B77" s="66" t="s">
        <v>309</v>
      </c>
      <c r="C77" s="65" t="s">
        <v>254</v>
      </c>
      <c r="D77" s="67">
        <f>1.62*39.25*2</f>
        <v>127.17</v>
      </c>
      <c r="E77" s="171">
        <v>89</v>
      </c>
      <c r="F77" s="101">
        <f t="shared" si="20"/>
        <v>11318.13</v>
      </c>
      <c r="G77" s="101">
        <f t="shared" si="21"/>
        <v>13581.76</v>
      </c>
    </row>
    <row r="78" spans="1:7" ht="15.6" x14ac:dyDescent="0.3">
      <c r="A78" s="65">
        <f t="shared" si="22"/>
        <v>57</v>
      </c>
      <c r="B78" s="66" t="s">
        <v>310</v>
      </c>
      <c r="C78" s="65" t="s">
        <v>254</v>
      </c>
      <c r="D78" s="67">
        <f>8*0.137</f>
        <v>1.0960000000000001</v>
      </c>
      <c r="E78" s="171">
        <v>127</v>
      </c>
      <c r="F78" s="101">
        <f t="shared" si="20"/>
        <v>139.19</v>
      </c>
      <c r="G78" s="101">
        <f t="shared" si="21"/>
        <v>167.03</v>
      </c>
    </row>
    <row r="79" spans="1:7" ht="15.6" x14ac:dyDescent="0.3">
      <c r="A79" s="65">
        <f t="shared" si="22"/>
        <v>58</v>
      </c>
      <c r="B79" s="66" t="s">
        <v>311</v>
      </c>
      <c r="C79" s="65" t="s">
        <v>254</v>
      </c>
      <c r="D79" s="67">
        <f>8*0.032</f>
        <v>0.25600000000000001</v>
      </c>
      <c r="E79" s="171">
        <v>147</v>
      </c>
      <c r="F79" s="101">
        <f t="shared" si="20"/>
        <v>37.630000000000003</v>
      </c>
      <c r="G79" s="101">
        <f t="shared" si="21"/>
        <v>45.16</v>
      </c>
    </row>
    <row r="80" spans="1:7" ht="15.6" x14ac:dyDescent="0.3">
      <c r="A80" s="65">
        <f t="shared" si="22"/>
        <v>59</v>
      </c>
      <c r="B80" s="66" t="s">
        <v>312</v>
      </c>
      <c r="C80" s="65" t="s">
        <v>254</v>
      </c>
      <c r="D80" s="67">
        <f>8*0.013</f>
        <v>0.104</v>
      </c>
      <c r="E80" s="171">
        <v>197</v>
      </c>
      <c r="F80" s="101">
        <f t="shared" si="20"/>
        <v>20.49</v>
      </c>
      <c r="G80" s="101">
        <f t="shared" si="21"/>
        <v>24.59</v>
      </c>
    </row>
    <row r="81" spans="1:7" ht="15.6" x14ac:dyDescent="0.3">
      <c r="A81" s="65">
        <f t="shared" si="22"/>
        <v>60</v>
      </c>
      <c r="B81" s="66" t="s">
        <v>313</v>
      </c>
      <c r="C81" s="65" t="s">
        <v>254</v>
      </c>
      <c r="D81" s="67">
        <f>8*0.006</f>
        <v>4.8000000000000001E-2</v>
      </c>
      <c r="E81" s="171">
        <v>214</v>
      </c>
      <c r="F81" s="101">
        <f t="shared" si="20"/>
        <v>10.27</v>
      </c>
      <c r="G81" s="101">
        <f t="shared" si="21"/>
        <v>12.32</v>
      </c>
    </row>
    <row r="82" spans="1:7" ht="15.6" x14ac:dyDescent="0.3">
      <c r="A82" s="65">
        <f t="shared" si="22"/>
        <v>61</v>
      </c>
      <c r="B82" s="66" t="s">
        <v>292</v>
      </c>
      <c r="C82" s="65" t="s">
        <v>254</v>
      </c>
      <c r="D82" s="67">
        <f>5.85*2</f>
        <v>11.7</v>
      </c>
      <c r="E82" s="171">
        <v>157</v>
      </c>
      <c r="F82" s="101">
        <f t="shared" si="20"/>
        <v>1836.9</v>
      </c>
      <c r="G82" s="101">
        <f t="shared" si="21"/>
        <v>2204.2800000000002</v>
      </c>
    </row>
    <row r="83" spans="1:7" ht="15.6" x14ac:dyDescent="0.3">
      <c r="A83" s="65">
        <f t="shared" si="22"/>
        <v>62</v>
      </c>
      <c r="B83" s="66" t="s">
        <v>293</v>
      </c>
      <c r="C83" s="65" t="s">
        <v>254</v>
      </c>
      <c r="D83" s="67">
        <f>5.85*2</f>
        <v>11.7</v>
      </c>
      <c r="E83" s="171">
        <v>174</v>
      </c>
      <c r="F83" s="101">
        <f t="shared" si="20"/>
        <v>2035.8</v>
      </c>
      <c r="G83" s="101">
        <f t="shared" si="21"/>
        <v>2442.96</v>
      </c>
    </row>
    <row r="84" spans="1:7" ht="27.6" x14ac:dyDescent="0.3">
      <c r="A84" s="65">
        <f t="shared" si="22"/>
        <v>63</v>
      </c>
      <c r="B84" s="66" t="s">
        <v>262</v>
      </c>
      <c r="C84" s="65" t="s">
        <v>243</v>
      </c>
      <c r="D84" s="70">
        <v>1</v>
      </c>
      <c r="E84" s="181">
        <v>22000</v>
      </c>
      <c r="F84" s="101">
        <f t="shared" si="20"/>
        <v>22000</v>
      </c>
      <c r="G84" s="101">
        <f t="shared" si="21"/>
        <v>26400</v>
      </c>
    </row>
    <row r="85" spans="1:7" ht="15.6" x14ac:dyDescent="0.3">
      <c r="A85" s="65"/>
      <c r="B85" s="61" t="s">
        <v>314</v>
      </c>
      <c r="C85" s="65"/>
      <c r="D85" s="70"/>
      <c r="E85" s="181"/>
      <c r="F85" s="101"/>
      <c r="G85" s="101"/>
    </row>
    <row r="86" spans="1:7" ht="15.6" x14ac:dyDescent="0.3">
      <c r="A86" s="65"/>
      <c r="B86" s="72" t="s">
        <v>315</v>
      </c>
      <c r="C86" s="65"/>
      <c r="D86" s="70"/>
      <c r="E86" s="181"/>
      <c r="F86" s="101"/>
      <c r="G86" s="101"/>
    </row>
    <row r="87" spans="1:7" ht="15.6" x14ac:dyDescent="0.3">
      <c r="A87" s="65">
        <f>A84+1</f>
        <v>64</v>
      </c>
      <c r="B87" s="66" t="s">
        <v>316</v>
      </c>
      <c r="C87" s="65" t="s">
        <v>254</v>
      </c>
      <c r="D87" s="67">
        <f>10*0.059</f>
        <v>0.59</v>
      </c>
      <c r="E87" s="171">
        <v>70</v>
      </c>
      <c r="F87" s="101">
        <f t="shared" ref="F87:F93" si="23">ROUND(E87*D87,2)</f>
        <v>41.3</v>
      </c>
      <c r="G87" s="101">
        <f t="shared" ref="G87:G93" si="24">ROUND(F87*1.2,2)</f>
        <v>49.56</v>
      </c>
    </row>
    <row r="88" spans="1:7" ht="15.6" x14ac:dyDescent="0.3">
      <c r="A88" s="65">
        <f>A87+1</f>
        <v>65</v>
      </c>
      <c r="B88" s="66" t="s">
        <v>317</v>
      </c>
      <c r="C88" s="65" t="s">
        <v>254</v>
      </c>
      <c r="D88" s="67">
        <f>2*1.36</f>
        <v>2.72</v>
      </c>
      <c r="E88" s="171">
        <v>75</v>
      </c>
      <c r="F88" s="101">
        <f t="shared" si="23"/>
        <v>204</v>
      </c>
      <c r="G88" s="101">
        <f t="shared" si="24"/>
        <v>244.8</v>
      </c>
    </row>
    <row r="89" spans="1:7" ht="15.6" x14ac:dyDescent="0.3">
      <c r="A89" s="65">
        <f t="shared" ref="A89:A93" si="25">A88+1</f>
        <v>66</v>
      </c>
      <c r="B89" s="66" t="s">
        <v>318</v>
      </c>
      <c r="C89" s="65" t="s">
        <v>254</v>
      </c>
      <c r="D89" s="71">
        <f>12.6</f>
        <v>12.6</v>
      </c>
      <c r="E89" s="171">
        <v>114</v>
      </c>
      <c r="F89" s="101">
        <f t="shared" si="23"/>
        <v>1436.4</v>
      </c>
      <c r="G89" s="101">
        <f t="shared" si="24"/>
        <v>1723.68</v>
      </c>
    </row>
    <row r="90" spans="1:7" ht="15.6" x14ac:dyDescent="0.3">
      <c r="A90" s="65">
        <f t="shared" si="25"/>
        <v>67</v>
      </c>
      <c r="B90" s="66" t="s">
        <v>319</v>
      </c>
      <c r="C90" s="65" t="s">
        <v>254</v>
      </c>
      <c r="D90" s="71">
        <v>20.3</v>
      </c>
      <c r="E90" s="171">
        <v>655</v>
      </c>
      <c r="F90" s="101">
        <f t="shared" si="23"/>
        <v>13296.5</v>
      </c>
      <c r="G90" s="101">
        <f t="shared" si="24"/>
        <v>15955.8</v>
      </c>
    </row>
    <row r="91" spans="1:7" ht="15.6" x14ac:dyDescent="0.3">
      <c r="A91" s="65">
        <f t="shared" si="25"/>
        <v>68</v>
      </c>
      <c r="B91" s="66" t="s">
        <v>259</v>
      </c>
      <c r="C91" s="65" t="s">
        <v>193</v>
      </c>
      <c r="D91" s="76">
        <f>0.5*1.015</f>
        <v>0.50749999999999995</v>
      </c>
      <c r="E91" s="171">
        <v>6114</v>
      </c>
      <c r="F91" s="101">
        <f t="shared" si="23"/>
        <v>3102.86</v>
      </c>
      <c r="G91" s="101">
        <f t="shared" si="24"/>
        <v>3723.43</v>
      </c>
    </row>
    <row r="92" spans="1:7" ht="15.6" x14ac:dyDescent="0.3">
      <c r="A92" s="65">
        <f t="shared" si="25"/>
        <v>69</v>
      </c>
      <c r="B92" s="66" t="s">
        <v>260</v>
      </c>
      <c r="C92" s="65" t="s">
        <v>193</v>
      </c>
      <c r="D92" s="76">
        <f>0.11*1.02</f>
        <v>0.11220000000000001</v>
      </c>
      <c r="E92" s="171">
        <v>5060</v>
      </c>
      <c r="F92" s="101">
        <f t="shared" si="23"/>
        <v>567.73</v>
      </c>
      <c r="G92" s="101">
        <f t="shared" si="24"/>
        <v>681.28</v>
      </c>
    </row>
    <row r="93" spans="1:7" ht="27.6" x14ac:dyDescent="0.3">
      <c r="A93" s="65">
        <f t="shared" si="25"/>
        <v>70</v>
      </c>
      <c r="B93" s="66" t="s">
        <v>262</v>
      </c>
      <c r="C93" s="65" t="s">
        <v>243</v>
      </c>
      <c r="D93" s="70">
        <v>1</v>
      </c>
      <c r="E93" s="181">
        <v>3300.0000000000005</v>
      </c>
      <c r="F93" s="101">
        <f t="shared" si="23"/>
        <v>3300</v>
      </c>
      <c r="G93" s="101">
        <f t="shared" si="24"/>
        <v>3960</v>
      </c>
    </row>
    <row r="94" spans="1:7" ht="15.6" x14ac:dyDescent="0.3">
      <c r="A94" s="65"/>
      <c r="B94" s="72" t="s">
        <v>320</v>
      </c>
      <c r="C94" s="65"/>
      <c r="D94" s="70"/>
      <c r="E94" s="181"/>
      <c r="F94" s="101"/>
      <c r="G94" s="101"/>
    </row>
    <row r="95" spans="1:7" ht="27.6" x14ac:dyDescent="0.3">
      <c r="A95" s="65">
        <f>A93+1</f>
        <v>71</v>
      </c>
      <c r="B95" s="66" t="s">
        <v>321</v>
      </c>
      <c r="C95" s="65" t="s">
        <v>220</v>
      </c>
      <c r="D95" s="70">
        <v>1</v>
      </c>
      <c r="E95" s="171">
        <v>37079</v>
      </c>
      <c r="F95" s="101">
        <f t="shared" ref="F95:F114" si="26">ROUND(E95*D95,2)</f>
        <v>37079</v>
      </c>
      <c r="G95" s="101">
        <f t="shared" ref="G95:G114" si="27">ROUND(F95*1.2,2)</f>
        <v>44494.8</v>
      </c>
    </row>
    <row r="96" spans="1:7" ht="27.6" x14ac:dyDescent="0.3">
      <c r="A96" s="65">
        <f>A95+1</f>
        <v>72</v>
      </c>
      <c r="B96" s="66" t="s">
        <v>322</v>
      </c>
      <c r="C96" s="65" t="s">
        <v>220</v>
      </c>
      <c r="D96" s="70">
        <v>1</v>
      </c>
      <c r="E96" s="171">
        <v>37079</v>
      </c>
      <c r="F96" s="101">
        <f t="shared" si="26"/>
        <v>37079</v>
      </c>
      <c r="G96" s="101">
        <f t="shared" si="27"/>
        <v>44494.8</v>
      </c>
    </row>
    <row r="97" spans="1:7" ht="27.6" x14ac:dyDescent="0.3">
      <c r="A97" s="65">
        <f t="shared" ref="A97:A114" si="28">A96+1</f>
        <v>73</v>
      </c>
      <c r="B97" s="66" t="s">
        <v>323</v>
      </c>
      <c r="C97" s="65" t="s">
        <v>220</v>
      </c>
      <c r="D97" s="70">
        <v>1</v>
      </c>
      <c r="E97" s="171">
        <v>37079</v>
      </c>
      <c r="F97" s="101">
        <f t="shared" si="26"/>
        <v>37079</v>
      </c>
      <c r="G97" s="101">
        <f t="shared" si="27"/>
        <v>44494.8</v>
      </c>
    </row>
    <row r="98" spans="1:7" ht="27.6" x14ac:dyDescent="0.3">
      <c r="A98" s="65">
        <f t="shared" si="28"/>
        <v>74</v>
      </c>
      <c r="B98" s="66" t="s">
        <v>324</v>
      </c>
      <c r="C98" s="65" t="s">
        <v>220</v>
      </c>
      <c r="D98" s="70">
        <v>1</v>
      </c>
      <c r="E98" s="171">
        <v>37079</v>
      </c>
      <c r="F98" s="101">
        <f t="shared" si="26"/>
        <v>37079</v>
      </c>
      <c r="G98" s="101">
        <f t="shared" si="27"/>
        <v>44494.8</v>
      </c>
    </row>
    <row r="99" spans="1:7" ht="27.6" x14ac:dyDescent="0.3">
      <c r="A99" s="65">
        <f t="shared" si="28"/>
        <v>75</v>
      </c>
      <c r="B99" s="66" t="s">
        <v>325</v>
      </c>
      <c r="C99" s="65" t="s">
        <v>220</v>
      </c>
      <c r="D99" s="70">
        <v>1</v>
      </c>
      <c r="E99" s="171">
        <v>36315</v>
      </c>
      <c r="F99" s="101">
        <f t="shared" si="26"/>
        <v>36315</v>
      </c>
      <c r="G99" s="101">
        <f t="shared" si="27"/>
        <v>43578</v>
      </c>
    </row>
    <row r="100" spans="1:7" ht="27.6" x14ac:dyDescent="0.3">
      <c r="A100" s="65">
        <f t="shared" si="28"/>
        <v>76</v>
      </c>
      <c r="B100" s="66" t="s">
        <v>326</v>
      </c>
      <c r="C100" s="65" t="s">
        <v>220</v>
      </c>
      <c r="D100" s="70">
        <v>1</v>
      </c>
      <c r="E100" s="171">
        <v>36315</v>
      </c>
      <c r="F100" s="101">
        <f t="shared" si="26"/>
        <v>36315</v>
      </c>
      <c r="G100" s="101">
        <f t="shared" si="27"/>
        <v>43578</v>
      </c>
    </row>
    <row r="101" spans="1:7" ht="27.6" x14ac:dyDescent="0.3">
      <c r="A101" s="65">
        <f t="shared" si="28"/>
        <v>77</v>
      </c>
      <c r="B101" s="66" t="s">
        <v>327</v>
      </c>
      <c r="C101" s="65" t="s">
        <v>220</v>
      </c>
      <c r="D101" s="70">
        <v>1</v>
      </c>
      <c r="E101" s="171">
        <v>36315</v>
      </c>
      <c r="F101" s="101">
        <f t="shared" si="26"/>
        <v>36315</v>
      </c>
      <c r="G101" s="101">
        <f t="shared" si="27"/>
        <v>43578</v>
      </c>
    </row>
    <row r="102" spans="1:7" ht="27.6" x14ac:dyDescent="0.3">
      <c r="A102" s="65">
        <f t="shared" si="28"/>
        <v>78</v>
      </c>
      <c r="B102" s="66" t="s">
        <v>328</v>
      </c>
      <c r="C102" s="65" t="s">
        <v>220</v>
      </c>
      <c r="D102" s="70">
        <v>1</v>
      </c>
      <c r="E102" s="171">
        <v>36315</v>
      </c>
      <c r="F102" s="101">
        <f t="shared" si="26"/>
        <v>36315</v>
      </c>
      <c r="G102" s="101">
        <f t="shared" si="27"/>
        <v>43578</v>
      </c>
    </row>
    <row r="103" spans="1:7" ht="27.6" x14ac:dyDescent="0.3">
      <c r="A103" s="65">
        <f t="shared" si="28"/>
        <v>79</v>
      </c>
      <c r="B103" s="66" t="s">
        <v>329</v>
      </c>
      <c r="C103" s="65" t="s">
        <v>220</v>
      </c>
      <c r="D103" s="70">
        <v>1</v>
      </c>
      <c r="E103" s="171">
        <v>36315</v>
      </c>
      <c r="F103" s="101">
        <f t="shared" si="26"/>
        <v>36315</v>
      </c>
      <c r="G103" s="101">
        <f t="shared" si="27"/>
        <v>43578</v>
      </c>
    </row>
    <row r="104" spans="1:7" ht="27.6" x14ac:dyDescent="0.3">
      <c r="A104" s="65">
        <f t="shared" si="28"/>
        <v>80</v>
      </c>
      <c r="B104" s="66" t="s">
        <v>330</v>
      </c>
      <c r="C104" s="65" t="s">
        <v>220</v>
      </c>
      <c r="D104" s="70">
        <v>1</v>
      </c>
      <c r="E104" s="171">
        <v>35552</v>
      </c>
      <c r="F104" s="101">
        <f t="shared" si="26"/>
        <v>35552</v>
      </c>
      <c r="G104" s="101">
        <f t="shared" si="27"/>
        <v>42662.400000000001</v>
      </c>
    </row>
    <row r="105" spans="1:7" ht="27.6" x14ac:dyDescent="0.3">
      <c r="A105" s="65">
        <f t="shared" si="28"/>
        <v>81</v>
      </c>
      <c r="B105" s="66" t="s">
        <v>331</v>
      </c>
      <c r="C105" s="65" t="s">
        <v>220</v>
      </c>
      <c r="D105" s="70">
        <v>1</v>
      </c>
      <c r="E105" s="171">
        <v>35552</v>
      </c>
      <c r="F105" s="101">
        <f t="shared" si="26"/>
        <v>35552</v>
      </c>
      <c r="G105" s="101">
        <f t="shared" si="27"/>
        <v>42662.400000000001</v>
      </c>
    </row>
    <row r="106" spans="1:7" ht="27.6" x14ac:dyDescent="0.3">
      <c r="A106" s="65">
        <f t="shared" si="28"/>
        <v>82</v>
      </c>
      <c r="B106" s="66" t="s">
        <v>332</v>
      </c>
      <c r="C106" s="65" t="s">
        <v>220</v>
      </c>
      <c r="D106" s="70">
        <v>1</v>
      </c>
      <c r="E106" s="171">
        <v>35552</v>
      </c>
      <c r="F106" s="101">
        <f t="shared" si="26"/>
        <v>35552</v>
      </c>
      <c r="G106" s="101">
        <f t="shared" si="27"/>
        <v>42662.400000000001</v>
      </c>
    </row>
    <row r="107" spans="1:7" ht="27.6" x14ac:dyDescent="0.3">
      <c r="A107" s="65">
        <f t="shared" si="28"/>
        <v>83</v>
      </c>
      <c r="B107" s="66" t="s">
        <v>333</v>
      </c>
      <c r="C107" s="65" t="s">
        <v>220</v>
      </c>
      <c r="D107" s="70">
        <v>26</v>
      </c>
      <c r="E107" s="171">
        <v>9509</v>
      </c>
      <c r="F107" s="101">
        <f t="shared" si="26"/>
        <v>247234</v>
      </c>
      <c r="G107" s="101">
        <f t="shared" si="27"/>
        <v>296680.8</v>
      </c>
    </row>
    <row r="108" spans="1:7" ht="15.6" x14ac:dyDescent="0.3">
      <c r="A108" s="65">
        <f t="shared" si="28"/>
        <v>84</v>
      </c>
      <c r="B108" s="66" t="s">
        <v>334</v>
      </c>
      <c r="C108" s="65" t="s">
        <v>254</v>
      </c>
      <c r="D108" s="70">
        <f>8*10</f>
        <v>80</v>
      </c>
      <c r="E108" s="171">
        <v>89</v>
      </c>
      <c r="F108" s="101">
        <f t="shared" si="26"/>
        <v>7120</v>
      </c>
      <c r="G108" s="101">
        <f t="shared" si="27"/>
        <v>8544</v>
      </c>
    </row>
    <row r="109" spans="1:7" ht="15.6" x14ac:dyDescent="0.3">
      <c r="A109" s="65">
        <f t="shared" si="28"/>
        <v>85</v>
      </c>
      <c r="B109" s="66" t="s">
        <v>335</v>
      </c>
      <c r="C109" s="65" t="s">
        <v>254</v>
      </c>
      <c r="D109" s="71">
        <v>8.1999999999999993</v>
      </c>
      <c r="E109" s="171">
        <v>89</v>
      </c>
      <c r="F109" s="101">
        <f t="shared" si="26"/>
        <v>729.8</v>
      </c>
      <c r="G109" s="101">
        <f t="shared" si="27"/>
        <v>875.76</v>
      </c>
    </row>
    <row r="110" spans="1:7" ht="15.6" x14ac:dyDescent="0.3">
      <c r="A110" s="65">
        <f t="shared" si="28"/>
        <v>86</v>
      </c>
      <c r="B110" s="66" t="s">
        <v>336</v>
      </c>
      <c r="C110" s="65" t="s">
        <v>194</v>
      </c>
      <c r="D110" s="76">
        <f>2.49*2*1.01</f>
        <v>5.0298000000000007</v>
      </c>
      <c r="E110" s="171">
        <v>4428</v>
      </c>
      <c r="F110" s="101">
        <f t="shared" si="26"/>
        <v>22271.95</v>
      </c>
      <c r="G110" s="101">
        <f t="shared" si="27"/>
        <v>26726.34</v>
      </c>
    </row>
    <row r="111" spans="1:7" ht="15.6" x14ac:dyDescent="0.3">
      <c r="A111" s="65">
        <f t="shared" si="28"/>
        <v>87</v>
      </c>
      <c r="B111" s="66" t="s">
        <v>337</v>
      </c>
      <c r="C111" s="65" t="s">
        <v>194</v>
      </c>
      <c r="D111" s="76">
        <f>2.29*2*1.01</f>
        <v>4.6257999999999999</v>
      </c>
      <c r="E111" s="171">
        <v>4428</v>
      </c>
      <c r="F111" s="101">
        <f t="shared" si="26"/>
        <v>20483.04</v>
      </c>
      <c r="G111" s="101">
        <f t="shared" si="27"/>
        <v>24579.65</v>
      </c>
    </row>
    <row r="112" spans="1:7" ht="15.6" x14ac:dyDescent="0.3">
      <c r="A112" s="65">
        <f t="shared" si="28"/>
        <v>88</v>
      </c>
      <c r="B112" s="79" t="s">
        <v>338</v>
      </c>
      <c r="C112" s="65" t="s">
        <v>254</v>
      </c>
      <c r="D112" s="75">
        <v>2.7519999999999998</v>
      </c>
      <c r="E112" s="171">
        <v>182</v>
      </c>
      <c r="F112" s="101">
        <f t="shared" si="26"/>
        <v>500.86</v>
      </c>
      <c r="G112" s="101">
        <f t="shared" si="27"/>
        <v>601.03</v>
      </c>
    </row>
    <row r="113" spans="1:7" ht="15.6" x14ac:dyDescent="0.3">
      <c r="A113" s="65">
        <f t="shared" si="28"/>
        <v>89</v>
      </c>
      <c r="B113" s="66" t="s">
        <v>339</v>
      </c>
      <c r="C113" s="65" t="s">
        <v>254</v>
      </c>
      <c r="D113" s="67">
        <v>1.29</v>
      </c>
      <c r="E113" s="171">
        <v>1376</v>
      </c>
      <c r="F113" s="101">
        <f t="shared" si="26"/>
        <v>1775.04</v>
      </c>
      <c r="G113" s="101">
        <f t="shared" si="27"/>
        <v>2130.0500000000002</v>
      </c>
    </row>
    <row r="114" spans="1:7" ht="27.6" x14ac:dyDescent="0.3">
      <c r="A114" s="65">
        <f t="shared" si="28"/>
        <v>90</v>
      </c>
      <c r="B114" s="66" t="s">
        <v>340</v>
      </c>
      <c r="C114" s="65" t="s">
        <v>254</v>
      </c>
      <c r="D114" s="67">
        <v>2.81</v>
      </c>
      <c r="E114" s="171">
        <v>660</v>
      </c>
      <c r="F114" s="101">
        <f t="shared" si="26"/>
        <v>1854.6</v>
      </c>
      <c r="G114" s="101">
        <f t="shared" si="27"/>
        <v>2225.52</v>
      </c>
    </row>
    <row r="115" spans="1:7" x14ac:dyDescent="0.3">
      <c r="A115" s="173"/>
      <c r="B115" s="537" t="s">
        <v>341</v>
      </c>
      <c r="C115" s="538"/>
      <c r="D115" s="538"/>
      <c r="E115" s="174"/>
      <c r="F115" s="175"/>
      <c r="G115" s="176"/>
    </row>
    <row r="116" spans="1:7" x14ac:dyDescent="0.3">
      <c r="A116" s="65"/>
      <c r="B116" s="61" t="s">
        <v>342</v>
      </c>
      <c r="C116" s="73"/>
      <c r="D116" s="74"/>
      <c r="E116" s="68"/>
      <c r="F116" s="69"/>
      <c r="G116" s="55"/>
    </row>
    <row r="117" spans="1:7" ht="15.6" x14ac:dyDescent="0.3">
      <c r="A117" s="65">
        <f>A114+1</f>
        <v>91</v>
      </c>
      <c r="B117" s="66" t="s">
        <v>343</v>
      </c>
      <c r="C117" s="65" t="s">
        <v>193</v>
      </c>
      <c r="D117" s="67">
        <v>7.36</v>
      </c>
      <c r="E117" s="171">
        <v>2635</v>
      </c>
      <c r="F117" s="101">
        <f t="shared" ref="F117:F143" si="29">ROUND(E117*D117,2)</f>
        <v>19393.599999999999</v>
      </c>
      <c r="G117" s="101">
        <f t="shared" ref="G117:G143" si="30">ROUND(F117*1.2,2)</f>
        <v>23272.32</v>
      </c>
    </row>
    <row r="118" spans="1:7" ht="15.6" x14ac:dyDescent="0.3">
      <c r="A118" s="65">
        <f t="shared" ref="A118:A143" si="31">A117+1</f>
        <v>92</v>
      </c>
      <c r="B118" s="66" t="s">
        <v>344</v>
      </c>
      <c r="C118" s="73" t="s">
        <v>220</v>
      </c>
      <c r="D118" s="70">
        <v>26</v>
      </c>
      <c r="E118" s="171">
        <v>12650.000000000002</v>
      </c>
      <c r="F118" s="101">
        <f t="shared" si="29"/>
        <v>328900</v>
      </c>
      <c r="G118" s="101">
        <f t="shared" si="30"/>
        <v>394680</v>
      </c>
    </row>
    <row r="119" spans="1:7" ht="15.6" x14ac:dyDescent="0.3">
      <c r="A119" s="65">
        <f t="shared" si="31"/>
        <v>93</v>
      </c>
      <c r="B119" s="66" t="s">
        <v>345</v>
      </c>
      <c r="C119" s="73" t="s">
        <v>220</v>
      </c>
      <c r="D119" s="70">
        <v>27</v>
      </c>
      <c r="E119" s="171">
        <v>4006</v>
      </c>
      <c r="F119" s="101">
        <f t="shared" si="29"/>
        <v>108162</v>
      </c>
      <c r="G119" s="101">
        <f t="shared" si="30"/>
        <v>129794.4</v>
      </c>
    </row>
    <row r="120" spans="1:7" ht="15.6" x14ac:dyDescent="0.3">
      <c r="A120" s="65">
        <f t="shared" si="31"/>
        <v>94</v>
      </c>
      <c r="B120" s="66" t="s">
        <v>346</v>
      </c>
      <c r="C120" s="73" t="s">
        <v>193</v>
      </c>
      <c r="D120" s="75">
        <f>2.5*1.014</f>
        <v>2.5350000000000001</v>
      </c>
      <c r="E120" s="171">
        <v>5587</v>
      </c>
      <c r="F120" s="101">
        <f t="shared" si="29"/>
        <v>14163.05</v>
      </c>
      <c r="G120" s="101">
        <f t="shared" si="30"/>
        <v>16995.66</v>
      </c>
    </row>
    <row r="121" spans="1:7" ht="15.6" x14ac:dyDescent="0.3">
      <c r="A121" s="65">
        <f t="shared" si="31"/>
        <v>95</v>
      </c>
      <c r="B121" s="66" t="s">
        <v>347</v>
      </c>
      <c r="C121" s="73" t="s">
        <v>220</v>
      </c>
      <c r="D121" s="70">
        <v>646</v>
      </c>
      <c r="E121" s="171">
        <v>15</v>
      </c>
      <c r="F121" s="101">
        <f t="shared" si="29"/>
        <v>9690</v>
      </c>
      <c r="G121" s="101">
        <f t="shared" si="30"/>
        <v>11628</v>
      </c>
    </row>
    <row r="122" spans="1:7" ht="21.75" customHeight="1" x14ac:dyDescent="0.3">
      <c r="A122" s="65">
        <f t="shared" si="31"/>
        <v>96</v>
      </c>
      <c r="B122" s="66" t="s">
        <v>348</v>
      </c>
      <c r="C122" s="65" t="s">
        <v>193</v>
      </c>
      <c r="D122" s="75">
        <v>0.40799999999999997</v>
      </c>
      <c r="E122" s="171">
        <v>4428</v>
      </c>
      <c r="F122" s="101">
        <f t="shared" si="29"/>
        <v>1806.62</v>
      </c>
      <c r="G122" s="101">
        <f t="shared" si="30"/>
        <v>2167.94</v>
      </c>
    </row>
    <row r="123" spans="1:7" ht="15.6" x14ac:dyDescent="0.3">
      <c r="A123" s="65">
        <f t="shared" si="31"/>
        <v>97</v>
      </c>
      <c r="B123" s="66" t="s">
        <v>349</v>
      </c>
      <c r="C123" s="73" t="s">
        <v>254</v>
      </c>
      <c r="D123" s="76">
        <f>8.0784+1.12192</f>
        <v>9.2003199999999996</v>
      </c>
      <c r="E123" s="171">
        <v>440</v>
      </c>
      <c r="F123" s="101">
        <f t="shared" si="29"/>
        <v>4048.14</v>
      </c>
      <c r="G123" s="101">
        <f t="shared" si="30"/>
        <v>4857.7700000000004</v>
      </c>
    </row>
    <row r="124" spans="1:7" ht="15.6" x14ac:dyDescent="0.3">
      <c r="A124" s="65">
        <f t="shared" si="31"/>
        <v>98</v>
      </c>
      <c r="B124" s="66" t="s">
        <v>350</v>
      </c>
      <c r="C124" s="73" t="s">
        <v>254</v>
      </c>
      <c r="D124" s="75">
        <f>121.176+0.018288</f>
        <v>121.194288</v>
      </c>
      <c r="E124" s="171">
        <v>41</v>
      </c>
      <c r="F124" s="101">
        <f t="shared" si="29"/>
        <v>4968.97</v>
      </c>
      <c r="G124" s="101">
        <f t="shared" si="30"/>
        <v>5962.76</v>
      </c>
    </row>
    <row r="125" spans="1:7" ht="15.6" x14ac:dyDescent="0.3">
      <c r="A125" s="65">
        <f t="shared" si="31"/>
        <v>99</v>
      </c>
      <c r="B125" s="66" t="s">
        <v>351</v>
      </c>
      <c r="C125" s="73" t="s">
        <v>193</v>
      </c>
      <c r="D125" s="80">
        <v>1.45738E-2</v>
      </c>
      <c r="E125" s="171">
        <v>5693</v>
      </c>
      <c r="F125" s="101">
        <f t="shared" si="29"/>
        <v>82.97</v>
      </c>
      <c r="G125" s="101">
        <f t="shared" si="30"/>
        <v>99.56</v>
      </c>
    </row>
    <row r="126" spans="1:7" ht="27.6" x14ac:dyDescent="0.3">
      <c r="A126" s="65">
        <f t="shared" si="31"/>
        <v>100</v>
      </c>
      <c r="B126" s="66" t="s">
        <v>262</v>
      </c>
      <c r="C126" s="65" t="s">
        <v>243</v>
      </c>
      <c r="D126" s="70">
        <v>1</v>
      </c>
      <c r="E126" s="181">
        <v>5500</v>
      </c>
      <c r="F126" s="101">
        <f t="shared" si="29"/>
        <v>5500</v>
      </c>
      <c r="G126" s="101">
        <f t="shared" si="30"/>
        <v>6600</v>
      </c>
    </row>
    <row r="127" spans="1:7" ht="15.6" x14ac:dyDescent="0.3">
      <c r="A127" s="65"/>
      <c r="B127" s="61" t="s">
        <v>352</v>
      </c>
      <c r="C127" s="73"/>
      <c r="D127" s="74"/>
      <c r="E127" s="181"/>
      <c r="F127" s="101"/>
      <c r="G127" s="101"/>
    </row>
    <row r="128" spans="1:7" ht="16.5" customHeight="1" x14ac:dyDescent="0.3">
      <c r="A128" s="65">
        <f>A126+1</f>
        <v>101</v>
      </c>
      <c r="B128" s="66" t="s">
        <v>353</v>
      </c>
      <c r="C128" s="65" t="s">
        <v>254</v>
      </c>
      <c r="D128" s="75">
        <f>255*1.314</f>
        <v>335.07</v>
      </c>
      <c r="E128" s="171">
        <v>89</v>
      </c>
      <c r="F128" s="101">
        <f t="shared" si="29"/>
        <v>29821.23</v>
      </c>
      <c r="G128" s="101">
        <f t="shared" si="30"/>
        <v>35785.480000000003</v>
      </c>
    </row>
    <row r="129" spans="1:7" ht="16.5" customHeight="1" x14ac:dyDescent="0.3">
      <c r="A129" s="65">
        <f t="shared" si="31"/>
        <v>102</v>
      </c>
      <c r="B129" s="66" t="s">
        <v>354</v>
      </c>
      <c r="C129" s="65" t="s">
        <v>254</v>
      </c>
      <c r="D129" s="75">
        <f>255*1.067</f>
        <v>272.08499999999998</v>
      </c>
      <c r="E129" s="171">
        <v>89</v>
      </c>
      <c r="F129" s="101">
        <f t="shared" si="29"/>
        <v>24215.57</v>
      </c>
      <c r="G129" s="101">
        <f t="shared" si="30"/>
        <v>29058.68</v>
      </c>
    </row>
    <row r="130" spans="1:7" ht="16.5" customHeight="1" x14ac:dyDescent="0.3">
      <c r="A130" s="65">
        <f t="shared" si="31"/>
        <v>103</v>
      </c>
      <c r="B130" s="66" t="s">
        <v>355</v>
      </c>
      <c r="C130" s="65" t="s">
        <v>254</v>
      </c>
      <c r="D130" s="75">
        <f>512*0.716</f>
        <v>366.59199999999998</v>
      </c>
      <c r="E130" s="171">
        <v>89</v>
      </c>
      <c r="F130" s="101">
        <f t="shared" si="29"/>
        <v>32626.69</v>
      </c>
      <c r="G130" s="101">
        <f t="shared" si="30"/>
        <v>39152.03</v>
      </c>
    </row>
    <row r="131" spans="1:7" ht="16.5" customHeight="1" x14ac:dyDescent="0.3">
      <c r="A131" s="65">
        <f t="shared" si="31"/>
        <v>104</v>
      </c>
      <c r="B131" s="66" t="s">
        <v>356</v>
      </c>
      <c r="C131" s="65" t="s">
        <v>254</v>
      </c>
      <c r="D131" s="75">
        <f>12*4.911</f>
        <v>58.931999999999995</v>
      </c>
      <c r="E131" s="171">
        <v>89</v>
      </c>
      <c r="F131" s="101">
        <f t="shared" si="29"/>
        <v>5244.95</v>
      </c>
      <c r="G131" s="101">
        <f t="shared" si="30"/>
        <v>6293.94</v>
      </c>
    </row>
    <row r="132" spans="1:7" ht="16.5" customHeight="1" x14ac:dyDescent="0.3">
      <c r="A132" s="65">
        <f t="shared" si="31"/>
        <v>105</v>
      </c>
      <c r="B132" s="66" t="s">
        <v>357</v>
      </c>
      <c r="C132" s="65" t="s">
        <v>254</v>
      </c>
      <c r="D132" s="75">
        <f>14*4.294</f>
        <v>60.115999999999993</v>
      </c>
      <c r="E132" s="171">
        <v>89</v>
      </c>
      <c r="F132" s="101">
        <f t="shared" si="29"/>
        <v>5350.32</v>
      </c>
      <c r="G132" s="101">
        <f t="shared" si="30"/>
        <v>6420.38</v>
      </c>
    </row>
    <row r="133" spans="1:7" ht="16.5" customHeight="1" x14ac:dyDescent="0.3">
      <c r="A133" s="65">
        <f t="shared" si="31"/>
        <v>106</v>
      </c>
      <c r="B133" s="66" t="s">
        <v>358</v>
      </c>
      <c r="C133" s="65" t="s">
        <v>254</v>
      </c>
      <c r="D133" s="75">
        <f>1200*0.617</f>
        <v>740.4</v>
      </c>
      <c r="E133" s="171">
        <v>89</v>
      </c>
      <c r="F133" s="101">
        <f t="shared" si="29"/>
        <v>65895.600000000006</v>
      </c>
      <c r="G133" s="101">
        <f t="shared" si="30"/>
        <v>79074.720000000001</v>
      </c>
    </row>
    <row r="134" spans="1:7" ht="16.5" customHeight="1" x14ac:dyDescent="0.3">
      <c r="A134" s="65">
        <f t="shared" si="31"/>
        <v>107</v>
      </c>
      <c r="B134" s="66" t="s">
        <v>359</v>
      </c>
      <c r="C134" s="65" t="s">
        <v>254</v>
      </c>
      <c r="D134" s="75">
        <f>134*0.558</f>
        <v>74.772000000000006</v>
      </c>
      <c r="E134" s="171">
        <v>89</v>
      </c>
      <c r="F134" s="101">
        <f t="shared" si="29"/>
        <v>6654.71</v>
      </c>
      <c r="G134" s="101">
        <f t="shared" si="30"/>
        <v>7985.65</v>
      </c>
    </row>
    <row r="135" spans="1:7" ht="16.5" customHeight="1" x14ac:dyDescent="0.3">
      <c r="A135" s="65">
        <f t="shared" si="31"/>
        <v>108</v>
      </c>
      <c r="B135" s="66" t="s">
        <v>360</v>
      </c>
      <c r="C135" s="65" t="s">
        <v>254</v>
      </c>
      <c r="D135" s="75">
        <f>256*0.546</f>
        <v>139.77600000000001</v>
      </c>
      <c r="E135" s="171">
        <v>89</v>
      </c>
      <c r="F135" s="101">
        <f t="shared" si="29"/>
        <v>12440.06</v>
      </c>
      <c r="G135" s="101">
        <f t="shared" si="30"/>
        <v>14928.07</v>
      </c>
    </row>
    <row r="136" spans="1:7" ht="16.5" customHeight="1" x14ac:dyDescent="0.3">
      <c r="A136" s="65">
        <f t="shared" si="31"/>
        <v>109</v>
      </c>
      <c r="B136" s="66" t="s">
        <v>361</v>
      </c>
      <c r="C136" s="65" t="s">
        <v>254</v>
      </c>
      <c r="D136" s="75">
        <f>510*0.552</f>
        <v>281.52000000000004</v>
      </c>
      <c r="E136" s="171">
        <v>89</v>
      </c>
      <c r="F136" s="101">
        <f t="shared" si="29"/>
        <v>25055.279999999999</v>
      </c>
      <c r="G136" s="101">
        <f t="shared" si="30"/>
        <v>30066.34</v>
      </c>
    </row>
    <row r="137" spans="1:7" ht="16.5" customHeight="1" x14ac:dyDescent="0.3">
      <c r="A137" s="65">
        <f t="shared" si="31"/>
        <v>110</v>
      </c>
      <c r="B137" s="66" t="s">
        <v>362</v>
      </c>
      <c r="C137" s="65" t="s">
        <v>254</v>
      </c>
      <c r="D137" s="75">
        <f>265*0.518</f>
        <v>137.27000000000001</v>
      </c>
      <c r="E137" s="171">
        <v>89</v>
      </c>
      <c r="F137" s="101">
        <f t="shared" si="29"/>
        <v>12217.03</v>
      </c>
      <c r="G137" s="101">
        <f t="shared" si="30"/>
        <v>14660.44</v>
      </c>
    </row>
    <row r="138" spans="1:7" ht="16.5" customHeight="1" x14ac:dyDescent="0.3">
      <c r="A138" s="65">
        <f t="shared" si="31"/>
        <v>111</v>
      </c>
      <c r="B138" s="66" t="s">
        <v>363</v>
      </c>
      <c r="C138" s="65" t="s">
        <v>254</v>
      </c>
      <c r="D138" s="75">
        <f>177*0.099</f>
        <v>17.523</v>
      </c>
      <c r="E138" s="171">
        <v>70</v>
      </c>
      <c r="F138" s="101">
        <f t="shared" si="29"/>
        <v>1226.6099999999999</v>
      </c>
      <c r="G138" s="101">
        <f t="shared" si="30"/>
        <v>1471.93</v>
      </c>
    </row>
    <row r="139" spans="1:7" ht="15.6" x14ac:dyDescent="0.3">
      <c r="A139" s="65">
        <f t="shared" si="31"/>
        <v>112</v>
      </c>
      <c r="B139" s="66" t="s">
        <v>259</v>
      </c>
      <c r="C139" s="65" t="s">
        <v>193</v>
      </c>
      <c r="D139" s="76">
        <f>25.7*1.015</f>
        <v>26.085499999999996</v>
      </c>
      <c r="E139" s="171">
        <v>6114</v>
      </c>
      <c r="F139" s="101">
        <f t="shared" si="29"/>
        <v>159486.75</v>
      </c>
      <c r="G139" s="101">
        <f t="shared" si="30"/>
        <v>191384.1</v>
      </c>
    </row>
    <row r="140" spans="1:7" ht="15.6" x14ac:dyDescent="0.3">
      <c r="A140" s="65">
        <f t="shared" si="31"/>
        <v>113</v>
      </c>
      <c r="B140" s="66" t="s">
        <v>260</v>
      </c>
      <c r="C140" s="65" t="s">
        <v>193</v>
      </c>
      <c r="D140" s="75">
        <f>7.3*1.02</f>
        <v>7.4459999999999997</v>
      </c>
      <c r="E140" s="171">
        <v>5060</v>
      </c>
      <c r="F140" s="101">
        <f t="shared" si="29"/>
        <v>37676.76</v>
      </c>
      <c r="G140" s="101">
        <f t="shared" si="30"/>
        <v>45212.11</v>
      </c>
    </row>
    <row r="141" spans="1:7" ht="15.6" x14ac:dyDescent="0.3">
      <c r="A141" s="65">
        <f t="shared" si="31"/>
        <v>114</v>
      </c>
      <c r="B141" s="66" t="s">
        <v>349</v>
      </c>
      <c r="C141" s="73" t="s">
        <v>254</v>
      </c>
      <c r="D141" s="75">
        <v>43.064</v>
      </c>
      <c r="E141" s="171">
        <v>440</v>
      </c>
      <c r="F141" s="101">
        <f t="shared" si="29"/>
        <v>18948.16</v>
      </c>
      <c r="G141" s="101">
        <f t="shared" si="30"/>
        <v>22737.79</v>
      </c>
    </row>
    <row r="142" spans="1:7" ht="15.6" x14ac:dyDescent="0.3">
      <c r="A142" s="65">
        <f t="shared" si="31"/>
        <v>115</v>
      </c>
      <c r="B142" s="66" t="s">
        <v>350</v>
      </c>
      <c r="C142" s="73" t="s">
        <v>254</v>
      </c>
      <c r="D142" s="67">
        <v>645.96</v>
      </c>
      <c r="E142" s="171">
        <v>41</v>
      </c>
      <c r="F142" s="101">
        <f t="shared" si="29"/>
        <v>26484.36</v>
      </c>
      <c r="G142" s="101">
        <f t="shared" si="30"/>
        <v>31781.23</v>
      </c>
    </row>
    <row r="143" spans="1:7" ht="27.6" x14ac:dyDescent="0.3">
      <c r="A143" s="65">
        <f t="shared" si="31"/>
        <v>116</v>
      </c>
      <c r="B143" s="66" t="s">
        <v>262</v>
      </c>
      <c r="C143" s="65" t="s">
        <v>243</v>
      </c>
      <c r="D143" s="70">
        <v>1</v>
      </c>
      <c r="E143" s="181">
        <v>55000.000000000007</v>
      </c>
      <c r="F143" s="101">
        <f t="shared" si="29"/>
        <v>55000</v>
      </c>
      <c r="G143" s="101">
        <f t="shared" si="30"/>
        <v>66000</v>
      </c>
    </row>
    <row r="144" spans="1:7" x14ac:dyDescent="0.3">
      <c r="A144" s="177"/>
      <c r="B144" s="537" t="s">
        <v>364</v>
      </c>
      <c r="C144" s="538"/>
      <c r="D144" s="538"/>
      <c r="E144" s="178"/>
      <c r="F144" s="179"/>
      <c r="G144" s="180"/>
    </row>
    <row r="145" spans="1:8" ht="21" customHeight="1" x14ac:dyDescent="0.3">
      <c r="A145" s="65"/>
      <c r="B145" s="61" t="s">
        <v>365</v>
      </c>
      <c r="C145" s="73"/>
      <c r="D145" s="74"/>
      <c r="E145" s="68"/>
      <c r="F145" s="69"/>
      <c r="G145" s="55"/>
    </row>
    <row r="146" spans="1:8" ht="20.25" customHeight="1" x14ac:dyDescent="0.3">
      <c r="A146" s="65">
        <f>A143+1</f>
        <v>117</v>
      </c>
      <c r="B146" s="66" t="s">
        <v>366</v>
      </c>
      <c r="C146" s="65" t="s">
        <v>193</v>
      </c>
      <c r="D146" s="70">
        <v>281</v>
      </c>
      <c r="E146" s="171">
        <v>1581</v>
      </c>
      <c r="F146" s="101">
        <f t="shared" ref="F146:F150" si="32">ROUND(E146*D146,2)</f>
        <v>444261</v>
      </c>
      <c r="G146" s="101">
        <f t="shared" ref="G146:G150" si="33">ROUND(F146*1.2,2)</f>
        <v>533113.19999999995</v>
      </c>
    </row>
    <row r="147" spans="1:8" ht="20.25" customHeight="1" x14ac:dyDescent="0.3">
      <c r="A147" s="65">
        <f>A146+1</f>
        <v>118</v>
      </c>
      <c r="B147" s="66" t="s">
        <v>367</v>
      </c>
      <c r="C147" s="73" t="s">
        <v>193</v>
      </c>
      <c r="D147" s="67">
        <v>141.69999999999999</v>
      </c>
      <c r="E147" s="171">
        <v>4006</v>
      </c>
      <c r="F147" s="101">
        <f t="shared" si="32"/>
        <v>567650.19999999995</v>
      </c>
      <c r="G147" s="101">
        <f t="shared" si="33"/>
        <v>681180.24</v>
      </c>
    </row>
    <row r="148" spans="1:8" ht="15.6" x14ac:dyDescent="0.3">
      <c r="A148" s="65">
        <f t="shared" ref="A148:A150" si="34">A147+1</f>
        <v>119</v>
      </c>
      <c r="B148" s="66" t="s">
        <v>368</v>
      </c>
      <c r="C148" s="73" t="s">
        <v>193</v>
      </c>
      <c r="D148" s="67">
        <v>71.5</v>
      </c>
      <c r="E148" s="171">
        <v>4428</v>
      </c>
      <c r="F148" s="101">
        <f t="shared" si="32"/>
        <v>316602</v>
      </c>
      <c r="G148" s="101">
        <f t="shared" si="33"/>
        <v>379922.4</v>
      </c>
    </row>
    <row r="149" spans="1:8" ht="19.5" customHeight="1" x14ac:dyDescent="0.3">
      <c r="A149" s="65">
        <f t="shared" si="34"/>
        <v>120</v>
      </c>
      <c r="B149" s="66" t="s">
        <v>369</v>
      </c>
      <c r="C149" s="65" t="s">
        <v>239</v>
      </c>
      <c r="D149" s="67">
        <v>104.8</v>
      </c>
      <c r="E149" s="171">
        <v>4638</v>
      </c>
      <c r="F149" s="101">
        <f t="shared" si="32"/>
        <v>486062.4</v>
      </c>
      <c r="G149" s="101">
        <f t="shared" si="33"/>
        <v>583274.88</v>
      </c>
    </row>
    <row r="150" spans="1:8" ht="15.6" x14ac:dyDescent="0.3">
      <c r="A150" s="65">
        <f t="shared" si="34"/>
        <v>121</v>
      </c>
      <c r="B150" s="66" t="s">
        <v>370</v>
      </c>
      <c r="C150" s="65" t="s">
        <v>239</v>
      </c>
      <c r="D150" s="67">
        <v>1.4</v>
      </c>
      <c r="E150" s="171">
        <v>26354</v>
      </c>
      <c r="F150" s="101">
        <f t="shared" si="32"/>
        <v>36895.599999999999</v>
      </c>
      <c r="G150" s="101">
        <f t="shared" si="33"/>
        <v>44274.720000000001</v>
      </c>
    </row>
    <row r="151" spans="1:8" ht="15.6" x14ac:dyDescent="0.3">
      <c r="A151" s="214"/>
      <c r="B151" s="215" t="s">
        <v>927</v>
      </c>
      <c r="C151" s="216"/>
      <c r="D151" s="217"/>
      <c r="E151" s="218"/>
      <c r="F151" s="219"/>
      <c r="G151" s="219"/>
      <c r="H151" s="52"/>
    </row>
    <row r="152" spans="1:8" ht="15.6" x14ac:dyDescent="0.3">
      <c r="A152" s="214">
        <f>A150+1</f>
        <v>122</v>
      </c>
      <c r="B152" s="220" t="s">
        <v>930</v>
      </c>
      <c r="C152" s="214" t="s">
        <v>220</v>
      </c>
      <c r="D152" s="217">
        <v>3</v>
      </c>
      <c r="E152" s="218"/>
      <c r="F152" s="219">
        <f t="shared" ref="F152:F153" si="35">ROUND(E152*D152,2)</f>
        <v>0</v>
      </c>
      <c r="G152" s="219">
        <f t="shared" ref="G152:G153" si="36">ROUND(F152*1.2,2)</f>
        <v>0</v>
      </c>
      <c r="H152" s="52"/>
    </row>
    <row r="153" spans="1:8" ht="15.6" x14ac:dyDescent="0.3">
      <c r="A153" s="214">
        <f>A152+1</f>
        <v>123</v>
      </c>
      <c r="B153" s="220" t="s">
        <v>931</v>
      </c>
      <c r="C153" s="214" t="s">
        <v>220</v>
      </c>
      <c r="D153" s="217">
        <v>3</v>
      </c>
      <c r="E153" s="218"/>
      <c r="F153" s="219">
        <f t="shared" si="35"/>
        <v>0</v>
      </c>
      <c r="G153" s="219">
        <f t="shared" si="36"/>
        <v>0</v>
      </c>
      <c r="H153" s="52"/>
    </row>
    <row r="154" spans="1:8" ht="19.5" customHeight="1" x14ac:dyDescent="0.3">
      <c r="A154" s="65"/>
      <c r="B154" s="61" t="s">
        <v>371</v>
      </c>
      <c r="C154" s="73"/>
      <c r="D154" s="67"/>
      <c r="E154" s="171"/>
      <c r="F154" s="69"/>
      <c r="G154" s="55"/>
    </row>
    <row r="155" spans="1:8" ht="18.75" customHeight="1" x14ac:dyDescent="0.3">
      <c r="A155" s="65">
        <f>A153+1</f>
        <v>124</v>
      </c>
      <c r="B155" s="66" t="s">
        <v>372</v>
      </c>
      <c r="C155" s="73" t="s">
        <v>254</v>
      </c>
      <c r="D155" s="67">
        <v>1.3</v>
      </c>
      <c r="E155" s="171">
        <v>486</v>
      </c>
      <c r="F155" s="101">
        <f t="shared" ref="F155:F158" si="37">ROUND(E155*D155,2)</f>
        <v>631.79999999999995</v>
      </c>
      <c r="G155" s="101">
        <f t="shared" ref="G155:G182" si="38">ROUND(F155*1.2,2)</f>
        <v>758.16</v>
      </c>
    </row>
    <row r="156" spans="1:8" ht="18.75" customHeight="1" x14ac:dyDescent="0.3">
      <c r="A156" s="65">
        <f>A155+1</f>
        <v>125</v>
      </c>
      <c r="B156" s="66" t="s">
        <v>373</v>
      </c>
      <c r="C156" s="73" t="s">
        <v>254</v>
      </c>
      <c r="D156" s="67">
        <v>1</v>
      </c>
      <c r="E156" s="171">
        <v>648</v>
      </c>
      <c r="F156" s="101">
        <f t="shared" si="37"/>
        <v>648</v>
      </c>
      <c r="G156" s="101">
        <f t="shared" si="38"/>
        <v>777.6</v>
      </c>
    </row>
    <row r="157" spans="1:8" ht="18.75" customHeight="1" x14ac:dyDescent="0.3">
      <c r="A157" s="65">
        <f t="shared" ref="A157:A158" si="39">A156+1</f>
        <v>126</v>
      </c>
      <c r="B157" s="66" t="s">
        <v>374</v>
      </c>
      <c r="C157" s="73" t="s">
        <v>254</v>
      </c>
      <c r="D157" s="67">
        <v>0.9</v>
      </c>
      <c r="E157" s="171">
        <v>1265</v>
      </c>
      <c r="F157" s="101">
        <f t="shared" si="37"/>
        <v>1138.5</v>
      </c>
      <c r="G157" s="101">
        <f t="shared" si="38"/>
        <v>1366.2</v>
      </c>
    </row>
    <row r="158" spans="1:8" ht="27.6" x14ac:dyDescent="0.3">
      <c r="A158" s="65">
        <f t="shared" si="39"/>
        <v>127</v>
      </c>
      <c r="B158" s="66" t="s">
        <v>262</v>
      </c>
      <c r="C158" s="65" t="s">
        <v>243</v>
      </c>
      <c r="D158" s="70">
        <v>1</v>
      </c>
      <c r="E158" s="181">
        <v>22000</v>
      </c>
      <c r="F158" s="101">
        <f t="shared" si="37"/>
        <v>22000</v>
      </c>
      <c r="G158" s="101">
        <f t="shared" si="38"/>
        <v>26400</v>
      </c>
    </row>
    <row r="159" spans="1:8" ht="22.5" customHeight="1" x14ac:dyDescent="0.3">
      <c r="A159" s="173"/>
      <c r="B159" s="537" t="s">
        <v>375</v>
      </c>
      <c r="C159" s="538"/>
      <c r="D159" s="538"/>
      <c r="E159" s="174"/>
      <c r="F159" s="175"/>
      <c r="G159" s="176"/>
    </row>
    <row r="160" spans="1:8" ht="27.6" x14ac:dyDescent="0.3">
      <c r="A160" s="65">
        <f>A158+1</f>
        <v>128</v>
      </c>
      <c r="B160" s="66" t="s">
        <v>376</v>
      </c>
      <c r="C160" s="73" t="s">
        <v>194</v>
      </c>
      <c r="D160" s="70">
        <v>29</v>
      </c>
      <c r="E160" s="171">
        <v>4301</v>
      </c>
      <c r="F160" s="101">
        <f t="shared" ref="F160:F182" si="40">ROUND(E160*D160,2)</f>
        <v>124729</v>
      </c>
      <c r="G160" s="101">
        <f t="shared" si="38"/>
        <v>149674.79999999999</v>
      </c>
    </row>
    <row r="161" spans="1:7" ht="27.6" x14ac:dyDescent="0.3">
      <c r="A161" s="65">
        <f>A160+1</f>
        <v>129</v>
      </c>
      <c r="B161" s="66" t="s">
        <v>377</v>
      </c>
      <c r="C161" s="73" t="s">
        <v>194</v>
      </c>
      <c r="D161" s="67">
        <f>27*1.01</f>
        <v>27.27</v>
      </c>
      <c r="E161" s="171">
        <v>7337.0000000000009</v>
      </c>
      <c r="F161" s="101">
        <f t="shared" si="40"/>
        <v>200079.99</v>
      </c>
      <c r="G161" s="101">
        <f t="shared" si="38"/>
        <v>240095.99</v>
      </c>
    </row>
    <row r="162" spans="1:7" ht="15.6" x14ac:dyDescent="0.3">
      <c r="A162" s="65">
        <f t="shared" ref="A162:A182" si="41">A161+1</f>
        <v>130</v>
      </c>
      <c r="B162" s="66" t="s">
        <v>378</v>
      </c>
      <c r="C162" s="73" t="s">
        <v>220</v>
      </c>
      <c r="D162" s="70">
        <v>1</v>
      </c>
      <c r="E162" s="171">
        <v>10753</v>
      </c>
      <c r="F162" s="101">
        <f t="shared" si="40"/>
        <v>10753</v>
      </c>
      <c r="G162" s="101">
        <f t="shared" si="38"/>
        <v>12903.6</v>
      </c>
    </row>
    <row r="163" spans="1:7" ht="15.6" x14ac:dyDescent="0.3">
      <c r="A163" s="65">
        <f t="shared" si="41"/>
        <v>131</v>
      </c>
      <c r="B163" s="66" t="s">
        <v>379</v>
      </c>
      <c r="C163" s="73" t="s">
        <v>220</v>
      </c>
      <c r="D163" s="70">
        <v>1</v>
      </c>
      <c r="E163" s="171">
        <v>11385.000000000002</v>
      </c>
      <c r="F163" s="101">
        <f t="shared" si="40"/>
        <v>11385</v>
      </c>
      <c r="G163" s="101">
        <f t="shared" si="38"/>
        <v>13662</v>
      </c>
    </row>
    <row r="164" spans="1:7" ht="15.6" x14ac:dyDescent="0.3">
      <c r="A164" s="65">
        <f t="shared" si="41"/>
        <v>132</v>
      </c>
      <c r="B164" s="66" t="s">
        <v>380</v>
      </c>
      <c r="C164" s="73" t="s">
        <v>220</v>
      </c>
      <c r="D164" s="70">
        <v>1</v>
      </c>
      <c r="E164" s="171">
        <v>10247</v>
      </c>
      <c r="F164" s="101">
        <f t="shared" si="40"/>
        <v>10247</v>
      </c>
      <c r="G164" s="101">
        <f t="shared" si="38"/>
        <v>12296.4</v>
      </c>
    </row>
    <row r="165" spans="1:7" ht="15.6" x14ac:dyDescent="0.3">
      <c r="A165" s="65">
        <f t="shared" si="41"/>
        <v>133</v>
      </c>
      <c r="B165" s="66" t="s">
        <v>381</v>
      </c>
      <c r="C165" s="73" t="s">
        <v>220</v>
      </c>
      <c r="D165" s="70">
        <v>3</v>
      </c>
      <c r="E165" s="171">
        <v>11006</v>
      </c>
      <c r="F165" s="101">
        <f t="shared" si="40"/>
        <v>33018</v>
      </c>
      <c r="G165" s="101">
        <f t="shared" si="38"/>
        <v>39621.599999999999</v>
      </c>
    </row>
    <row r="166" spans="1:7" ht="15.6" x14ac:dyDescent="0.3">
      <c r="A166" s="65">
        <f t="shared" si="41"/>
        <v>134</v>
      </c>
      <c r="B166" s="66" t="s">
        <v>382</v>
      </c>
      <c r="C166" s="73" t="s">
        <v>220</v>
      </c>
      <c r="D166" s="70">
        <v>1</v>
      </c>
      <c r="E166" s="171">
        <v>6199</v>
      </c>
      <c r="F166" s="101">
        <f t="shared" si="40"/>
        <v>6199</v>
      </c>
      <c r="G166" s="101">
        <f t="shared" si="38"/>
        <v>7438.8</v>
      </c>
    </row>
    <row r="167" spans="1:7" ht="15.6" x14ac:dyDescent="0.3">
      <c r="A167" s="65">
        <f t="shared" si="41"/>
        <v>135</v>
      </c>
      <c r="B167" s="66" t="s">
        <v>383</v>
      </c>
      <c r="C167" s="73" t="s">
        <v>220</v>
      </c>
      <c r="D167" s="70">
        <v>1</v>
      </c>
      <c r="E167" s="171">
        <v>15180.000000000002</v>
      </c>
      <c r="F167" s="101">
        <f t="shared" si="40"/>
        <v>15180</v>
      </c>
      <c r="G167" s="101">
        <f t="shared" si="38"/>
        <v>18216</v>
      </c>
    </row>
    <row r="168" spans="1:7" ht="27.6" x14ac:dyDescent="0.3">
      <c r="A168" s="65">
        <f t="shared" si="41"/>
        <v>136</v>
      </c>
      <c r="B168" s="66" t="s">
        <v>384</v>
      </c>
      <c r="C168" s="73" t="s">
        <v>220</v>
      </c>
      <c r="D168" s="70">
        <v>1</v>
      </c>
      <c r="E168" s="171">
        <v>3669</v>
      </c>
      <c r="F168" s="101">
        <f t="shared" si="40"/>
        <v>3669</v>
      </c>
      <c r="G168" s="101">
        <f t="shared" si="38"/>
        <v>4402.8</v>
      </c>
    </row>
    <row r="169" spans="1:7" ht="27.6" x14ac:dyDescent="0.3">
      <c r="A169" s="65">
        <f t="shared" si="41"/>
        <v>137</v>
      </c>
      <c r="B169" s="66" t="s">
        <v>385</v>
      </c>
      <c r="C169" s="73" t="s">
        <v>254</v>
      </c>
      <c r="D169" s="67">
        <v>16.13</v>
      </c>
      <c r="E169" s="171">
        <v>702</v>
      </c>
      <c r="F169" s="101">
        <f t="shared" si="40"/>
        <v>11323.26</v>
      </c>
      <c r="G169" s="101">
        <f t="shared" si="38"/>
        <v>13587.91</v>
      </c>
    </row>
    <row r="170" spans="1:7" ht="15.6" x14ac:dyDescent="0.3">
      <c r="A170" s="65">
        <f t="shared" si="41"/>
        <v>138</v>
      </c>
      <c r="B170" s="66" t="s">
        <v>386</v>
      </c>
      <c r="C170" s="73" t="s">
        <v>387</v>
      </c>
      <c r="D170" s="70">
        <v>50</v>
      </c>
      <c r="E170" s="171">
        <v>249</v>
      </c>
      <c r="F170" s="101">
        <f t="shared" si="40"/>
        <v>12450</v>
      </c>
      <c r="G170" s="101">
        <f t="shared" si="38"/>
        <v>14940</v>
      </c>
    </row>
    <row r="171" spans="1:7" ht="15.6" x14ac:dyDescent="0.3">
      <c r="A171" s="65">
        <f t="shared" si="41"/>
        <v>139</v>
      </c>
      <c r="B171" s="66" t="s">
        <v>388</v>
      </c>
      <c r="C171" s="73" t="s">
        <v>254</v>
      </c>
      <c r="D171" s="70">
        <v>75</v>
      </c>
      <c r="E171" s="171">
        <v>312</v>
      </c>
      <c r="F171" s="101">
        <f t="shared" si="40"/>
        <v>23400</v>
      </c>
      <c r="G171" s="101">
        <f t="shared" si="38"/>
        <v>28080</v>
      </c>
    </row>
    <row r="172" spans="1:7" ht="15.6" x14ac:dyDescent="0.3">
      <c r="A172" s="65">
        <f t="shared" si="41"/>
        <v>140</v>
      </c>
      <c r="B172" s="66" t="s">
        <v>389</v>
      </c>
      <c r="C172" s="73" t="s">
        <v>193</v>
      </c>
      <c r="D172" s="76">
        <f>3.5*1.015</f>
        <v>3.5524999999999998</v>
      </c>
      <c r="E172" s="171">
        <v>6114</v>
      </c>
      <c r="F172" s="101">
        <f t="shared" si="40"/>
        <v>21719.99</v>
      </c>
      <c r="G172" s="101">
        <f t="shared" si="38"/>
        <v>26063.99</v>
      </c>
    </row>
    <row r="173" spans="1:7" ht="15.6" x14ac:dyDescent="0.3">
      <c r="A173" s="65">
        <f t="shared" si="41"/>
        <v>141</v>
      </c>
      <c r="B173" s="66" t="s">
        <v>390</v>
      </c>
      <c r="C173" s="73" t="s">
        <v>193</v>
      </c>
      <c r="D173" s="71">
        <f>12*1.1</f>
        <v>13.200000000000001</v>
      </c>
      <c r="E173" s="171">
        <v>1265</v>
      </c>
      <c r="F173" s="101">
        <f t="shared" si="40"/>
        <v>16698</v>
      </c>
      <c r="G173" s="101">
        <f t="shared" si="38"/>
        <v>20037.599999999999</v>
      </c>
    </row>
    <row r="174" spans="1:7" ht="15.6" x14ac:dyDescent="0.3">
      <c r="A174" s="65">
        <f t="shared" si="41"/>
        <v>142</v>
      </c>
      <c r="B174" s="66" t="s">
        <v>391</v>
      </c>
      <c r="C174" s="73" t="s">
        <v>193</v>
      </c>
      <c r="D174" s="71">
        <f>0.8*1.2</f>
        <v>0.96</v>
      </c>
      <c r="E174" s="171">
        <v>1368</v>
      </c>
      <c r="F174" s="101">
        <f t="shared" si="40"/>
        <v>1313.28</v>
      </c>
      <c r="G174" s="101">
        <f t="shared" si="38"/>
        <v>1575.94</v>
      </c>
    </row>
    <row r="175" spans="1:7" ht="15.6" x14ac:dyDescent="0.3">
      <c r="A175" s="65">
        <f t="shared" si="41"/>
        <v>143</v>
      </c>
      <c r="B175" s="66" t="s">
        <v>392</v>
      </c>
      <c r="C175" s="73" t="s">
        <v>254</v>
      </c>
      <c r="D175" s="70">
        <v>17</v>
      </c>
      <c r="E175" s="171">
        <v>85</v>
      </c>
      <c r="F175" s="101">
        <f t="shared" si="40"/>
        <v>1445</v>
      </c>
      <c r="G175" s="101">
        <f t="shared" si="38"/>
        <v>1734</v>
      </c>
    </row>
    <row r="176" spans="1:7" ht="15.6" x14ac:dyDescent="0.3">
      <c r="A176" s="65">
        <f t="shared" si="41"/>
        <v>144</v>
      </c>
      <c r="B176" s="66" t="s">
        <v>393</v>
      </c>
      <c r="C176" s="73" t="s">
        <v>254</v>
      </c>
      <c r="D176" s="70">
        <v>4</v>
      </c>
      <c r="E176" s="171">
        <v>85</v>
      </c>
      <c r="F176" s="101">
        <f t="shared" si="40"/>
        <v>340</v>
      </c>
      <c r="G176" s="101">
        <f t="shared" si="38"/>
        <v>408</v>
      </c>
    </row>
    <row r="177" spans="1:10" ht="15.6" x14ac:dyDescent="0.3">
      <c r="A177" s="65">
        <f t="shared" si="41"/>
        <v>145</v>
      </c>
      <c r="B177" s="66" t="s">
        <v>394</v>
      </c>
      <c r="C177" s="73" t="s">
        <v>254</v>
      </c>
      <c r="D177" s="71">
        <v>4.5999999999999996</v>
      </c>
      <c r="E177" s="171">
        <v>104</v>
      </c>
      <c r="F177" s="101">
        <f t="shared" si="40"/>
        <v>478.4</v>
      </c>
      <c r="G177" s="101">
        <f t="shared" si="38"/>
        <v>574.08000000000004</v>
      </c>
    </row>
    <row r="178" spans="1:10" ht="15.6" x14ac:dyDescent="0.3">
      <c r="A178" s="65">
        <f t="shared" si="41"/>
        <v>146</v>
      </c>
      <c r="B178" s="66" t="s">
        <v>395</v>
      </c>
      <c r="C178" s="73" t="s">
        <v>254</v>
      </c>
      <c r="D178" s="67">
        <v>2.82</v>
      </c>
      <c r="E178" s="171">
        <v>95</v>
      </c>
      <c r="F178" s="101">
        <f t="shared" si="40"/>
        <v>267.89999999999998</v>
      </c>
      <c r="G178" s="101">
        <f t="shared" si="38"/>
        <v>321.48</v>
      </c>
    </row>
    <row r="179" spans="1:10" ht="15.6" x14ac:dyDescent="0.3">
      <c r="A179" s="65">
        <f t="shared" si="41"/>
        <v>147</v>
      </c>
      <c r="B179" s="66" t="s">
        <v>241</v>
      </c>
      <c r="C179" s="73" t="s">
        <v>193</v>
      </c>
      <c r="D179" s="67">
        <v>1.85</v>
      </c>
      <c r="E179" s="171">
        <v>6072.0000000000009</v>
      </c>
      <c r="F179" s="101">
        <f t="shared" si="40"/>
        <v>11233.2</v>
      </c>
      <c r="G179" s="101">
        <f t="shared" si="38"/>
        <v>13479.84</v>
      </c>
    </row>
    <row r="180" spans="1:10" ht="15.6" x14ac:dyDescent="0.3">
      <c r="A180" s="65">
        <f t="shared" si="41"/>
        <v>148</v>
      </c>
      <c r="B180" s="66" t="s">
        <v>396</v>
      </c>
      <c r="C180" s="73" t="s">
        <v>193</v>
      </c>
      <c r="D180" s="67">
        <v>0.28999999999999998</v>
      </c>
      <c r="E180" s="171">
        <v>5313</v>
      </c>
      <c r="F180" s="101">
        <f t="shared" si="40"/>
        <v>1540.77</v>
      </c>
      <c r="G180" s="101">
        <f t="shared" si="38"/>
        <v>1848.92</v>
      </c>
    </row>
    <row r="181" spans="1:10" ht="15.6" x14ac:dyDescent="0.3">
      <c r="A181" s="65">
        <f t="shared" si="41"/>
        <v>149</v>
      </c>
      <c r="B181" s="66" t="s">
        <v>397</v>
      </c>
      <c r="C181" s="73" t="s">
        <v>193</v>
      </c>
      <c r="D181" s="67">
        <v>0.22</v>
      </c>
      <c r="E181" s="171">
        <v>2425</v>
      </c>
      <c r="F181" s="101">
        <f t="shared" si="40"/>
        <v>533.5</v>
      </c>
      <c r="G181" s="101">
        <f t="shared" si="38"/>
        <v>640.20000000000005</v>
      </c>
    </row>
    <row r="182" spans="1:10" ht="27.6" x14ac:dyDescent="0.3">
      <c r="A182" s="65">
        <f t="shared" si="41"/>
        <v>150</v>
      </c>
      <c r="B182" s="66" t="s">
        <v>398</v>
      </c>
      <c r="C182" s="65" t="s">
        <v>243</v>
      </c>
      <c r="D182" s="70">
        <v>1</v>
      </c>
      <c r="E182" s="171">
        <v>55000.000000000007</v>
      </c>
      <c r="F182" s="101">
        <f t="shared" si="40"/>
        <v>55000</v>
      </c>
      <c r="G182" s="101">
        <f t="shared" si="38"/>
        <v>66000</v>
      </c>
    </row>
    <row r="183" spans="1:10" ht="21.75" customHeight="1" x14ac:dyDescent="0.3">
      <c r="A183" s="173"/>
      <c r="B183" s="537" t="s">
        <v>399</v>
      </c>
      <c r="C183" s="538"/>
      <c r="D183" s="538"/>
      <c r="E183" s="174"/>
      <c r="F183" s="175"/>
      <c r="G183" s="176"/>
    </row>
    <row r="184" spans="1:10" x14ac:dyDescent="0.3">
      <c r="A184" s="65"/>
      <c r="B184" s="72" t="s">
        <v>1067</v>
      </c>
      <c r="C184" s="65"/>
      <c r="D184" s="81"/>
      <c r="E184" s="68"/>
      <c r="F184" s="69"/>
      <c r="G184" s="55"/>
    </row>
    <row r="185" spans="1:10" ht="15.6" x14ac:dyDescent="0.3">
      <c r="A185" s="65">
        <f>A182+1</f>
        <v>151</v>
      </c>
      <c r="B185" s="66" t="s">
        <v>400</v>
      </c>
      <c r="C185" s="65" t="s">
        <v>220</v>
      </c>
      <c r="D185" s="237">
        <v>11</v>
      </c>
      <c r="E185" s="171">
        <v>17695</v>
      </c>
      <c r="F185" s="101">
        <f t="shared" ref="F185:F189" si="42">ROUND(E185*D185,2)</f>
        <v>194645</v>
      </c>
      <c r="G185" s="101">
        <f t="shared" ref="G185:G189" si="43">ROUND(F185*1.2,2)</f>
        <v>233574</v>
      </c>
      <c r="I185" s="235"/>
      <c r="J185" s="238"/>
    </row>
    <row r="186" spans="1:10" ht="15.6" x14ac:dyDescent="0.3">
      <c r="A186" s="65">
        <f>A185+1</f>
        <v>152</v>
      </c>
      <c r="B186" s="66" t="s">
        <v>987</v>
      </c>
      <c r="C186" s="65" t="s">
        <v>220</v>
      </c>
      <c r="D186" s="237">
        <v>43</v>
      </c>
      <c r="E186" s="171">
        <v>5149</v>
      </c>
      <c r="F186" s="101">
        <f t="shared" si="42"/>
        <v>221407</v>
      </c>
      <c r="G186" s="101">
        <f t="shared" si="43"/>
        <v>265688.40000000002</v>
      </c>
      <c r="I186" s="235"/>
      <c r="J186" s="238"/>
    </row>
    <row r="187" spans="1:10" ht="19.5" customHeight="1" x14ac:dyDescent="0.3">
      <c r="A187" s="86">
        <f t="shared" ref="A187" si="44">A186+1</f>
        <v>153</v>
      </c>
      <c r="B187" s="66" t="s">
        <v>401</v>
      </c>
      <c r="C187" s="65" t="s">
        <v>220</v>
      </c>
      <c r="D187" s="70">
        <v>14</v>
      </c>
      <c r="E187" s="171">
        <v>2882</v>
      </c>
      <c r="F187" s="101">
        <f t="shared" si="42"/>
        <v>40348</v>
      </c>
      <c r="G187" s="101">
        <f t="shared" si="43"/>
        <v>48417.599999999999</v>
      </c>
      <c r="I187" s="235"/>
      <c r="J187" s="238"/>
    </row>
    <row r="188" spans="1:10" ht="19.5" customHeight="1" x14ac:dyDescent="0.3">
      <c r="A188" s="214">
        <f>A187+1</f>
        <v>154</v>
      </c>
      <c r="B188" s="222" t="s">
        <v>1068</v>
      </c>
      <c r="C188" s="214" t="s">
        <v>193</v>
      </c>
      <c r="D188" s="233">
        <v>0.02</v>
      </c>
      <c r="E188" s="218">
        <v>0</v>
      </c>
      <c r="F188" s="219">
        <f t="shared" si="42"/>
        <v>0</v>
      </c>
      <c r="G188" s="219">
        <f t="shared" si="43"/>
        <v>0</v>
      </c>
      <c r="I188" s="232"/>
      <c r="J188" s="238"/>
    </row>
    <row r="189" spans="1:10" ht="19.5" customHeight="1" x14ac:dyDescent="0.3">
      <c r="A189" s="86">
        <f>A188+1</f>
        <v>155</v>
      </c>
      <c r="B189" s="243" t="s">
        <v>391</v>
      </c>
      <c r="C189" s="86" t="s">
        <v>193</v>
      </c>
      <c r="D189" s="259">
        <v>5.63</v>
      </c>
      <c r="E189" s="170">
        <v>1368</v>
      </c>
      <c r="F189" s="102">
        <f t="shared" si="42"/>
        <v>7701.84</v>
      </c>
      <c r="G189" s="102">
        <f t="shared" si="43"/>
        <v>9242.2099999999991</v>
      </c>
      <c r="I189" s="232"/>
      <c r="J189" s="238"/>
    </row>
    <row r="190" spans="1:10" ht="19.5" customHeight="1" x14ac:dyDescent="0.3">
      <c r="A190" s="86">
        <f t="shared" ref="A190:A191" si="45">A189+1</f>
        <v>156</v>
      </c>
      <c r="B190" s="243" t="s">
        <v>1070</v>
      </c>
      <c r="C190" s="86" t="s">
        <v>387</v>
      </c>
      <c r="D190" s="237">
        <f>43*20/16</f>
        <v>53.75</v>
      </c>
      <c r="E190" s="170">
        <v>250</v>
      </c>
      <c r="F190" s="102">
        <f t="shared" ref="F190:F191" si="46">ROUND(E190*D190,2)</f>
        <v>13437.5</v>
      </c>
      <c r="G190" s="102">
        <f t="shared" ref="G190:G191" si="47">ROUND(F190*1.2,2)</f>
        <v>16125</v>
      </c>
      <c r="I190" s="232"/>
      <c r="J190" s="238"/>
    </row>
    <row r="191" spans="1:10" ht="19.5" customHeight="1" x14ac:dyDescent="0.3">
      <c r="A191" s="86">
        <f t="shared" si="45"/>
        <v>157</v>
      </c>
      <c r="B191" s="243" t="s">
        <v>1069</v>
      </c>
      <c r="C191" s="86" t="s">
        <v>254</v>
      </c>
      <c r="D191" s="259">
        <v>120.15</v>
      </c>
      <c r="E191" s="170">
        <v>312</v>
      </c>
      <c r="F191" s="102">
        <f t="shared" si="46"/>
        <v>37486.800000000003</v>
      </c>
      <c r="G191" s="102">
        <f t="shared" si="47"/>
        <v>44984.160000000003</v>
      </c>
      <c r="I191" s="232"/>
      <c r="J191" s="238"/>
    </row>
    <row r="192" spans="1:10" ht="19.5" customHeight="1" x14ac:dyDescent="0.3">
      <c r="A192" s="86"/>
      <c r="B192" s="260" t="s">
        <v>1017</v>
      </c>
      <c r="C192" s="86"/>
      <c r="D192" s="261"/>
      <c r="E192" s="170"/>
      <c r="F192" s="102"/>
      <c r="G192" s="102"/>
      <c r="I192" s="232"/>
    </row>
    <row r="193" spans="1:9" ht="19.5" customHeight="1" x14ac:dyDescent="0.3">
      <c r="A193" s="214">
        <f>A191+1</f>
        <v>158</v>
      </c>
      <c r="B193" s="222" t="s">
        <v>1005</v>
      </c>
      <c r="C193" s="214" t="s">
        <v>193</v>
      </c>
      <c r="D193" s="233">
        <v>0.62</v>
      </c>
      <c r="E193" s="218">
        <v>0</v>
      </c>
      <c r="F193" s="219">
        <f t="shared" ref="F193:F196" si="48">ROUND(E193*D193,2)</f>
        <v>0</v>
      </c>
      <c r="G193" s="219">
        <f t="shared" ref="G193:G196" si="49">ROUND(F193*1.2,2)</f>
        <v>0</v>
      </c>
      <c r="I193" s="232"/>
    </row>
    <row r="194" spans="1:9" ht="19.5" customHeight="1" x14ac:dyDescent="0.3">
      <c r="A194" s="86">
        <f>A193+1</f>
        <v>159</v>
      </c>
      <c r="B194" s="243" t="s">
        <v>1020</v>
      </c>
      <c r="C194" s="86" t="s">
        <v>254</v>
      </c>
      <c r="D194" s="262">
        <v>53</v>
      </c>
      <c r="E194" s="170">
        <v>85</v>
      </c>
      <c r="F194" s="102">
        <f t="shared" si="48"/>
        <v>4505</v>
      </c>
      <c r="G194" s="102">
        <f t="shared" si="49"/>
        <v>5406</v>
      </c>
      <c r="I194" s="232"/>
    </row>
    <row r="195" spans="1:9" ht="19.5" customHeight="1" x14ac:dyDescent="0.3">
      <c r="A195" s="86">
        <f t="shared" ref="A195:A196" si="50">A194+1</f>
        <v>160</v>
      </c>
      <c r="B195" s="243" t="s">
        <v>1070</v>
      </c>
      <c r="C195" s="86" t="s">
        <v>387</v>
      </c>
      <c r="D195" s="259">
        <f>0.95*20/16</f>
        <v>1.1875</v>
      </c>
      <c r="E195" s="170">
        <v>250</v>
      </c>
      <c r="F195" s="102">
        <f t="shared" si="48"/>
        <v>296.88</v>
      </c>
      <c r="G195" s="102">
        <f t="shared" si="49"/>
        <v>356.26</v>
      </c>
      <c r="I195" s="232"/>
    </row>
    <row r="196" spans="1:9" ht="19.5" customHeight="1" x14ac:dyDescent="0.3">
      <c r="A196" s="86">
        <f t="shared" si="50"/>
        <v>161</v>
      </c>
      <c r="B196" s="243" t="s">
        <v>1069</v>
      </c>
      <c r="C196" s="86" t="s">
        <v>254</v>
      </c>
      <c r="D196" s="259">
        <v>2.7</v>
      </c>
      <c r="E196" s="170">
        <v>312</v>
      </c>
      <c r="F196" s="102">
        <f t="shared" si="48"/>
        <v>842.4</v>
      </c>
      <c r="G196" s="102">
        <f t="shared" si="49"/>
        <v>1010.88</v>
      </c>
      <c r="I196" s="232"/>
    </row>
    <row r="197" spans="1:9" ht="19.5" customHeight="1" x14ac:dyDescent="0.3">
      <c r="A197" s="86"/>
      <c r="B197" s="260" t="s">
        <v>1072</v>
      </c>
      <c r="C197" s="86"/>
      <c r="D197" s="259"/>
      <c r="E197" s="170"/>
      <c r="F197" s="102"/>
      <c r="G197" s="102"/>
      <c r="I197" s="232"/>
    </row>
    <row r="198" spans="1:9" ht="19.5" customHeight="1" x14ac:dyDescent="0.3">
      <c r="A198" s="86">
        <f>A196+1</f>
        <v>162</v>
      </c>
      <c r="B198" s="243" t="s">
        <v>1073</v>
      </c>
      <c r="C198" s="86" t="s">
        <v>193</v>
      </c>
      <c r="D198" s="259">
        <v>1.5</v>
      </c>
      <c r="E198" s="170">
        <v>1368</v>
      </c>
      <c r="F198" s="102">
        <f t="shared" ref="F198:F199" si="51">ROUND(E198*D198,2)</f>
        <v>2052</v>
      </c>
      <c r="G198" s="102">
        <f t="shared" ref="G198:G199" si="52">ROUND(F198*1.2,2)</f>
        <v>2462.4</v>
      </c>
      <c r="I198" s="232"/>
    </row>
    <row r="199" spans="1:9" ht="19.5" customHeight="1" x14ac:dyDescent="0.3">
      <c r="A199" s="214">
        <f>A198+1</f>
        <v>163</v>
      </c>
      <c r="B199" s="222" t="s">
        <v>1074</v>
      </c>
      <c r="C199" s="214" t="s">
        <v>193</v>
      </c>
      <c r="D199" s="233">
        <f>0.16+0.6</f>
        <v>0.76</v>
      </c>
      <c r="E199" s="218">
        <v>0</v>
      </c>
      <c r="F199" s="219">
        <f t="shared" si="51"/>
        <v>0</v>
      </c>
      <c r="G199" s="219">
        <f t="shared" si="52"/>
        <v>0</v>
      </c>
      <c r="I199" s="232"/>
    </row>
    <row r="200" spans="1:9" ht="19.5" customHeight="1" x14ac:dyDescent="0.3">
      <c r="A200" s="86">
        <f t="shared" ref="A200:A207" si="53">A199+1</f>
        <v>164</v>
      </c>
      <c r="B200" s="243" t="s">
        <v>1075</v>
      </c>
      <c r="C200" s="86" t="s">
        <v>254</v>
      </c>
      <c r="D200" s="237">
        <v>31</v>
      </c>
      <c r="E200" s="170">
        <v>85</v>
      </c>
      <c r="F200" s="102">
        <f t="shared" ref="F200:F204" si="54">ROUND(E200*D200,2)</f>
        <v>2635</v>
      </c>
      <c r="G200" s="102">
        <f t="shared" ref="G200:G204" si="55">ROUND(F200*1.2,2)</f>
        <v>3162</v>
      </c>
      <c r="I200" s="232"/>
    </row>
    <row r="201" spans="1:9" ht="19.5" customHeight="1" x14ac:dyDescent="0.3">
      <c r="A201" s="86">
        <f t="shared" si="53"/>
        <v>165</v>
      </c>
      <c r="B201" s="243" t="s">
        <v>1076</v>
      </c>
      <c r="C201" s="86" t="s">
        <v>254</v>
      </c>
      <c r="D201" s="262">
        <v>5.0999999999999996</v>
      </c>
      <c r="E201" s="170">
        <v>85</v>
      </c>
      <c r="F201" s="102">
        <f t="shared" si="54"/>
        <v>433.5</v>
      </c>
      <c r="G201" s="102">
        <f t="shared" si="55"/>
        <v>520.20000000000005</v>
      </c>
      <c r="I201" s="232"/>
    </row>
    <row r="202" spans="1:9" ht="19.5" customHeight="1" x14ac:dyDescent="0.3">
      <c r="A202" s="86">
        <f t="shared" si="53"/>
        <v>166</v>
      </c>
      <c r="B202" s="243" t="s">
        <v>1070</v>
      </c>
      <c r="C202" s="86" t="s">
        <v>387</v>
      </c>
      <c r="D202" s="259">
        <f>1.13*20/16</f>
        <v>1.4124999999999999</v>
      </c>
      <c r="E202" s="170">
        <v>250</v>
      </c>
      <c r="F202" s="102">
        <f t="shared" si="54"/>
        <v>353.13</v>
      </c>
      <c r="G202" s="102">
        <f t="shared" si="55"/>
        <v>423.76</v>
      </c>
      <c r="I202" s="232"/>
    </row>
    <row r="203" spans="1:9" ht="19.5" customHeight="1" x14ac:dyDescent="0.3">
      <c r="A203" s="86">
        <f t="shared" si="53"/>
        <v>167</v>
      </c>
      <c r="B203" s="243" t="s">
        <v>1069</v>
      </c>
      <c r="C203" s="86" t="s">
        <v>254</v>
      </c>
      <c r="D203" s="259">
        <v>3.2</v>
      </c>
      <c r="E203" s="170">
        <v>312</v>
      </c>
      <c r="F203" s="102">
        <f t="shared" si="54"/>
        <v>998.4</v>
      </c>
      <c r="G203" s="102">
        <f t="shared" si="55"/>
        <v>1198.08</v>
      </c>
      <c r="I203" s="232"/>
    </row>
    <row r="204" spans="1:9" ht="15.75" customHeight="1" x14ac:dyDescent="0.3">
      <c r="A204" s="214">
        <f t="shared" si="53"/>
        <v>168</v>
      </c>
      <c r="B204" s="222" t="s">
        <v>1077</v>
      </c>
      <c r="C204" s="214" t="s">
        <v>193</v>
      </c>
      <c r="D204" s="233">
        <v>0.08</v>
      </c>
      <c r="E204" s="218">
        <v>0</v>
      </c>
      <c r="F204" s="219">
        <f t="shared" si="54"/>
        <v>0</v>
      </c>
      <c r="G204" s="219">
        <f t="shared" si="55"/>
        <v>0</v>
      </c>
      <c r="I204" s="232"/>
    </row>
    <row r="205" spans="1:9" ht="15.75" customHeight="1" x14ac:dyDescent="0.3">
      <c r="A205" s="214">
        <f t="shared" si="53"/>
        <v>169</v>
      </c>
      <c r="B205" s="222" t="s">
        <v>941</v>
      </c>
      <c r="C205" s="214" t="s">
        <v>220</v>
      </c>
      <c r="D205" s="231">
        <v>1</v>
      </c>
      <c r="E205" s="218">
        <v>0</v>
      </c>
      <c r="F205" s="219">
        <f t="shared" ref="F205:F207" si="56">ROUND(E205*D205,2)</f>
        <v>0</v>
      </c>
      <c r="G205" s="219">
        <f t="shared" ref="G205:G207" si="57">ROUND(F205*1.2,2)</f>
        <v>0</v>
      </c>
      <c r="I205" s="232"/>
    </row>
    <row r="206" spans="1:9" ht="15.75" customHeight="1" x14ac:dyDescent="0.3">
      <c r="A206" s="214">
        <f t="shared" si="53"/>
        <v>170</v>
      </c>
      <c r="B206" s="222" t="s">
        <v>942</v>
      </c>
      <c r="C206" s="214" t="s">
        <v>254</v>
      </c>
      <c r="D206" s="233">
        <v>138.83000000000001</v>
      </c>
      <c r="E206" s="218">
        <v>0</v>
      </c>
      <c r="F206" s="219">
        <f t="shared" si="56"/>
        <v>0</v>
      </c>
      <c r="G206" s="219">
        <f t="shared" si="57"/>
        <v>0</v>
      </c>
      <c r="I206" s="232"/>
    </row>
    <row r="207" spans="1:9" ht="15.75" customHeight="1" x14ac:dyDescent="0.3">
      <c r="A207" s="214">
        <f t="shared" si="53"/>
        <v>171</v>
      </c>
      <c r="B207" s="222" t="s">
        <v>1078</v>
      </c>
      <c r="C207" s="214" t="s">
        <v>254</v>
      </c>
      <c r="D207" s="231">
        <v>45</v>
      </c>
      <c r="E207" s="218">
        <v>0</v>
      </c>
      <c r="F207" s="219">
        <f t="shared" si="56"/>
        <v>0</v>
      </c>
      <c r="G207" s="219">
        <f t="shared" si="57"/>
        <v>0</v>
      </c>
      <c r="I207" s="232"/>
    </row>
    <row r="208" spans="1:9" ht="19.5" customHeight="1" x14ac:dyDescent="0.3">
      <c r="A208" s="86"/>
      <c r="B208" s="225" t="s">
        <v>1007</v>
      </c>
      <c r="C208" s="86"/>
      <c r="D208" s="261"/>
      <c r="E208" s="170"/>
      <c r="F208" s="102"/>
      <c r="G208" s="102"/>
      <c r="I208" s="235"/>
    </row>
    <row r="209" spans="1:9" ht="19.5" customHeight="1" x14ac:dyDescent="0.3">
      <c r="A209" s="214">
        <f>A188+1</f>
        <v>155</v>
      </c>
      <c r="B209" s="222" t="s">
        <v>1008</v>
      </c>
      <c r="C209" s="214" t="s">
        <v>220</v>
      </c>
      <c r="D209" s="231">
        <v>2</v>
      </c>
      <c r="E209" s="218">
        <v>0</v>
      </c>
      <c r="F209" s="219">
        <f t="shared" ref="F209:F210" si="58">ROUND(E209*D209,2)</f>
        <v>0</v>
      </c>
      <c r="G209" s="219">
        <f t="shared" ref="G209:G210" si="59">ROUND(F209*1.2,2)</f>
        <v>0</v>
      </c>
      <c r="I209" s="235"/>
    </row>
    <row r="210" spans="1:9" ht="19.5" customHeight="1" x14ac:dyDescent="0.3">
      <c r="A210" s="86">
        <f>A209+1</f>
        <v>156</v>
      </c>
      <c r="B210" s="243" t="s">
        <v>1009</v>
      </c>
      <c r="C210" s="86" t="s">
        <v>220</v>
      </c>
      <c r="D210" s="246" t="s">
        <v>765</v>
      </c>
      <c r="E210" s="245">
        <v>15180.000000000002</v>
      </c>
      <c r="F210" s="102">
        <f t="shared" si="58"/>
        <v>30360</v>
      </c>
      <c r="G210" s="102">
        <f t="shared" si="59"/>
        <v>36432</v>
      </c>
      <c r="I210" s="235"/>
    </row>
    <row r="211" spans="1:9" ht="19.5" customHeight="1" x14ac:dyDescent="0.3">
      <c r="A211" s="214">
        <f>A210+1</f>
        <v>157</v>
      </c>
      <c r="B211" s="222" t="s">
        <v>1010</v>
      </c>
      <c r="C211" s="214" t="s">
        <v>220</v>
      </c>
      <c r="D211" s="234" t="s">
        <v>765</v>
      </c>
      <c r="E211" s="218">
        <v>0</v>
      </c>
      <c r="F211" s="219">
        <f t="shared" ref="F211" si="60">ROUND(E211*D211,2)</f>
        <v>0</v>
      </c>
      <c r="G211" s="219">
        <f t="shared" ref="G211" si="61">ROUND(F211*1.2,2)</f>
        <v>0</v>
      </c>
      <c r="I211" s="235"/>
    </row>
    <row r="212" spans="1:9" ht="19.5" customHeight="1" x14ac:dyDescent="0.3">
      <c r="A212" s="214">
        <f>A211+1</f>
        <v>158</v>
      </c>
      <c r="B212" s="222" t="s">
        <v>1011</v>
      </c>
      <c r="C212" s="214" t="s">
        <v>220</v>
      </c>
      <c r="D212" s="234" t="s">
        <v>765</v>
      </c>
      <c r="E212" s="218">
        <v>0</v>
      </c>
      <c r="F212" s="219">
        <f t="shared" ref="F212" si="62">ROUND(E212*D212,2)</f>
        <v>0</v>
      </c>
      <c r="G212" s="219">
        <f t="shared" ref="G212" si="63">ROUND(F212*1.2,2)</f>
        <v>0</v>
      </c>
      <c r="I212" s="235"/>
    </row>
    <row r="213" spans="1:9" ht="19.5" customHeight="1" x14ac:dyDescent="0.3">
      <c r="A213" s="214">
        <f>A212+1</f>
        <v>159</v>
      </c>
      <c r="B213" s="222" t="s">
        <v>1012</v>
      </c>
      <c r="C213" s="214" t="s">
        <v>220</v>
      </c>
      <c r="D213" s="234" t="s">
        <v>765</v>
      </c>
      <c r="E213" s="218">
        <v>0</v>
      </c>
      <c r="F213" s="219">
        <f t="shared" ref="F213" si="64">ROUND(E213*D213,2)</f>
        <v>0</v>
      </c>
      <c r="G213" s="219">
        <f t="shared" ref="G213" si="65">ROUND(F213*1.2,2)</f>
        <v>0</v>
      </c>
      <c r="I213" s="235"/>
    </row>
    <row r="214" spans="1:9" ht="19.5" customHeight="1" x14ac:dyDescent="0.3">
      <c r="A214" s="214">
        <f>A213+1</f>
        <v>160</v>
      </c>
      <c r="B214" s="222" t="s">
        <v>1013</v>
      </c>
      <c r="C214" s="214" t="s">
        <v>220</v>
      </c>
      <c r="D214" s="234" t="s">
        <v>762</v>
      </c>
      <c r="E214" s="218">
        <v>0</v>
      </c>
      <c r="F214" s="219">
        <f t="shared" ref="F214" si="66">ROUND(E214*D214,2)</f>
        <v>0</v>
      </c>
      <c r="G214" s="219">
        <f t="shared" ref="G214" si="67">ROUND(F214*1.2,2)</f>
        <v>0</v>
      </c>
      <c r="I214" s="235"/>
    </row>
    <row r="215" spans="1:9" ht="19.5" customHeight="1" x14ac:dyDescent="0.3">
      <c r="A215" s="86"/>
      <c r="B215" s="260" t="s">
        <v>1016</v>
      </c>
      <c r="C215" s="86"/>
      <c r="D215" s="261"/>
      <c r="E215" s="170"/>
      <c r="F215" s="102"/>
      <c r="G215" s="102"/>
      <c r="H215" s="209"/>
      <c r="I215" s="232"/>
    </row>
    <row r="216" spans="1:9" ht="19.5" customHeight="1" x14ac:dyDescent="0.3">
      <c r="A216" s="214">
        <f>A214+1</f>
        <v>161</v>
      </c>
      <c r="B216" s="222" t="s">
        <v>1005</v>
      </c>
      <c r="C216" s="214" t="s">
        <v>193</v>
      </c>
      <c r="D216" s="233">
        <v>0.34</v>
      </c>
      <c r="E216" s="218">
        <v>0</v>
      </c>
      <c r="F216" s="219">
        <f t="shared" ref="F216:F222" si="68">ROUND(E216*D216,2)</f>
        <v>0</v>
      </c>
      <c r="G216" s="219">
        <f t="shared" ref="G216:G222" si="69">ROUND(F216*1.2,2)</f>
        <v>0</v>
      </c>
      <c r="I216" s="232"/>
    </row>
    <row r="217" spans="1:9" ht="19.5" customHeight="1" x14ac:dyDescent="0.3">
      <c r="A217" s="86">
        <f>A216+1</f>
        <v>162</v>
      </c>
      <c r="B217" s="243" t="s">
        <v>1020</v>
      </c>
      <c r="C217" s="86" t="s">
        <v>254</v>
      </c>
      <c r="D217" s="259">
        <v>30.1</v>
      </c>
      <c r="E217" s="170">
        <v>85</v>
      </c>
      <c r="F217" s="102">
        <f t="shared" si="68"/>
        <v>2558.5</v>
      </c>
      <c r="G217" s="102">
        <f t="shared" si="69"/>
        <v>3070.2</v>
      </c>
      <c r="I217" s="232"/>
    </row>
    <row r="218" spans="1:9" ht="19.5" customHeight="1" x14ac:dyDescent="0.3">
      <c r="A218" s="214">
        <f>A217+1</f>
        <v>163</v>
      </c>
      <c r="B218" s="222" t="s">
        <v>1015</v>
      </c>
      <c r="C218" s="214" t="s">
        <v>431</v>
      </c>
      <c r="D218" s="234" t="s">
        <v>1014</v>
      </c>
      <c r="E218" s="218">
        <v>0</v>
      </c>
      <c r="F218" s="219">
        <f t="shared" si="68"/>
        <v>0</v>
      </c>
      <c r="G218" s="219">
        <f t="shared" si="69"/>
        <v>0</v>
      </c>
      <c r="I218" s="235"/>
    </row>
    <row r="219" spans="1:9" ht="19.5" customHeight="1" x14ac:dyDescent="0.3">
      <c r="A219" s="86">
        <f>A217+1</f>
        <v>163</v>
      </c>
      <c r="B219" s="243" t="s">
        <v>1070</v>
      </c>
      <c r="C219" s="86" t="s">
        <v>387</v>
      </c>
      <c r="D219" s="259">
        <f>54.1*0.25</f>
        <v>13.525</v>
      </c>
      <c r="E219" s="170">
        <v>250</v>
      </c>
      <c r="F219" s="102">
        <f t="shared" si="68"/>
        <v>3381.25</v>
      </c>
      <c r="G219" s="102">
        <f t="shared" si="69"/>
        <v>4057.5</v>
      </c>
      <c r="H219" s="209"/>
      <c r="I219" s="232"/>
    </row>
    <row r="220" spans="1:9" ht="19.5" customHeight="1" x14ac:dyDescent="0.3">
      <c r="A220" s="86">
        <f t="shared" ref="A220:A223" si="70">A219+1</f>
        <v>164</v>
      </c>
      <c r="B220" s="243" t="s">
        <v>1069</v>
      </c>
      <c r="C220" s="86" t="s">
        <v>254</v>
      </c>
      <c r="D220" s="259">
        <f>0.7*54.1*2</f>
        <v>75.739999999999995</v>
      </c>
      <c r="E220" s="170">
        <v>312</v>
      </c>
      <c r="F220" s="102">
        <f t="shared" si="68"/>
        <v>23630.880000000001</v>
      </c>
      <c r="G220" s="102">
        <f t="shared" si="69"/>
        <v>28357.06</v>
      </c>
      <c r="I220" s="232"/>
    </row>
    <row r="221" spans="1:9" ht="15.6" x14ac:dyDescent="0.3">
      <c r="A221" s="86">
        <f t="shared" si="70"/>
        <v>165</v>
      </c>
      <c r="B221" s="243" t="s">
        <v>402</v>
      </c>
      <c r="C221" s="86" t="s">
        <v>254</v>
      </c>
      <c r="D221" s="152">
        <v>40</v>
      </c>
      <c r="E221" s="170">
        <v>1376</v>
      </c>
      <c r="F221" s="102">
        <f t="shared" si="68"/>
        <v>55040</v>
      </c>
      <c r="G221" s="102">
        <f t="shared" si="69"/>
        <v>66048</v>
      </c>
    </row>
    <row r="222" spans="1:9" ht="15.6" x14ac:dyDescent="0.3">
      <c r="A222" s="86">
        <f t="shared" si="70"/>
        <v>166</v>
      </c>
      <c r="B222" s="243" t="s">
        <v>403</v>
      </c>
      <c r="C222" s="86" t="s">
        <v>254</v>
      </c>
      <c r="D222" s="152">
        <v>80</v>
      </c>
      <c r="E222" s="170">
        <v>1518.0000000000002</v>
      </c>
      <c r="F222" s="102">
        <f t="shared" si="68"/>
        <v>121440</v>
      </c>
      <c r="G222" s="102">
        <f t="shared" si="69"/>
        <v>145728</v>
      </c>
    </row>
    <row r="223" spans="1:9" ht="15.6" x14ac:dyDescent="0.3">
      <c r="A223" s="214">
        <f t="shared" si="70"/>
        <v>167</v>
      </c>
      <c r="B223" s="222" t="s">
        <v>1079</v>
      </c>
      <c r="C223" s="214" t="s">
        <v>193</v>
      </c>
      <c r="D223" s="224">
        <v>0.2</v>
      </c>
      <c r="E223" s="218">
        <v>0</v>
      </c>
      <c r="F223" s="219">
        <f t="shared" ref="F223" si="71">ROUND(E223*D223,2)</f>
        <v>0</v>
      </c>
      <c r="G223" s="219">
        <f t="shared" ref="G223" si="72">ROUND(F223*1.2,2)</f>
        <v>0</v>
      </c>
    </row>
    <row r="224" spans="1:9" ht="19.5" customHeight="1" x14ac:dyDescent="0.3">
      <c r="A224" s="86"/>
      <c r="B224" s="260" t="s">
        <v>988</v>
      </c>
      <c r="C224" s="86"/>
      <c r="D224" s="261"/>
      <c r="E224" s="170"/>
      <c r="F224" s="102"/>
      <c r="G224" s="102"/>
      <c r="I224" s="232"/>
    </row>
    <row r="225" spans="1:9" ht="19.5" customHeight="1" x14ac:dyDescent="0.3">
      <c r="A225" s="214">
        <f>A188+1</f>
        <v>155</v>
      </c>
      <c r="B225" s="222" t="s">
        <v>1005</v>
      </c>
      <c r="C225" s="214" t="s">
        <v>193</v>
      </c>
      <c r="D225" s="233">
        <v>9.9</v>
      </c>
      <c r="E225" s="218">
        <v>0</v>
      </c>
      <c r="F225" s="219">
        <f t="shared" ref="F225:F226" si="73">ROUND(E225*D225,2)</f>
        <v>0</v>
      </c>
      <c r="G225" s="219">
        <f t="shared" ref="G225:G226" si="74">ROUND(F225*1.2,2)</f>
        <v>0</v>
      </c>
      <c r="I225" s="235"/>
    </row>
    <row r="226" spans="1:9" ht="19.5" customHeight="1" x14ac:dyDescent="0.3">
      <c r="A226" s="214">
        <f>A225+1</f>
        <v>156</v>
      </c>
      <c r="B226" s="222" t="s">
        <v>1006</v>
      </c>
      <c r="C226" s="214" t="s">
        <v>193</v>
      </c>
      <c r="D226" s="233">
        <v>1.7</v>
      </c>
      <c r="E226" s="218">
        <v>0</v>
      </c>
      <c r="F226" s="219">
        <f t="shared" si="73"/>
        <v>0</v>
      </c>
      <c r="G226" s="219">
        <f t="shared" si="74"/>
        <v>0</v>
      </c>
      <c r="I226" s="235"/>
    </row>
    <row r="227" spans="1:9" ht="19.5" customHeight="1" x14ac:dyDescent="0.3">
      <c r="A227" s="86">
        <f t="shared" ref="A227:A241" si="75">A226+1</f>
        <v>157</v>
      </c>
      <c r="B227" s="243" t="s">
        <v>989</v>
      </c>
      <c r="C227" s="86" t="s">
        <v>254</v>
      </c>
      <c r="D227" s="259">
        <f>5.8*62</f>
        <v>359.59999999999997</v>
      </c>
      <c r="E227" s="170">
        <v>85</v>
      </c>
      <c r="F227" s="102">
        <f t="shared" ref="F227" si="76">ROUND(E227*D227,2)</f>
        <v>30566</v>
      </c>
      <c r="G227" s="102">
        <f t="shared" ref="G227" si="77">ROUND(F227*1.2,2)</f>
        <v>36679.199999999997</v>
      </c>
      <c r="I227" s="235"/>
    </row>
    <row r="228" spans="1:9" ht="19.5" customHeight="1" x14ac:dyDescent="0.3">
      <c r="A228" s="86">
        <f t="shared" si="75"/>
        <v>158</v>
      </c>
      <c r="B228" s="243" t="s">
        <v>990</v>
      </c>
      <c r="C228" s="86" t="s">
        <v>254</v>
      </c>
      <c r="D228" s="259">
        <f>24*2.9</f>
        <v>69.599999999999994</v>
      </c>
      <c r="E228" s="170">
        <v>85</v>
      </c>
      <c r="F228" s="102">
        <f t="shared" ref="F228:F238" si="78">ROUND(E228*D228,2)</f>
        <v>5916</v>
      </c>
      <c r="G228" s="102">
        <f t="shared" ref="G228:G238" si="79">ROUND(F228*1.2,2)</f>
        <v>7099.2</v>
      </c>
      <c r="I228" s="235"/>
    </row>
    <row r="229" spans="1:9" ht="19.5" customHeight="1" x14ac:dyDescent="0.3">
      <c r="A229" s="86">
        <f t="shared" si="75"/>
        <v>159</v>
      </c>
      <c r="B229" s="243" t="s">
        <v>991</v>
      </c>
      <c r="C229" s="86" t="s">
        <v>254</v>
      </c>
      <c r="D229" s="259">
        <f>144*2.1</f>
        <v>302.40000000000003</v>
      </c>
      <c r="E229" s="170">
        <v>85</v>
      </c>
      <c r="F229" s="102">
        <f t="shared" si="78"/>
        <v>25704</v>
      </c>
      <c r="G229" s="102">
        <f t="shared" si="79"/>
        <v>30844.799999999999</v>
      </c>
      <c r="I229" s="235"/>
    </row>
    <row r="230" spans="1:9" ht="19.5" customHeight="1" x14ac:dyDescent="0.3">
      <c r="A230" s="86">
        <f t="shared" si="75"/>
        <v>160</v>
      </c>
      <c r="B230" s="243" t="s">
        <v>992</v>
      </c>
      <c r="C230" s="86" t="s">
        <v>254</v>
      </c>
      <c r="D230" s="259">
        <f>48*2.3</f>
        <v>110.39999999999999</v>
      </c>
      <c r="E230" s="170">
        <v>85</v>
      </c>
      <c r="F230" s="102">
        <f t="shared" si="78"/>
        <v>9384</v>
      </c>
      <c r="G230" s="102">
        <f t="shared" si="79"/>
        <v>11260.8</v>
      </c>
      <c r="I230" s="235"/>
    </row>
    <row r="231" spans="1:9" ht="19.5" customHeight="1" x14ac:dyDescent="0.3">
      <c r="A231" s="86">
        <f t="shared" si="75"/>
        <v>161</v>
      </c>
      <c r="B231" s="243" t="s">
        <v>993</v>
      </c>
      <c r="C231" s="86" t="s">
        <v>254</v>
      </c>
      <c r="D231" s="259">
        <f>36*0.5</f>
        <v>18</v>
      </c>
      <c r="E231" s="170">
        <v>85</v>
      </c>
      <c r="F231" s="102">
        <f t="shared" si="78"/>
        <v>1530</v>
      </c>
      <c r="G231" s="102">
        <f t="shared" si="79"/>
        <v>1836</v>
      </c>
      <c r="I231" s="235"/>
    </row>
    <row r="232" spans="1:9" ht="19.5" customHeight="1" x14ac:dyDescent="0.3">
      <c r="A232" s="86">
        <f t="shared" si="75"/>
        <v>162</v>
      </c>
      <c r="B232" s="243" t="s">
        <v>994</v>
      </c>
      <c r="C232" s="86" t="s">
        <v>254</v>
      </c>
      <c r="D232" s="259">
        <f>48*1.2</f>
        <v>57.599999999999994</v>
      </c>
      <c r="E232" s="170">
        <v>85</v>
      </c>
      <c r="F232" s="102">
        <f t="shared" si="78"/>
        <v>4896</v>
      </c>
      <c r="G232" s="102">
        <f t="shared" si="79"/>
        <v>5875.2</v>
      </c>
      <c r="I232" s="235"/>
    </row>
    <row r="233" spans="1:9" ht="19.5" customHeight="1" x14ac:dyDescent="0.3">
      <c r="A233" s="86">
        <f t="shared" si="75"/>
        <v>163</v>
      </c>
      <c r="B233" s="243" t="s">
        <v>995</v>
      </c>
      <c r="C233" s="86" t="s">
        <v>254</v>
      </c>
      <c r="D233" s="259">
        <f>144*1.8</f>
        <v>259.2</v>
      </c>
      <c r="E233" s="170">
        <v>85</v>
      </c>
      <c r="F233" s="102">
        <f t="shared" si="78"/>
        <v>22032</v>
      </c>
      <c r="G233" s="102">
        <f t="shared" si="79"/>
        <v>26438.400000000001</v>
      </c>
      <c r="I233" s="235"/>
    </row>
    <row r="234" spans="1:9" ht="19.5" customHeight="1" x14ac:dyDescent="0.3">
      <c r="A234" s="86">
        <f t="shared" si="75"/>
        <v>164</v>
      </c>
      <c r="B234" s="243" t="s">
        <v>996</v>
      </c>
      <c r="C234" s="86" t="s">
        <v>254</v>
      </c>
      <c r="D234" s="259">
        <f>48*1.2</f>
        <v>57.599999999999994</v>
      </c>
      <c r="E234" s="170">
        <v>85</v>
      </c>
      <c r="F234" s="102">
        <f t="shared" si="78"/>
        <v>4896</v>
      </c>
      <c r="G234" s="102">
        <f t="shared" si="79"/>
        <v>5875.2</v>
      </c>
      <c r="I234" s="235"/>
    </row>
    <row r="235" spans="1:9" ht="19.5" customHeight="1" x14ac:dyDescent="0.3">
      <c r="A235" s="86">
        <f t="shared" si="75"/>
        <v>165</v>
      </c>
      <c r="B235" s="243" t="s">
        <v>997</v>
      </c>
      <c r="C235" s="86" t="s">
        <v>254</v>
      </c>
      <c r="D235" s="259">
        <f>186*0.09</f>
        <v>16.739999999999998</v>
      </c>
      <c r="E235" s="170">
        <v>85</v>
      </c>
      <c r="F235" s="102">
        <f t="shared" si="78"/>
        <v>1422.9</v>
      </c>
      <c r="G235" s="102">
        <f t="shared" si="79"/>
        <v>1707.48</v>
      </c>
      <c r="I235" s="235"/>
    </row>
    <row r="236" spans="1:9" ht="19.5" customHeight="1" x14ac:dyDescent="0.3">
      <c r="A236" s="86">
        <f t="shared" si="75"/>
        <v>166</v>
      </c>
      <c r="B236" s="243" t="s">
        <v>998</v>
      </c>
      <c r="C236" s="86" t="s">
        <v>254</v>
      </c>
      <c r="D236" s="259">
        <f>80*3.8</f>
        <v>304</v>
      </c>
      <c r="E236" s="170">
        <v>85</v>
      </c>
      <c r="F236" s="102">
        <f t="shared" si="78"/>
        <v>25840</v>
      </c>
      <c r="G236" s="102">
        <f t="shared" si="79"/>
        <v>31008</v>
      </c>
      <c r="I236" s="235"/>
    </row>
    <row r="237" spans="1:9" ht="19.5" customHeight="1" x14ac:dyDescent="0.3">
      <c r="A237" s="86">
        <f t="shared" si="75"/>
        <v>167</v>
      </c>
      <c r="B237" s="243" t="s">
        <v>999</v>
      </c>
      <c r="C237" s="86" t="s">
        <v>254</v>
      </c>
      <c r="D237" s="259">
        <f>12*3.8</f>
        <v>45.599999999999994</v>
      </c>
      <c r="E237" s="170">
        <v>85</v>
      </c>
      <c r="F237" s="102">
        <f t="shared" si="78"/>
        <v>3876</v>
      </c>
      <c r="G237" s="102">
        <f t="shared" si="79"/>
        <v>4651.2</v>
      </c>
      <c r="I237" s="235"/>
    </row>
    <row r="238" spans="1:9" ht="19.5" customHeight="1" x14ac:dyDescent="0.3">
      <c r="A238" s="86">
        <f t="shared" si="75"/>
        <v>168</v>
      </c>
      <c r="B238" s="243" t="s">
        <v>1000</v>
      </c>
      <c r="C238" s="86" t="s">
        <v>254</v>
      </c>
      <c r="D238" s="259">
        <f>12*1.3</f>
        <v>15.600000000000001</v>
      </c>
      <c r="E238" s="170">
        <v>85</v>
      </c>
      <c r="F238" s="102">
        <f t="shared" si="78"/>
        <v>1326</v>
      </c>
      <c r="G238" s="102">
        <f t="shared" si="79"/>
        <v>1591.2</v>
      </c>
      <c r="I238" s="235"/>
    </row>
    <row r="239" spans="1:9" ht="19.5" customHeight="1" x14ac:dyDescent="0.3">
      <c r="A239" s="214">
        <f t="shared" si="75"/>
        <v>169</v>
      </c>
      <c r="B239" s="222" t="s">
        <v>1002</v>
      </c>
      <c r="C239" s="214" t="s">
        <v>254</v>
      </c>
      <c r="D239" s="233">
        <f>10.4*3</f>
        <v>31.200000000000003</v>
      </c>
      <c r="E239" s="218">
        <v>0</v>
      </c>
      <c r="F239" s="219">
        <f t="shared" ref="F239:F241" si="80">ROUND(E239*D239,2)</f>
        <v>0</v>
      </c>
      <c r="G239" s="219">
        <f t="shared" ref="G239:G241" si="81">ROUND(F239*1.2,2)</f>
        <v>0</v>
      </c>
      <c r="I239" s="235"/>
    </row>
    <row r="240" spans="1:9" ht="19.5" customHeight="1" x14ac:dyDescent="0.3">
      <c r="A240" s="214">
        <f t="shared" si="75"/>
        <v>170</v>
      </c>
      <c r="B240" s="222" t="s">
        <v>1003</v>
      </c>
      <c r="C240" s="214" t="s">
        <v>254</v>
      </c>
      <c r="D240" s="233">
        <f>2.9*2</f>
        <v>5.8</v>
      </c>
      <c r="E240" s="218">
        <v>0</v>
      </c>
      <c r="F240" s="219">
        <f t="shared" si="80"/>
        <v>0</v>
      </c>
      <c r="G240" s="219">
        <f t="shared" si="81"/>
        <v>0</v>
      </c>
      <c r="I240" s="232"/>
    </row>
    <row r="241" spans="1:9" ht="19.5" customHeight="1" x14ac:dyDescent="0.3">
      <c r="A241" s="214">
        <f t="shared" si="75"/>
        <v>171</v>
      </c>
      <c r="B241" s="222" t="s">
        <v>1004</v>
      </c>
      <c r="C241" s="214" t="s">
        <v>254</v>
      </c>
      <c r="D241" s="233">
        <v>1.6</v>
      </c>
      <c r="E241" s="218">
        <v>0</v>
      </c>
      <c r="F241" s="219">
        <f t="shared" si="80"/>
        <v>0</v>
      </c>
      <c r="G241" s="219">
        <f t="shared" si="81"/>
        <v>0</v>
      </c>
      <c r="I241" s="232"/>
    </row>
    <row r="242" spans="1:9" ht="19.5" customHeight="1" x14ac:dyDescent="0.3">
      <c r="A242" s="86"/>
      <c r="B242" s="260" t="s">
        <v>1001</v>
      </c>
      <c r="C242" s="86"/>
      <c r="D242" s="261"/>
      <c r="E242" s="170"/>
      <c r="F242" s="102"/>
      <c r="G242" s="102"/>
      <c r="I242" s="235"/>
    </row>
    <row r="243" spans="1:9" ht="19.5" customHeight="1" x14ac:dyDescent="0.3">
      <c r="A243" s="86">
        <f>A241+1</f>
        <v>172</v>
      </c>
      <c r="B243" s="243" t="s">
        <v>1018</v>
      </c>
      <c r="C243" s="86" t="s">
        <v>254</v>
      </c>
      <c r="D243" s="259">
        <f>1.22*3</f>
        <v>3.66</v>
      </c>
      <c r="E243" s="170">
        <v>85</v>
      </c>
      <c r="F243" s="102">
        <f t="shared" ref="F243:F244" si="82">ROUND(E243*D243,2)</f>
        <v>311.10000000000002</v>
      </c>
      <c r="G243" s="102">
        <f t="shared" ref="G243:G244" si="83">ROUND(F243*1.2,2)</f>
        <v>373.32</v>
      </c>
      <c r="I243" s="235"/>
    </row>
    <row r="244" spans="1:9" ht="19.5" customHeight="1" x14ac:dyDescent="0.3">
      <c r="A244" s="86">
        <f>A243+1</f>
        <v>173</v>
      </c>
      <c r="B244" s="243" t="s">
        <v>1019</v>
      </c>
      <c r="C244" s="86" t="s">
        <v>254</v>
      </c>
      <c r="D244" s="259">
        <f>0.27*16</f>
        <v>4.32</v>
      </c>
      <c r="E244" s="170">
        <v>85</v>
      </c>
      <c r="F244" s="102">
        <f t="shared" si="82"/>
        <v>367.2</v>
      </c>
      <c r="G244" s="102">
        <f t="shared" si="83"/>
        <v>440.64</v>
      </c>
      <c r="I244" s="235"/>
    </row>
    <row r="245" spans="1:9" ht="19.5" customHeight="1" x14ac:dyDescent="0.3">
      <c r="A245" s="86"/>
      <c r="B245" s="260" t="s">
        <v>1021</v>
      </c>
      <c r="C245" s="86"/>
      <c r="D245" s="261"/>
      <c r="E245" s="170"/>
      <c r="F245" s="102"/>
      <c r="G245" s="102"/>
      <c r="I245" s="232"/>
    </row>
    <row r="246" spans="1:9" ht="19.5" customHeight="1" x14ac:dyDescent="0.3">
      <c r="A246" s="214">
        <f>A244+1</f>
        <v>174</v>
      </c>
      <c r="B246" s="222" t="s">
        <v>1022</v>
      </c>
      <c r="C246" s="214" t="s">
        <v>194</v>
      </c>
      <c r="D246" s="233">
        <v>23.55</v>
      </c>
      <c r="E246" s="218">
        <v>0</v>
      </c>
      <c r="F246" s="219">
        <f t="shared" ref="F246:F248" si="84">ROUND(E246*D246,2)</f>
        <v>0</v>
      </c>
      <c r="G246" s="219">
        <f t="shared" ref="G246:G248" si="85">ROUND(F246*1.2,2)</f>
        <v>0</v>
      </c>
      <c r="I246" s="232"/>
    </row>
    <row r="247" spans="1:9" ht="19.5" customHeight="1" x14ac:dyDescent="0.3">
      <c r="A247" s="86">
        <f>A246+1</f>
        <v>175</v>
      </c>
      <c r="B247" s="243" t="s">
        <v>1023</v>
      </c>
      <c r="C247" s="86" t="s">
        <v>193</v>
      </c>
      <c r="D247" s="263">
        <v>0.621</v>
      </c>
      <c r="E247" s="170">
        <v>5060</v>
      </c>
      <c r="F247" s="102">
        <f t="shared" si="84"/>
        <v>3142.26</v>
      </c>
      <c r="G247" s="102">
        <f t="shared" si="85"/>
        <v>3770.71</v>
      </c>
      <c r="I247" s="232"/>
    </row>
    <row r="248" spans="1:9" ht="19.5" customHeight="1" x14ac:dyDescent="0.3">
      <c r="A248" s="214">
        <f>A247+1</f>
        <v>176</v>
      </c>
      <c r="B248" s="222" t="s">
        <v>1024</v>
      </c>
      <c r="C248" s="214" t="s">
        <v>431</v>
      </c>
      <c r="D248" s="233">
        <f>0.3</f>
        <v>0.3</v>
      </c>
      <c r="E248" s="218">
        <v>0</v>
      </c>
      <c r="F248" s="219">
        <f t="shared" si="84"/>
        <v>0</v>
      </c>
      <c r="G248" s="219">
        <f t="shared" si="85"/>
        <v>0</v>
      </c>
      <c r="I248" s="232"/>
    </row>
    <row r="249" spans="1:9" ht="19.5" customHeight="1" x14ac:dyDescent="0.3">
      <c r="A249" s="86"/>
      <c r="B249" s="225" t="s">
        <v>1025</v>
      </c>
      <c r="C249" s="86"/>
      <c r="D249" s="261"/>
      <c r="E249" s="170"/>
      <c r="F249" s="102"/>
      <c r="G249" s="102"/>
      <c r="I249" s="232"/>
    </row>
    <row r="250" spans="1:9" ht="19.5" customHeight="1" x14ac:dyDescent="0.3">
      <c r="A250" s="214">
        <f>A248+1</f>
        <v>177</v>
      </c>
      <c r="B250" s="222" t="s">
        <v>1008</v>
      </c>
      <c r="C250" s="214" t="s">
        <v>220</v>
      </c>
      <c r="D250" s="231">
        <v>1</v>
      </c>
      <c r="E250" s="218">
        <v>0</v>
      </c>
      <c r="F250" s="219">
        <f t="shared" ref="F250" si="86">ROUND(E250*D250,2)</f>
        <v>0</v>
      </c>
      <c r="G250" s="219">
        <f t="shared" ref="G250" si="87">ROUND(F250*1.2,2)</f>
        <v>0</v>
      </c>
      <c r="I250" s="232"/>
    </row>
    <row r="251" spans="1:9" ht="19.5" customHeight="1" x14ac:dyDescent="0.3">
      <c r="A251" s="214">
        <f t="shared" ref="A251:A256" si="88">A250+1</f>
        <v>178</v>
      </c>
      <c r="B251" s="222" t="s">
        <v>1026</v>
      </c>
      <c r="C251" s="214" t="s">
        <v>220</v>
      </c>
      <c r="D251" s="231">
        <v>1</v>
      </c>
      <c r="E251" s="218">
        <v>0</v>
      </c>
      <c r="F251" s="219">
        <f t="shared" ref="F251" si="89">ROUND(E251*D251,2)</f>
        <v>0</v>
      </c>
      <c r="G251" s="219">
        <f t="shared" ref="G251" si="90">ROUND(F251*1.2,2)</f>
        <v>0</v>
      </c>
      <c r="I251" s="232"/>
    </row>
    <row r="252" spans="1:9" ht="19.5" customHeight="1" x14ac:dyDescent="0.3">
      <c r="A252" s="214">
        <f t="shared" si="88"/>
        <v>179</v>
      </c>
      <c r="B252" s="222" t="s">
        <v>1027</v>
      </c>
      <c r="C252" s="214" t="s">
        <v>220</v>
      </c>
      <c r="D252" s="231">
        <v>1</v>
      </c>
      <c r="E252" s="218">
        <v>0</v>
      </c>
      <c r="F252" s="219">
        <f t="shared" ref="F252" si="91">ROUND(E252*D252,2)</f>
        <v>0</v>
      </c>
      <c r="G252" s="219">
        <f t="shared" ref="G252" si="92">ROUND(F252*1.2,2)</f>
        <v>0</v>
      </c>
      <c r="I252" s="232"/>
    </row>
    <row r="253" spans="1:9" ht="19.5" customHeight="1" x14ac:dyDescent="0.3">
      <c r="A253" s="214">
        <f t="shared" si="88"/>
        <v>180</v>
      </c>
      <c r="B253" s="222" t="s">
        <v>1011</v>
      </c>
      <c r="C253" s="214" t="s">
        <v>220</v>
      </c>
      <c r="D253" s="231">
        <v>1</v>
      </c>
      <c r="E253" s="218">
        <v>0</v>
      </c>
      <c r="F253" s="219">
        <f t="shared" ref="F253" si="93">ROUND(E253*D253,2)</f>
        <v>0</v>
      </c>
      <c r="G253" s="219">
        <f t="shared" ref="G253" si="94">ROUND(F253*1.2,2)</f>
        <v>0</v>
      </c>
      <c r="I253" s="232"/>
    </row>
    <row r="254" spans="1:9" ht="19.5" customHeight="1" x14ac:dyDescent="0.3">
      <c r="A254" s="86">
        <f t="shared" si="88"/>
        <v>181</v>
      </c>
      <c r="B254" s="243" t="s">
        <v>1009</v>
      </c>
      <c r="C254" s="86" t="s">
        <v>220</v>
      </c>
      <c r="D254" s="237">
        <v>1</v>
      </c>
      <c r="E254" s="245">
        <v>15180.000000000002</v>
      </c>
      <c r="F254" s="102">
        <f t="shared" ref="F254" si="95">ROUND(E254*D254,2)</f>
        <v>15180</v>
      </c>
      <c r="G254" s="102">
        <f t="shared" ref="G254" si="96">ROUND(F254*1.2,2)</f>
        <v>18216</v>
      </c>
      <c r="I254" s="232"/>
    </row>
    <row r="255" spans="1:9" ht="19.5" customHeight="1" x14ac:dyDescent="0.3">
      <c r="A255" s="214">
        <f t="shared" si="88"/>
        <v>182</v>
      </c>
      <c r="B255" s="222" t="s">
        <v>1010</v>
      </c>
      <c r="C255" s="214" t="s">
        <v>220</v>
      </c>
      <c r="D255" s="231">
        <v>1</v>
      </c>
      <c r="E255" s="218">
        <v>0</v>
      </c>
      <c r="F255" s="219">
        <f t="shared" ref="F255:F260" si="97">ROUND(E255*D255,2)</f>
        <v>0</v>
      </c>
      <c r="G255" s="219">
        <f t="shared" ref="G255:G260" si="98">ROUND(F255*1.2,2)</f>
        <v>0</v>
      </c>
      <c r="I255" s="232"/>
    </row>
    <row r="256" spans="1:9" ht="19.5" customHeight="1" x14ac:dyDescent="0.3">
      <c r="A256" s="214">
        <f t="shared" si="88"/>
        <v>183</v>
      </c>
      <c r="B256" s="222" t="s">
        <v>1028</v>
      </c>
      <c r="C256" s="214" t="s">
        <v>254</v>
      </c>
      <c r="D256" s="231">
        <v>45</v>
      </c>
      <c r="E256" s="218">
        <v>0</v>
      </c>
      <c r="F256" s="219">
        <f t="shared" si="97"/>
        <v>0</v>
      </c>
      <c r="G256" s="219">
        <f t="shared" si="98"/>
        <v>0</v>
      </c>
      <c r="I256" s="232"/>
    </row>
    <row r="257" spans="1:9" ht="19.5" customHeight="1" x14ac:dyDescent="0.3">
      <c r="A257" s="214">
        <f t="shared" ref="A257:A266" si="99">A256+1</f>
        <v>184</v>
      </c>
      <c r="B257" s="222" t="s">
        <v>1029</v>
      </c>
      <c r="C257" s="214" t="s">
        <v>220</v>
      </c>
      <c r="D257" s="231">
        <v>3</v>
      </c>
      <c r="E257" s="218">
        <v>0</v>
      </c>
      <c r="F257" s="219">
        <f t="shared" si="97"/>
        <v>0</v>
      </c>
      <c r="G257" s="219">
        <f t="shared" si="98"/>
        <v>0</v>
      </c>
      <c r="I257" s="232"/>
    </row>
    <row r="258" spans="1:9" ht="19.5" customHeight="1" x14ac:dyDescent="0.3">
      <c r="A258" s="214">
        <f t="shared" si="99"/>
        <v>185</v>
      </c>
      <c r="B258" s="222" t="s">
        <v>975</v>
      </c>
      <c r="C258" s="214" t="s">
        <v>220</v>
      </c>
      <c r="D258" s="231">
        <v>4</v>
      </c>
      <c r="E258" s="218">
        <v>0</v>
      </c>
      <c r="F258" s="219">
        <f t="shared" si="97"/>
        <v>0</v>
      </c>
      <c r="G258" s="219">
        <f t="shared" si="98"/>
        <v>0</v>
      </c>
      <c r="I258" s="232"/>
    </row>
    <row r="259" spans="1:9" ht="19.5" customHeight="1" x14ac:dyDescent="0.3">
      <c r="A259" s="214">
        <f t="shared" si="99"/>
        <v>186</v>
      </c>
      <c r="B259" s="222" t="s">
        <v>1030</v>
      </c>
      <c r="C259" s="214" t="s">
        <v>193</v>
      </c>
      <c r="D259" s="233">
        <v>0.28000000000000003</v>
      </c>
      <c r="E259" s="218">
        <v>0</v>
      </c>
      <c r="F259" s="219">
        <f t="shared" si="97"/>
        <v>0</v>
      </c>
      <c r="G259" s="219">
        <f t="shared" si="98"/>
        <v>0</v>
      </c>
      <c r="I259" s="232"/>
    </row>
    <row r="260" spans="1:9" ht="19.5" customHeight="1" x14ac:dyDescent="0.3">
      <c r="A260" s="86">
        <f t="shared" si="99"/>
        <v>187</v>
      </c>
      <c r="B260" s="243" t="s">
        <v>1031</v>
      </c>
      <c r="C260" s="86" t="s">
        <v>193</v>
      </c>
      <c r="D260" s="259">
        <v>0.05</v>
      </c>
      <c r="E260" s="170">
        <v>6072</v>
      </c>
      <c r="F260" s="102">
        <f t="shared" si="97"/>
        <v>303.60000000000002</v>
      </c>
      <c r="G260" s="102">
        <f t="shared" si="98"/>
        <v>364.32</v>
      </c>
      <c r="I260" s="232"/>
    </row>
    <row r="261" spans="1:9" ht="19.5" customHeight="1" x14ac:dyDescent="0.3">
      <c r="A261" s="86">
        <f t="shared" si="99"/>
        <v>188</v>
      </c>
      <c r="B261" s="243" t="s">
        <v>161</v>
      </c>
      <c r="C261" s="86" t="s">
        <v>193</v>
      </c>
      <c r="D261" s="262">
        <v>0.3</v>
      </c>
      <c r="E261" s="170">
        <v>1320</v>
      </c>
      <c r="F261" s="102">
        <f t="shared" ref="F261:F262" si="100">ROUND(E261*D261,2)</f>
        <v>396</v>
      </c>
      <c r="G261" s="102">
        <f t="shared" ref="G261:G262" si="101">ROUND(F261*1.2,2)</f>
        <v>475.2</v>
      </c>
      <c r="I261" s="232"/>
    </row>
    <row r="262" spans="1:9" ht="19.5" customHeight="1" x14ac:dyDescent="0.3">
      <c r="A262" s="214">
        <f t="shared" si="99"/>
        <v>189</v>
      </c>
      <c r="B262" s="222" t="s">
        <v>976</v>
      </c>
      <c r="C262" s="214" t="s">
        <v>254</v>
      </c>
      <c r="D262" s="236">
        <v>122.7</v>
      </c>
      <c r="E262" s="218">
        <v>0</v>
      </c>
      <c r="F262" s="219">
        <f t="shared" si="100"/>
        <v>0</v>
      </c>
      <c r="G262" s="219">
        <f t="shared" si="101"/>
        <v>0</v>
      </c>
      <c r="I262" s="232"/>
    </row>
    <row r="263" spans="1:9" ht="19.5" customHeight="1" x14ac:dyDescent="0.3">
      <c r="A263" s="214">
        <f t="shared" si="99"/>
        <v>190</v>
      </c>
      <c r="B263" s="222" t="s">
        <v>1032</v>
      </c>
      <c r="C263" s="214" t="s">
        <v>220</v>
      </c>
      <c r="D263" s="231">
        <v>1</v>
      </c>
      <c r="E263" s="218">
        <v>0</v>
      </c>
      <c r="F263" s="219">
        <f t="shared" ref="F263:F266" si="102">ROUND(E263*D263,2)</f>
        <v>0</v>
      </c>
      <c r="G263" s="219">
        <f t="shared" ref="G263:G266" si="103">ROUND(F263*1.2,2)</f>
        <v>0</v>
      </c>
      <c r="I263" s="232"/>
    </row>
    <row r="264" spans="1:9" ht="19.5" customHeight="1" x14ac:dyDescent="0.3">
      <c r="A264" s="86">
        <f t="shared" si="99"/>
        <v>191</v>
      </c>
      <c r="B264" s="243" t="s">
        <v>1070</v>
      </c>
      <c r="C264" s="86" t="s">
        <v>387</v>
      </c>
      <c r="D264" s="259">
        <f>41.6*0.25</f>
        <v>10.4</v>
      </c>
      <c r="E264" s="170">
        <v>250</v>
      </c>
      <c r="F264" s="102">
        <f t="shared" si="102"/>
        <v>2600</v>
      </c>
      <c r="G264" s="102">
        <f t="shared" si="103"/>
        <v>3120</v>
      </c>
      <c r="I264" s="232"/>
    </row>
    <row r="265" spans="1:9" ht="19.5" customHeight="1" x14ac:dyDescent="0.3">
      <c r="A265" s="86">
        <f t="shared" si="99"/>
        <v>192</v>
      </c>
      <c r="B265" s="243" t="s">
        <v>1069</v>
      </c>
      <c r="C265" s="86" t="s">
        <v>254</v>
      </c>
      <c r="D265" s="259">
        <f>0.7*41.6*2</f>
        <v>58.239999999999995</v>
      </c>
      <c r="E265" s="170">
        <v>312</v>
      </c>
      <c r="F265" s="102">
        <f t="shared" si="102"/>
        <v>18170.88</v>
      </c>
      <c r="G265" s="102">
        <f t="shared" si="103"/>
        <v>21805.06</v>
      </c>
      <c r="I265" s="232"/>
    </row>
    <row r="266" spans="1:9" ht="19.5" customHeight="1" x14ac:dyDescent="0.3">
      <c r="A266" s="214">
        <f t="shared" si="99"/>
        <v>193</v>
      </c>
      <c r="B266" s="222" t="s">
        <v>977</v>
      </c>
      <c r="C266" s="214" t="s">
        <v>254</v>
      </c>
      <c r="D266" s="231">
        <v>133</v>
      </c>
      <c r="E266" s="218">
        <v>0</v>
      </c>
      <c r="F266" s="219">
        <f t="shared" si="102"/>
        <v>0</v>
      </c>
      <c r="G266" s="219">
        <f t="shared" si="103"/>
        <v>0</v>
      </c>
      <c r="I266" s="232"/>
    </row>
    <row r="267" spans="1:9" ht="19.5" customHeight="1" x14ac:dyDescent="0.3">
      <c r="A267" s="86"/>
      <c r="B267" s="225" t="s">
        <v>1059</v>
      </c>
      <c r="C267" s="86"/>
      <c r="D267" s="262"/>
      <c r="E267" s="170"/>
      <c r="F267" s="102"/>
      <c r="G267" s="102"/>
      <c r="I267" s="232"/>
    </row>
    <row r="268" spans="1:9" ht="19.5" customHeight="1" x14ac:dyDescent="0.3">
      <c r="A268" s="214">
        <f>A263+1</f>
        <v>191</v>
      </c>
      <c r="B268" s="222" t="s">
        <v>1033</v>
      </c>
      <c r="C268" s="214" t="s">
        <v>220</v>
      </c>
      <c r="D268" s="231">
        <f>1*4</f>
        <v>4</v>
      </c>
      <c r="E268" s="218">
        <v>0</v>
      </c>
      <c r="F268" s="219">
        <f t="shared" ref="F268" si="104">ROUND(E268*D268,2)</f>
        <v>0</v>
      </c>
      <c r="G268" s="219">
        <f t="shared" ref="G268" si="105">ROUND(F268*1.2,2)</f>
        <v>0</v>
      </c>
      <c r="I268" s="232"/>
    </row>
    <row r="269" spans="1:9" ht="19.5" customHeight="1" x14ac:dyDescent="0.3">
      <c r="A269" s="214">
        <f>A268+1</f>
        <v>192</v>
      </c>
      <c r="B269" s="222" t="s">
        <v>1034</v>
      </c>
      <c r="C269" s="214" t="s">
        <v>254</v>
      </c>
      <c r="D269" s="233">
        <f>0.66*4</f>
        <v>2.64</v>
      </c>
      <c r="E269" s="218">
        <v>0</v>
      </c>
      <c r="F269" s="219">
        <f t="shared" ref="F269:F271" si="106">ROUND(E269*D269,2)</f>
        <v>0</v>
      </c>
      <c r="G269" s="219">
        <f t="shared" ref="G269:G271" si="107">ROUND(F269*1.2,2)</f>
        <v>0</v>
      </c>
      <c r="I269" s="232"/>
    </row>
    <row r="270" spans="1:9" ht="19.5" customHeight="1" x14ac:dyDescent="0.3">
      <c r="A270" s="214">
        <f>A269+1</f>
        <v>193</v>
      </c>
      <c r="B270" s="222" t="s">
        <v>1035</v>
      </c>
      <c r="C270" s="214" t="s">
        <v>220</v>
      </c>
      <c r="D270" s="231">
        <f>1*4</f>
        <v>4</v>
      </c>
      <c r="E270" s="218">
        <v>0</v>
      </c>
      <c r="F270" s="219">
        <f t="shared" si="106"/>
        <v>0</v>
      </c>
      <c r="G270" s="219">
        <f t="shared" si="107"/>
        <v>0</v>
      </c>
      <c r="I270" s="232"/>
    </row>
    <row r="271" spans="1:9" ht="19.5" customHeight="1" x14ac:dyDescent="0.3">
      <c r="A271" s="214">
        <f>A270+1</f>
        <v>194</v>
      </c>
      <c r="B271" s="222" t="s">
        <v>1036</v>
      </c>
      <c r="C271" s="214" t="s">
        <v>194</v>
      </c>
      <c r="D271" s="236">
        <f>0.2*4</f>
        <v>0.8</v>
      </c>
      <c r="E271" s="218">
        <v>0</v>
      </c>
      <c r="F271" s="219">
        <f t="shared" si="106"/>
        <v>0</v>
      </c>
      <c r="G271" s="219">
        <f t="shared" si="107"/>
        <v>0</v>
      </c>
      <c r="I271" s="232"/>
    </row>
    <row r="272" spans="1:9" ht="19.5" customHeight="1" x14ac:dyDescent="0.3">
      <c r="A272" s="86">
        <f t="shared" ref="A272:A275" si="108">A271+1</f>
        <v>195</v>
      </c>
      <c r="B272" s="243" t="s">
        <v>1037</v>
      </c>
      <c r="C272" s="86" t="s">
        <v>254</v>
      </c>
      <c r="D272" s="263">
        <f>0.032*2*4</f>
        <v>0.25600000000000001</v>
      </c>
      <c r="E272" s="170">
        <v>127</v>
      </c>
      <c r="F272" s="102">
        <f t="shared" ref="F272:F275" si="109">ROUND(E272*D272,2)</f>
        <v>32.51</v>
      </c>
      <c r="G272" s="102">
        <f t="shared" ref="G272:G275" si="110">ROUND(F272*1.2,2)</f>
        <v>39.01</v>
      </c>
      <c r="I272" s="232"/>
    </row>
    <row r="273" spans="1:9" ht="19.5" customHeight="1" x14ac:dyDescent="0.3">
      <c r="A273" s="86">
        <f t="shared" si="108"/>
        <v>196</v>
      </c>
      <c r="B273" s="243" t="s">
        <v>1038</v>
      </c>
      <c r="C273" s="86" t="s">
        <v>254</v>
      </c>
      <c r="D273" s="263">
        <f>0.012*2*4</f>
        <v>9.6000000000000002E-2</v>
      </c>
      <c r="E273" s="170">
        <v>147</v>
      </c>
      <c r="F273" s="102">
        <f t="shared" si="109"/>
        <v>14.11</v>
      </c>
      <c r="G273" s="102">
        <f t="shared" si="110"/>
        <v>16.93</v>
      </c>
      <c r="I273" s="232"/>
    </row>
    <row r="274" spans="1:9" ht="19.5" customHeight="1" x14ac:dyDescent="0.3">
      <c r="A274" s="86">
        <f t="shared" si="108"/>
        <v>197</v>
      </c>
      <c r="B274" s="243" t="s">
        <v>1039</v>
      </c>
      <c r="C274" s="86" t="s">
        <v>254</v>
      </c>
      <c r="D274" s="263">
        <f>0.002*2*4</f>
        <v>1.6E-2</v>
      </c>
      <c r="E274" s="170">
        <v>197</v>
      </c>
      <c r="F274" s="102">
        <f t="shared" si="109"/>
        <v>3.15</v>
      </c>
      <c r="G274" s="102">
        <f t="shared" si="110"/>
        <v>3.78</v>
      </c>
      <c r="I274" s="232"/>
    </row>
    <row r="275" spans="1:9" ht="19.5" customHeight="1" x14ac:dyDescent="0.3">
      <c r="A275" s="86">
        <f t="shared" si="108"/>
        <v>198</v>
      </c>
      <c r="B275" s="243" t="s">
        <v>1040</v>
      </c>
      <c r="C275" s="86" t="s">
        <v>254</v>
      </c>
      <c r="D275" s="263">
        <f>0.004*2*4</f>
        <v>3.2000000000000001E-2</v>
      </c>
      <c r="E275" s="170">
        <v>197</v>
      </c>
      <c r="F275" s="102">
        <f t="shared" si="109"/>
        <v>6.3</v>
      </c>
      <c r="G275" s="102">
        <f t="shared" si="110"/>
        <v>7.56</v>
      </c>
      <c r="I275" s="232"/>
    </row>
    <row r="276" spans="1:9" ht="19.5" customHeight="1" x14ac:dyDescent="0.3">
      <c r="A276" s="86"/>
      <c r="B276" s="225" t="s">
        <v>404</v>
      </c>
      <c r="C276" s="86"/>
      <c r="D276" s="261"/>
      <c r="E276" s="170"/>
      <c r="F276" s="102"/>
      <c r="G276" s="102"/>
      <c r="I276" s="232"/>
    </row>
    <row r="277" spans="1:9" ht="24.75" customHeight="1" x14ac:dyDescent="0.3">
      <c r="A277" s="214">
        <f>A275+1</f>
        <v>199</v>
      </c>
      <c r="B277" s="222" t="s">
        <v>1051</v>
      </c>
      <c r="C277" s="214" t="s">
        <v>194</v>
      </c>
      <c r="D277" s="231">
        <v>115</v>
      </c>
      <c r="E277" s="218">
        <v>0</v>
      </c>
      <c r="F277" s="219">
        <f t="shared" ref="F277" si="111">ROUND(E277*D277,2)</f>
        <v>0</v>
      </c>
      <c r="G277" s="219">
        <f t="shared" ref="G277" si="112">ROUND(F277*1.2,2)</f>
        <v>0</v>
      </c>
      <c r="H277" s="239" t="s">
        <v>1206</v>
      </c>
      <c r="I277" s="232"/>
    </row>
    <row r="278" spans="1:9" ht="19.5" customHeight="1" x14ac:dyDescent="0.3">
      <c r="A278" s="214">
        <f>A277+1</f>
        <v>200</v>
      </c>
      <c r="B278" s="222" t="s">
        <v>1042</v>
      </c>
      <c r="C278" s="214" t="s">
        <v>194</v>
      </c>
      <c r="D278" s="231">
        <v>20</v>
      </c>
      <c r="E278" s="218">
        <v>0</v>
      </c>
      <c r="F278" s="219">
        <f t="shared" ref="F278" si="113">ROUND(E278*D278,2)</f>
        <v>0</v>
      </c>
      <c r="G278" s="219">
        <f t="shared" ref="G278" si="114">ROUND(F278*1.2,2)</f>
        <v>0</v>
      </c>
      <c r="I278" s="232"/>
    </row>
    <row r="279" spans="1:9" ht="19.5" customHeight="1" x14ac:dyDescent="0.3">
      <c r="A279" s="214">
        <f t="shared" ref="A279:A285" si="115">A278+1</f>
        <v>201</v>
      </c>
      <c r="B279" s="222" t="s">
        <v>1054</v>
      </c>
      <c r="C279" s="214" t="s">
        <v>194</v>
      </c>
      <c r="D279" s="231">
        <v>24</v>
      </c>
      <c r="E279" s="218">
        <v>0</v>
      </c>
      <c r="F279" s="219">
        <f t="shared" ref="F279" si="116">ROUND(E279*D279,2)</f>
        <v>0</v>
      </c>
      <c r="G279" s="219">
        <f t="shared" ref="G279" si="117">ROUND(F279*1.2,2)</f>
        <v>0</v>
      </c>
      <c r="I279" s="232"/>
    </row>
    <row r="280" spans="1:9" ht="19.5" customHeight="1" x14ac:dyDescent="0.3">
      <c r="A280" s="214">
        <f t="shared" si="115"/>
        <v>202</v>
      </c>
      <c r="B280" s="222" t="s">
        <v>1052</v>
      </c>
      <c r="C280" s="214" t="s">
        <v>194</v>
      </c>
      <c r="D280" s="231">
        <v>11</v>
      </c>
      <c r="E280" s="218">
        <v>0</v>
      </c>
      <c r="F280" s="219">
        <f t="shared" ref="F280" si="118">ROUND(E280*D280,2)</f>
        <v>0</v>
      </c>
      <c r="G280" s="219">
        <f t="shared" ref="G280" si="119">ROUND(F280*1.2,2)</f>
        <v>0</v>
      </c>
      <c r="I280" s="232"/>
    </row>
    <row r="281" spans="1:9" ht="19.5" customHeight="1" x14ac:dyDescent="0.3">
      <c r="A281" s="214">
        <f t="shared" si="115"/>
        <v>203</v>
      </c>
      <c r="B281" s="222" t="s">
        <v>1053</v>
      </c>
      <c r="C281" s="214" t="s">
        <v>194</v>
      </c>
      <c r="D281" s="236">
        <v>10.5</v>
      </c>
      <c r="E281" s="218">
        <v>0</v>
      </c>
      <c r="F281" s="219">
        <f t="shared" ref="F281:F282" si="120">ROUND(E281*D281,2)</f>
        <v>0</v>
      </c>
      <c r="G281" s="219">
        <f t="shared" ref="G281:G282" si="121">ROUND(F281*1.2,2)</f>
        <v>0</v>
      </c>
      <c r="H281" s="209"/>
      <c r="I281" s="232"/>
    </row>
    <row r="282" spans="1:9" ht="19.5" customHeight="1" x14ac:dyDescent="0.3">
      <c r="A282" s="214">
        <f t="shared" si="115"/>
        <v>204</v>
      </c>
      <c r="B282" s="222" t="s">
        <v>1055</v>
      </c>
      <c r="C282" s="214" t="s">
        <v>194</v>
      </c>
      <c r="D282" s="236">
        <v>2</v>
      </c>
      <c r="E282" s="218">
        <v>0</v>
      </c>
      <c r="F282" s="219">
        <f t="shared" si="120"/>
        <v>0</v>
      </c>
      <c r="G282" s="219">
        <f t="shared" si="121"/>
        <v>0</v>
      </c>
      <c r="H282" s="209"/>
      <c r="I282" s="232"/>
    </row>
    <row r="283" spans="1:9" ht="19.5" customHeight="1" x14ac:dyDescent="0.3">
      <c r="A283" s="214">
        <f t="shared" si="115"/>
        <v>205</v>
      </c>
      <c r="B283" s="222" t="s">
        <v>1043</v>
      </c>
      <c r="C283" s="214" t="s">
        <v>220</v>
      </c>
      <c r="D283" s="231">
        <f>4+12</f>
        <v>16</v>
      </c>
      <c r="E283" s="218">
        <v>0</v>
      </c>
      <c r="F283" s="219">
        <f t="shared" ref="F283:F284" si="122">ROUND(E283*D283,2)</f>
        <v>0</v>
      </c>
      <c r="G283" s="219">
        <f t="shared" ref="G283:G284" si="123">ROUND(F283*1.2,2)</f>
        <v>0</v>
      </c>
      <c r="H283" s="209"/>
      <c r="I283" s="232"/>
    </row>
    <row r="284" spans="1:9" ht="19.5" customHeight="1" x14ac:dyDescent="0.3">
      <c r="A284" s="214">
        <f t="shared" si="115"/>
        <v>206</v>
      </c>
      <c r="B284" s="222" t="s">
        <v>1056</v>
      </c>
      <c r="C284" s="214" t="s">
        <v>220</v>
      </c>
      <c r="D284" s="231">
        <v>6</v>
      </c>
      <c r="E284" s="218">
        <v>0</v>
      </c>
      <c r="F284" s="219">
        <f t="shared" si="122"/>
        <v>0</v>
      </c>
      <c r="G284" s="219">
        <f t="shared" si="123"/>
        <v>0</v>
      </c>
      <c r="H284" s="209"/>
      <c r="I284" s="232"/>
    </row>
    <row r="285" spans="1:9" ht="19.5" customHeight="1" x14ac:dyDescent="0.3">
      <c r="A285" s="214">
        <f t="shared" si="115"/>
        <v>207</v>
      </c>
      <c r="B285" s="222" t="s">
        <v>1044</v>
      </c>
      <c r="C285" s="214" t="s">
        <v>220</v>
      </c>
      <c r="D285" s="231">
        <f>4+4</f>
        <v>8</v>
      </c>
      <c r="E285" s="218">
        <v>0</v>
      </c>
      <c r="F285" s="219">
        <f t="shared" ref="F285" si="124">ROUND(E285*D285,2)</f>
        <v>0</v>
      </c>
      <c r="G285" s="219">
        <f t="shared" ref="G285" si="125">ROUND(F285*1.2,2)</f>
        <v>0</v>
      </c>
      <c r="H285" s="209"/>
      <c r="I285" s="232"/>
    </row>
    <row r="286" spans="1:9" ht="33" customHeight="1" x14ac:dyDescent="0.3">
      <c r="A286" s="214">
        <f t="shared" ref="A286:A300" si="126">A285+1</f>
        <v>208</v>
      </c>
      <c r="B286" s="222" t="s">
        <v>1045</v>
      </c>
      <c r="C286" s="214" t="s">
        <v>220</v>
      </c>
      <c r="D286" s="231">
        <f>2+2</f>
        <v>4</v>
      </c>
      <c r="E286" s="218">
        <v>0</v>
      </c>
      <c r="F286" s="219">
        <f t="shared" ref="F286" si="127">ROUND(E286*D286,2)</f>
        <v>0</v>
      </c>
      <c r="G286" s="219">
        <f t="shared" ref="G286" si="128">ROUND(F286*1.2,2)</f>
        <v>0</v>
      </c>
      <c r="I286" s="232"/>
    </row>
    <row r="287" spans="1:9" ht="33" customHeight="1" x14ac:dyDescent="0.3">
      <c r="A287" s="214">
        <f t="shared" si="126"/>
        <v>209</v>
      </c>
      <c r="B287" s="222" t="s">
        <v>1057</v>
      </c>
      <c r="C287" s="214" t="s">
        <v>220</v>
      </c>
      <c r="D287" s="231">
        <v>2</v>
      </c>
      <c r="E287" s="218">
        <v>0</v>
      </c>
      <c r="F287" s="219">
        <f t="shared" ref="F287" si="129">ROUND(E287*D287,2)</f>
        <v>0</v>
      </c>
      <c r="G287" s="219">
        <f t="shared" ref="G287" si="130">ROUND(F287*1.2,2)</f>
        <v>0</v>
      </c>
      <c r="I287" s="232"/>
    </row>
    <row r="288" spans="1:9" ht="30" customHeight="1" x14ac:dyDescent="0.3">
      <c r="A288" s="214">
        <f t="shared" si="126"/>
        <v>210</v>
      </c>
      <c r="B288" s="222" t="s">
        <v>1046</v>
      </c>
      <c r="C288" s="214" t="s">
        <v>220</v>
      </c>
      <c r="D288" s="231">
        <f>2+2</f>
        <v>4</v>
      </c>
      <c r="E288" s="218">
        <v>0</v>
      </c>
      <c r="F288" s="219">
        <f t="shared" ref="F288" si="131">ROUND(E288*D288,2)</f>
        <v>0</v>
      </c>
      <c r="G288" s="219">
        <f t="shared" ref="G288" si="132">ROUND(F288*1.2,2)</f>
        <v>0</v>
      </c>
      <c r="I288" s="232"/>
    </row>
    <row r="289" spans="1:9" ht="15.75" customHeight="1" x14ac:dyDescent="0.3">
      <c r="A289" s="214">
        <f t="shared" si="126"/>
        <v>211</v>
      </c>
      <c r="B289" s="222" t="s">
        <v>1047</v>
      </c>
      <c r="C289" s="214" t="s">
        <v>220</v>
      </c>
      <c r="D289" s="231">
        <v>24</v>
      </c>
      <c r="E289" s="218">
        <v>0</v>
      </c>
      <c r="F289" s="219">
        <f t="shared" ref="F289:F293" si="133">ROUND(E289*D289,2)</f>
        <v>0</v>
      </c>
      <c r="G289" s="219">
        <f t="shared" ref="G289:G293" si="134">ROUND(F289*1.2,2)</f>
        <v>0</v>
      </c>
      <c r="H289" s="209"/>
      <c r="I289" s="232"/>
    </row>
    <row r="290" spans="1:9" ht="15.75" customHeight="1" x14ac:dyDescent="0.3">
      <c r="A290" s="214">
        <f t="shared" ref="A290:A292" si="135">A289+1</f>
        <v>212</v>
      </c>
      <c r="B290" s="222" t="s">
        <v>1058</v>
      </c>
      <c r="C290" s="214" t="s">
        <v>220</v>
      </c>
      <c r="D290" s="231">
        <v>2</v>
      </c>
      <c r="E290" s="218">
        <v>0</v>
      </c>
      <c r="F290" s="219">
        <f t="shared" ref="F290" si="136">ROUND(E290*D290,2)</f>
        <v>0</v>
      </c>
      <c r="G290" s="219">
        <f t="shared" ref="G290" si="137">ROUND(F290*1.2,2)</f>
        <v>0</v>
      </c>
      <c r="I290" s="232"/>
    </row>
    <row r="291" spans="1:9" ht="15.75" customHeight="1" x14ac:dyDescent="0.3">
      <c r="A291" s="214">
        <f t="shared" si="135"/>
        <v>213</v>
      </c>
      <c r="B291" s="222" t="s">
        <v>1060</v>
      </c>
      <c r="C291" s="214" t="s">
        <v>220</v>
      </c>
      <c r="D291" s="231">
        <v>2</v>
      </c>
      <c r="E291" s="218">
        <v>0</v>
      </c>
      <c r="F291" s="219">
        <f t="shared" ref="F291" si="138">ROUND(E291*D291,2)</f>
        <v>0</v>
      </c>
      <c r="G291" s="219">
        <f t="shared" ref="G291" si="139">ROUND(F291*1.2,2)</f>
        <v>0</v>
      </c>
      <c r="H291" s="209"/>
      <c r="I291" s="232"/>
    </row>
    <row r="292" spans="1:9" ht="15.75" customHeight="1" x14ac:dyDescent="0.3">
      <c r="A292" s="214">
        <f t="shared" si="135"/>
        <v>214</v>
      </c>
      <c r="B292" s="222" t="s">
        <v>1049</v>
      </c>
      <c r="C292" s="214" t="s">
        <v>220</v>
      </c>
      <c r="D292" s="231">
        <v>4</v>
      </c>
      <c r="E292" s="218">
        <v>0</v>
      </c>
      <c r="F292" s="219">
        <f t="shared" si="133"/>
        <v>0</v>
      </c>
      <c r="G292" s="219">
        <f t="shared" si="134"/>
        <v>0</v>
      </c>
      <c r="I292" s="232"/>
    </row>
    <row r="293" spans="1:9" ht="15.75" customHeight="1" x14ac:dyDescent="0.3">
      <c r="A293" s="214">
        <f t="shared" si="126"/>
        <v>215</v>
      </c>
      <c r="B293" s="222" t="s">
        <v>1050</v>
      </c>
      <c r="C293" s="214" t="s">
        <v>220</v>
      </c>
      <c r="D293" s="231">
        <v>1</v>
      </c>
      <c r="E293" s="218">
        <v>0</v>
      </c>
      <c r="F293" s="219">
        <f t="shared" si="133"/>
        <v>0</v>
      </c>
      <c r="G293" s="219">
        <f t="shared" si="134"/>
        <v>0</v>
      </c>
      <c r="I293" s="232"/>
    </row>
    <row r="294" spans="1:9" ht="15.75" customHeight="1" x14ac:dyDescent="0.3">
      <c r="A294" s="214">
        <f t="shared" si="126"/>
        <v>216</v>
      </c>
      <c r="B294" s="222" t="s">
        <v>1061</v>
      </c>
      <c r="C294" s="214" t="s">
        <v>194</v>
      </c>
      <c r="D294" s="236">
        <v>2.2999999999999998</v>
      </c>
      <c r="E294" s="218">
        <v>0</v>
      </c>
      <c r="F294" s="219">
        <f t="shared" ref="F294:F300" si="140">ROUND(E294*D294,2)</f>
        <v>0</v>
      </c>
      <c r="G294" s="219">
        <f t="shared" ref="G294:G300" si="141">ROUND(F294*1.2,2)</f>
        <v>0</v>
      </c>
      <c r="I294" s="232"/>
    </row>
    <row r="295" spans="1:9" ht="15.75" customHeight="1" x14ac:dyDescent="0.3">
      <c r="A295" s="214">
        <f t="shared" si="126"/>
        <v>217</v>
      </c>
      <c r="B295" s="222" t="s">
        <v>1062</v>
      </c>
      <c r="C295" s="214" t="s">
        <v>254</v>
      </c>
      <c r="D295" s="236">
        <v>3.5</v>
      </c>
      <c r="E295" s="218">
        <v>0</v>
      </c>
      <c r="F295" s="219">
        <f t="shared" si="140"/>
        <v>0</v>
      </c>
      <c r="G295" s="219">
        <f t="shared" si="141"/>
        <v>0</v>
      </c>
      <c r="I295" s="232"/>
    </row>
    <row r="296" spans="1:9" ht="15.75" customHeight="1" x14ac:dyDescent="0.3">
      <c r="A296" s="214">
        <f t="shared" si="126"/>
        <v>218</v>
      </c>
      <c r="B296" s="222" t="s">
        <v>1063</v>
      </c>
      <c r="C296" s="214" t="s">
        <v>220</v>
      </c>
      <c r="D296" s="231">
        <v>1</v>
      </c>
      <c r="E296" s="218">
        <v>0</v>
      </c>
      <c r="F296" s="219">
        <f t="shared" si="140"/>
        <v>0</v>
      </c>
      <c r="G296" s="219">
        <f t="shared" si="141"/>
        <v>0</v>
      </c>
      <c r="I296" s="232"/>
    </row>
    <row r="297" spans="1:9" ht="15.75" customHeight="1" x14ac:dyDescent="0.3">
      <c r="A297" s="214">
        <f t="shared" si="126"/>
        <v>219</v>
      </c>
      <c r="B297" s="222" t="s">
        <v>1064</v>
      </c>
      <c r="C297" s="214" t="s">
        <v>220</v>
      </c>
      <c r="D297" s="231">
        <v>4</v>
      </c>
      <c r="E297" s="218">
        <v>0</v>
      </c>
      <c r="F297" s="219">
        <f t="shared" si="140"/>
        <v>0</v>
      </c>
      <c r="G297" s="219">
        <f t="shared" si="141"/>
        <v>0</v>
      </c>
      <c r="I297" s="232"/>
    </row>
    <row r="298" spans="1:9" ht="15.75" customHeight="1" x14ac:dyDescent="0.3">
      <c r="A298" s="214">
        <f t="shared" si="126"/>
        <v>220</v>
      </c>
      <c r="B298" s="222" t="s">
        <v>1065</v>
      </c>
      <c r="C298" s="214" t="s">
        <v>431</v>
      </c>
      <c r="D298" s="233">
        <v>1.71</v>
      </c>
      <c r="E298" s="218">
        <v>0</v>
      </c>
      <c r="F298" s="219">
        <f t="shared" si="140"/>
        <v>0</v>
      </c>
      <c r="G298" s="219">
        <f t="shared" si="141"/>
        <v>0</v>
      </c>
      <c r="I298" s="232"/>
    </row>
    <row r="299" spans="1:9" ht="15.75" customHeight="1" x14ac:dyDescent="0.3">
      <c r="A299" s="214">
        <f t="shared" si="126"/>
        <v>221</v>
      </c>
      <c r="B299" s="222" t="s">
        <v>1066</v>
      </c>
      <c r="C299" s="214" t="s">
        <v>220</v>
      </c>
      <c r="D299" s="231">
        <v>1</v>
      </c>
      <c r="E299" s="218">
        <v>0</v>
      </c>
      <c r="F299" s="219">
        <f t="shared" si="140"/>
        <v>0</v>
      </c>
      <c r="G299" s="219">
        <f t="shared" si="141"/>
        <v>0</v>
      </c>
      <c r="I299" s="232"/>
    </row>
    <row r="300" spans="1:9" ht="27.6" x14ac:dyDescent="0.3">
      <c r="A300" s="65">
        <f t="shared" si="126"/>
        <v>222</v>
      </c>
      <c r="B300" s="66" t="s">
        <v>407</v>
      </c>
      <c r="C300" s="65" t="s">
        <v>243</v>
      </c>
      <c r="D300" s="70">
        <v>1</v>
      </c>
      <c r="E300" s="213">
        <v>110000.00000000001</v>
      </c>
      <c r="F300" s="101">
        <f t="shared" si="140"/>
        <v>110000</v>
      </c>
      <c r="G300" s="101">
        <f t="shared" si="141"/>
        <v>132000</v>
      </c>
    </row>
    <row r="301" spans="1:9" ht="22.5" customHeight="1" x14ac:dyDescent="0.3">
      <c r="A301" s="552" t="s">
        <v>408</v>
      </c>
      <c r="B301" s="552"/>
      <c r="C301" s="552"/>
      <c r="D301" s="552"/>
      <c r="E301" s="552"/>
      <c r="F301" s="82">
        <f>SUM(F6:F300)</f>
        <v>13180222.359999998</v>
      </c>
      <c r="G301" s="82">
        <f>SUM(G6:G300)</f>
        <v>15816266.830000008</v>
      </c>
    </row>
  </sheetData>
  <mergeCells count="11">
    <mergeCell ref="A301:E301"/>
    <mergeCell ref="B5:D5"/>
    <mergeCell ref="B115:D115"/>
    <mergeCell ref="A1:A3"/>
    <mergeCell ref="B1:B3"/>
    <mergeCell ref="C1:C3"/>
    <mergeCell ref="D1:D3"/>
    <mergeCell ref="B183:D183"/>
    <mergeCell ref="E1:G2"/>
    <mergeCell ref="B144:D144"/>
    <mergeCell ref="B159:D159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528" t="s">
        <v>5</v>
      </c>
      <c r="B2" s="529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531">
        <f>H33/2</f>
        <v>7942400</v>
      </c>
      <c r="H33" s="531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532"/>
      <c r="H34" s="532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530" t="s">
        <v>117</v>
      </c>
      <c r="B59" s="530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4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79998168889431442"/>
  </sheetPr>
  <dimension ref="A1:N42"/>
  <sheetViews>
    <sheetView zoomScaleNormal="100" zoomScaleSheetLayoutView="90" workbookViewId="0">
      <pane ySplit="2" topLeftCell="A3" activePane="bottomLeft" state="frozen"/>
      <selection activeCell="G69" sqref="G69"/>
      <selection pane="bottomLeft" activeCell="L21" sqref="L21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  <col min="10" max="11" width="17" style="440" customWidth="1"/>
    <col min="12" max="12" width="26.5546875" style="492" customWidth="1"/>
  </cols>
  <sheetData>
    <row r="1" spans="1:14" ht="14.4" customHeight="1" x14ac:dyDescent="0.3">
      <c r="A1" s="618" t="s">
        <v>226</v>
      </c>
      <c r="B1" s="539" t="s">
        <v>227</v>
      </c>
      <c r="C1" s="539" t="s">
        <v>228</v>
      </c>
      <c r="D1" s="539" t="s">
        <v>229</v>
      </c>
      <c r="E1" s="539" t="s">
        <v>440</v>
      </c>
      <c r="F1" s="565" t="s">
        <v>433</v>
      </c>
      <c r="G1" s="602" t="s">
        <v>409</v>
      </c>
      <c r="J1" s="536" t="s">
        <v>1657</v>
      </c>
      <c r="K1" s="536" t="s">
        <v>1658</v>
      </c>
    </row>
    <row r="2" spans="1:14" ht="31.2" customHeight="1" x14ac:dyDescent="0.3">
      <c r="A2" s="619"/>
      <c r="B2" s="541"/>
      <c r="C2" s="541"/>
      <c r="D2" s="541"/>
      <c r="E2" s="541"/>
      <c r="F2" s="565"/>
      <c r="G2" s="602"/>
      <c r="J2" s="536"/>
      <c r="K2" s="536"/>
      <c r="L2" s="500"/>
    </row>
    <row r="3" spans="1:14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  <c r="J3" s="536"/>
      <c r="K3" s="536"/>
      <c r="L3" s="501"/>
    </row>
    <row r="4" spans="1:14" x14ac:dyDescent="0.3">
      <c r="A4" s="604" t="s">
        <v>1337</v>
      </c>
      <c r="B4" s="604"/>
      <c r="C4" s="604"/>
      <c r="D4" s="604"/>
      <c r="E4" s="139"/>
      <c r="F4" s="139"/>
      <c r="G4" s="131"/>
      <c r="J4" s="437"/>
      <c r="K4" s="437"/>
      <c r="L4" s="501"/>
    </row>
    <row r="5" spans="1:14" x14ac:dyDescent="0.3">
      <c r="A5" s="616" t="s">
        <v>1336</v>
      </c>
      <c r="B5" s="616"/>
      <c r="C5" s="616"/>
      <c r="D5" s="616"/>
      <c r="E5" s="274"/>
      <c r="F5" s="274"/>
      <c r="G5" s="275"/>
      <c r="J5" s="438"/>
      <c r="K5" s="438">
        <f>E5*J5*1.2</f>
        <v>0</v>
      </c>
    </row>
    <row r="6" spans="1:14" s="209" customFormat="1" ht="21" customHeight="1" x14ac:dyDescent="0.3">
      <c r="A6" s="493">
        <v>1</v>
      </c>
      <c r="B6" s="494" t="s">
        <v>1290</v>
      </c>
      <c r="C6" s="495" t="s">
        <v>1291</v>
      </c>
      <c r="D6" s="496">
        <v>432.9</v>
      </c>
      <c r="E6" s="497">
        <v>1945.13184</v>
      </c>
      <c r="F6" s="477">
        <f t="shared" ref="F6:F21" si="0">ROUND(E6*D6,2)</f>
        <v>842047.57</v>
      </c>
      <c r="G6" s="477">
        <f>ROUND(F6*1.2,2)</f>
        <v>1010457.08</v>
      </c>
      <c r="H6" s="209" t="s">
        <v>1607</v>
      </c>
      <c r="J6" s="439">
        <f>D6-391</f>
        <v>41.899999999999977</v>
      </c>
      <c r="K6" s="439">
        <f t="shared" ref="K6:K41" si="1">E6*J6*1.2</f>
        <v>97801.228915199943</v>
      </c>
      <c r="L6" s="478"/>
      <c r="M6" s="505">
        <f>D6</f>
        <v>432.9</v>
      </c>
      <c r="N6" s="209">
        <v>100</v>
      </c>
    </row>
    <row r="7" spans="1:14" ht="20.25" customHeight="1" x14ac:dyDescent="0.3">
      <c r="A7" s="386">
        <f>A6+1</f>
        <v>2</v>
      </c>
      <c r="B7" s="387" t="s">
        <v>1292</v>
      </c>
      <c r="C7" s="388" t="s">
        <v>220</v>
      </c>
      <c r="D7" s="390">
        <v>1</v>
      </c>
      <c r="E7" s="389">
        <v>3363.933888</v>
      </c>
      <c r="F7" s="288">
        <f t="shared" si="0"/>
        <v>3363.93</v>
      </c>
      <c r="G7" s="288">
        <f t="shared" ref="G7:G41" si="2">ROUND(F7*1.2,2)</f>
        <v>4036.72</v>
      </c>
      <c r="J7" s="438"/>
      <c r="K7" s="438">
        <f t="shared" si="1"/>
        <v>0</v>
      </c>
      <c r="M7" s="504">
        <f>J6</f>
        <v>41.899999999999977</v>
      </c>
      <c r="N7">
        <f>M7*N6/M6/100</f>
        <v>9.6789096789096765E-2</v>
      </c>
    </row>
    <row r="8" spans="1:14" x14ac:dyDescent="0.3">
      <c r="A8" s="386">
        <f>A6+1</f>
        <v>2</v>
      </c>
      <c r="B8" s="387" t="s">
        <v>1608</v>
      </c>
      <c r="C8" s="388" t="s">
        <v>220</v>
      </c>
      <c r="D8" s="390">
        <v>1</v>
      </c>
      <c r="E8" s="389">
        <v>1896.5035439999999</v>
      </c>
      <c r="F8" s="288">
        <f t="shared" si="0"/>
        <v>1896.5</v>
      </c>
      <c r="G8" s="288">
        <f t="shared" si="2"/>
        <v>2275.8000000000002</v>
      </c>
      <c r="J8" s="438"/>
      <c r="K8" s="438">
        <f t="shared" si="1"/>
        <v>0</v>
      </c>
    </row>
    <row r="9" spans="1:14" ht="27.6" x14ac:dyDescent="0.3">
      <c r="A9" s="386">
        <f>A7+1</f>
        <v>3</v>
      </c>
      <c r="B9" s="387" t="s">
        <v>1338</v>
      </c>
      <c r="C9" s="388" t="s">
        <v>220</v>
      </c>
      <c r="D9" s="390">
        <v>1</v>
      </c>
      <c r="E9" s="389">
        <v>11062.93734</v>
      </c>
      <c r="F9" s="288">
        <f t="shared" si="0"/>
        <v>11062.94</v>
      </c>
      <c r="G9" s="288">
        <f t="shared" si="2"/>
        <v>13275.53</v>
      </c>
      <c r="J9" s="438"/>
      <c r="K9" s="438">
        <f t="shared" si="1"/>
        <v>0</v>
      </c>
    </row>
    <row r="10" spans="1:14" ht="27.6" x14ac:dyDescent="0.3">
      <c r="A10" s="386">
        <f t="shared" ref="A10:A41" si="3">A9+1</f>
        <v>4</v>
      </c>
      <c r="B10" s="387" t="s">
        <v>1293</v>
      </c>
      <c r="C10" s="388" t="s">
        <v>220</v>
      </c>
      <c r="D10" s="390">
        <v>1</v>
      </c>
      <c r="E10" s="389">
        <v>7381.4892839999993</v>
      </c>
      <c r="F10" s="288">
        <f t="shared" si="0"/>
        <v>7381.49</v>
      </c>
      <c r="G10" s="288">
        <f t="shared" si="2"/>
        <v>8857.7900000000009</v>
      </c>
      <c r="J10" s="438"/>
      <c r="K10" s="438">
        <f t="shared" si="1"/>
        <v>0</v>
      </c>
    </row>
    <row r="11" spans="1:14" ht="27.6" x14ac:dyDescent="0.3">
      <c r="A11" s="386">
        <f t="shared" si="3"/>
        <v>5</v>
      </c>
      <c r="B11" s="387" t="s">
        <v>1294</v>
      </c>
      <c r="C11" s="388" t="s">
        <v>220</v>
      </c>
      <c r="D11" s="390">
        <v>2</v>
      </c>
      <c r="E11" s="389">
        <v>11583.546156</v>
      </c>
      <c r="F11" s="288">
        <f t="shared" si="0"/>
        <v>23167.09</v>
      </c>
      <c r="G11" s="288">
        <f t="shared" si="2"/>
        <v>27800.51</v>
      </c>
      <c r="J11" s="438"/>
      <c r="K11" s="438">
        <f t="shared" si="1"/>
        <v>0</v>
      </c>
    </row>
    <row r="12" spans="1:14" ht="27.6" x14ac:dyDescent="0.3">
      <c r="A12" s="386">
        <f t="shared" si="3"/>
        <v>6</v>
      </c>
      <c r="B12" s="387" t="s">
        <v>1295</v>
      </c>
      <c r="C12" s="388" t="s">
        <v>220</v>
      </c>
      <c r="D12" s="390">
        <v>2</v>
      </c>
      <c r="E12" s="389">
        <v>11583.546156</v>
      </c>
      <c r="F12" s="288">
        <f t="shared" si="0"/>
        <v>23167.09</v>
      </c>
      <c r="G12" s="288">
        <f t="shared" si="2"/>
        <v>27800.51</v>
      </c>
      <c r="J12" s="438"/>
      <c r="K12" s="438">
        <f t="shared" si="1"/>
        <v>0</v>
      </c>
    </row>
    <row r="13" spans="1:14" s="209" customFormat="1" ht="27.6" x14ac:dyDescent="0.3">
      <c r="A13" s="493">
        <f t="shared" si="3"/>
        <v>7</v>
      </c>
      <c r="B13" s="494" t="s">
        <v>1296</v>
      </c>
      <c r="C13" s="495" t="s">
        <v>1291</v>
      </c>
      <c r="D13" s="498">
        <v>85</v>
      </c>
      <c r="E13" s="497">
        <v>1367.3132639999999</v>
      </c>
      <c r="F13" s="477">
        <f t="shared" si="0"/>
        <v>116221.63</v>
      </c>
      <c r="G13" s="477">
        <f t="shared" si="2"/>
        <v>139465.96</v>
      </c>
      <c r="J13" s="439">
        <f>D13-31.64-25</f>
        <v>28.36</v>
      </c>
      <c r="K13" s="439">
        <f t="shared" si="1"/>
        <v>46532.405000447994</v>
      </c>
      <c r="L13" s="478"/>
    </row>
    <row r="14" spans="1:14" ht="21.75" customHeight="1" x14ac:dyDescent="0.3">
      <c r="A14" s="386">
        <f t="shared" si="3"/>
        <v>8</v>
      </c>
      <c r="B14" s="387" t="s">
        <v>1297</v>
      </c>
      <c r="C14" s="388" t="s">
        <v>220</v>
      </c>
      <c r="D14" s="390">
        <v>32</v>
      </c>
      <c r="E14" s="389">
        <v>1367.3132639999999</v>
      </c>
      <c r="F14" s="288">
        <f t="shared" si="0"/>
        <v>43754.02</v>
      </c>
      <c r="G14" s="288">
        <f t="shared" si="2"/>
        <v>52504.82</v>
      </c>
      <c r="J14" s="438"/>
      <c r="K14" s="438">
        <f t="shared" si="1"/>
        <v>0</v>
      </c>
    </row>
    <row r="15" spans="1:14" ht="21.75" customHeight="1" x14ac:dyDescent="0.3">
      <c r="A15" s="386">
        <f t="shared" si="3"/>
        <v>9</v>
      </c>
      <c r="B15" s="387" t="s">
        <v>1611</v>
      </c>
      <c r="C15" s="388" t="s">
        <v>254</v>
      </c>
      <c r="D15" s="390">
        <v>45</v>
      </c>
      <c r="E15" s="389">
        <v>441.05546640000006</v>
      </c>
      <c r="F15" s="288">
        <f t="shared" si="0"/>
        <v>19847.5</v>
      </c>
      <c r="G15" s="288">
        <f t="shared" si="2"/>
        <v>23817</v>
      </c>
      <c r="J15" s="438"/>
      <c r="K15" s="438">
        <f t="shared" si="1"/>
        <v>0</v>
      </c>
    </row>
    <row r="16" spans="1:14" s="209" customFormat="1" x14ac:dyDescent="0.3">
      <c r="A16" s="493">
        <f t="shared" si="3"/>
        <v>10</v>
      </c>
      <c r="B16" s="499" t="s">
        <v>1298</v>
      </c>
      <c r="C16" s="495" t="s">
        <v>1291</v>
      </c>
      <c r="D16" s="503">
        <v>427.9</v>
      </c>
      <c r="E16" s="497">
        <v>14.302440000000001</v>
      </c>
      <c r="F16" s="477">
        <f t="shared" si="0"/>
        <v>6120.01</v>
      </c>
      <c r="G16" s="477">
        <f t="shared" si="2"/>
        <v>7344.01</v>
      </c>
      <c r="J16" s="439">
        <f>J6</f>
        <v>41.899999999999977</v>
      </c>
      <c r="K16" s="439">
        <f t="shared" si="1"/>
        <v>719.12668319999955</v>
      </c>
      <c r="L16" s="478"/>
    </row>
    <row r="17" spans="1:14" s="209" customFormat="1" ht="27.6" x14ac:dyDescent="0.3">
      <c r="A17" s="493">
        <f t="shared" si="3"/>
        <v>11</v>
      </c>
      <c r="B17" s="499" t="s">
        <v>1299</v>
      </c>
      <c r="C17" s="495" t="s">
        <v>220</v>
      </c>
      <c r="D17" s="493">
        <v>72</v>
      </c>
      <c r="E17" s="497">
        <v>9383.8308839999991</v>
      </c>
      <c r="F17" s="477">
        <f t="shared" si="0"/>
        <v>675635.82</v>
      </c>
      <c r="G17" s="477">
        <f t="shared" si="2"/>
        <v>810762.98</v>
      </c>
      <c r="J17" s="439">
        <f>7</f>
        <v>7</v>
      </c>
      <c r="K17" s="439">
        <f t="shared" si="1"/>
        <v>78824.179425599999</v>
      </c>
      <c r="L17" s="478">
        <f>J6/6</f>
        <v>6.9833333333333298</v>
      </c>
    </row>
    <row r="18" spans="1:14" s="209" customFormat="1" ht="27.6" x14ac:dyDescent="0.3">
      <c r="A18" s="493">
        <f t="shared" si="3"/>
        <v>12</v>
      </c>
      <c r="B18" s="499" t="s">
        <v>1300</v>
      </c>
      <c r="C18" s="495" t="s">
        <v>220</v>
      </c>
      <c r="D18" s="493">
        <v>17</v>
      </c>
      <c r="E18" s="497">
        <v>15146.283960000001</v>
      </c>
      <c r="F18" s="477">
        <f t="shared" si="0"/>
        <v>257486.83</v>
      </c>
      <c r="G18" s="477">
        <f t="shared" si="2"/>
        <v>308984.2</v>
      </c>
      <c r="J18" s="439">
        <v>10</v>
      </c>
      <c r="K18" s="439">
        <f t="shared" si="1"/>
        <v>181755.40752000001</v>
      </c>
      <c r="L18" s="478">
        <f>31.64/6+25/6</f>
        <v>9.4400000000000013</v>
      </c>
    </row>
    <row r="19" spans="1:14" ht="27.6" x14ac:dyDescent="0.3">
      <c r="A19" s="386">
        <f t="shared" si="3"/>
        <v>13</v>
      </c>
      <c r="B19" s="385" t="s">
        <v>1301</v>
      </c>
      <c r="C19" s="388" t="s">
        <v>1291</v>
      </c>
      <c r="D19" s="386">
        <v>3</v>
      </c>
      <c r="E19" s="389">
        <v>6394.6209239999998</v>
      </c>
      <c r="F19" s="288">
        <f t="shared" si="0"/>
        <v>19183.86</v>
      </c>
      <c r="G19" s="288">
        <f t="shared" si="2"/>
        <v>23020.63</v>
      </c>
      <c r="H19" s="209" t="s">
        <v>1609</v>
      </c>
      <c r="J19" s="438"/>
      <c r="K19" s="438">
        <f t="shared" si="1"/>
        <v>0</v>
      </c>
    </row>
    <row r="20" spans="1:14" s="209" customFormat="1" x14ac:dyDescent="0.3">
      <c r="A20" s="493">
        <f t="shared" si="3"/>
        <v>14</v>
      </c>
      <c r="B20" s="499" t="s">
        <v>1302</v>
      </c>
      <c r="C20" s="495" t="s">
        <v>194</v>
      </c>
      <c r="D20" s="493">
        <v>560</v>
      </c>
      <c r="E20" s="497">
        <v>185.93172000000001</v>
      </c>
      <c r="F20" s="477">
        <f t="shared" si="0"/>
        <v>104121.76</v>
      </c>
      <c r="G20" s="477">
        <f t="shared" si="2"/>
        <v>124946.11</v>
      </c>
      <c r="H20" s="209" t="s">
        <v>1610</v>
      </c>
      <c r="J20" s="439">
        <f>D20*J6/D6</f>
        <v>54.20189420189417</v>
      </c>
      <c r="K20" s="439">
        <f t="shared" si="1"/>
        <v>12093.421699459454</v>
      </c>
      <c r="L20" s="478"/>
    </row>
    <row r="21" spans="1:14" s="209" customFormat="1" x14ac:dyDescent="0.3">
      <c r="A21" s="493">
        <f t="shared" si="3"/>
        <v>15</v>
      </c>
      <c r="B21" s="499" t="s">
        <v>1339</v>
      </c>
      <c r="C21" s="495" t="s">
        <v>220</v>
      </c>
      <c r="D21" s="493">
        <v>3</v>
      </c>
      <c r="E21" s="497">
        <v>14727.222467999998</v>
      </c>
      <c r="F21" s="477">
        <f t="shared" si="0"/>
        <v>44181.67</v>
      </c>
      <c r="G21" s="477">
        <f t="shared" si="2"/>
        <v>53018</v>
      </c>
      <c r="J21" s="439">
        <v>1</v>
      </c>
      <c r="K21" s="439">
        <f t="shared" si="1"/>
        <v>17672.666961599996</v>
      </c>
      <c r="L21" s="478"/>
    </row>
    <row r="22" spans="1:14" x14ac:dyDescent="0.3">
      <c r="A22" s="617" t="s">
        <v>513</v>
      </c>
      <c r="B22" s="617" t="s">
        <v>1340</v>
      </c>
      <c r="C22" s="617"/>
      <c r="D22" s="617"/>
      <c r="E22" s="389">
        <v>0</v>
      </c>
      <c r="F22" s="389"/>
      <c r="G22" s="384"/>
      <c r="J22" s="438"/>
      <c r="K22" s="438">
        <f t="shared" si="1"/>
        <v>0</v>
      </c>
    </row>
    <row r="23" spans="1:14" s="209" customFormat="1" ht="27.6" x14ac:dyDescent="0.3">
      <c r="A23" s="493">
        <f>A21+1</f>
        <v>16</v>
      </c>
      <c r="B23" s="499" t="s">
        <v>1311</v>
      </c>
      <c r="C23" s="495" t="s">
        <v>193</v>
      </c>
      <c r="D23" s="503">
        <v>428.7</v>
      </c>
      <c r="E23" s="497">
        <v>464.82929999999999</v>
      </c>
      <c r="F23" s="477">
        <f t="shared" ref="F23:F36" si="4">ROUND(E23*D23,2)</f>
        <v>199272.32000000001</v>
      </c>
      <c r="G23" s="477">
        <f t="shared" si="2"/>
        <v>239126.78</v>
      </c>
      <c r="J23" s="439">
        <f>D23*N7</f>
        <v>41.493485793485782</v>
      </c>
      <c r="K23" s="439">
        <f t="shared" si="1"/>
        <v>23144.865547135127</v>
      </c>
      <c r="L23" s="478"/>
    </row>
    <row r="24" spans="1:14" s="209" customFormat="1" x14ac:dyDescent="0.3">
      <c r="A24" s="493">
        <f>A23+1</f>
        <v>17</v>
      </c>
      <c r="B24" s="499" t="s">
        <v>1312</v>
      </c>
      <c r="C24" s="495" t="s">
        <v>193</v>
      </c>
      <c r="D24" s="503">
        <v>32.200000000000003</v>
      </c>
      <c r="E24" s="497">
        <v>2541.5435879999995</v>
      </c>
      <c r="F24" s="477">
        <f t="shared" si="4"/>
        <v>81837.7</v>
      </c>
      <c r="G24" s="477">
        <f t="shared" si="2"/>
        <v>98205.24</v>
      </c>
      <c r="J24" s="439">
        <f>D24*N7</f>
        <v>3.1166089166089161</v>
      </c>
      <c r="K24" s="439">
        <f t="shared" si="1"/>
        <v>9505.1968899732201</v>
      </c>
      <c r="L24" s="478"/>
      <c r="N24" s="506"/>
    </row>
    <row r="25" spans="1:14" x14ac:dyDescent="0.3">
      <c r="A25" s="386">
        <f t="shared" si="3"/>
        <v>18</v>
      </c>
      <c r="B25" s="385" t="s">
        <v>1602</v>
      </c>
      <c r="C25" s="388" t="s">
        <v>220</v>
      </c>
      <c r="D25" s="386">
        <v>6</v>
      </c>
      <c r="E25" s="389">
        <v>314.65368000000001</v>
      </c>
      <c r="F25" s="288">
        <f t="shared" si="4"/>
        <v>1887.92</v>
      </c>
      <c r="G25" s="288">
        <f t="shared" si="2"/>
        <v>2265.5</v>
      </c>
      <c r="J25" s="438"/>
      <c r="K25" s="438">
        <f t="shared" si="1"/>
        <v>0</v>
      </c>
    </row>
    <row r="26" spans="1:14" s="209" customFormat="1" ht="27.6" x14ac:dyDescent="0.3">
      <c r="A26" s="493">
        <f t="shared" si="3"/>
        <v>19</v>
      </c>
      <c r="B26" s="499" t="s">
        <v>1313</v>
      </c>
      <c r="C26" s="495" t="s">
        <v>193</v>
      </c>
      <c r="D26" s="507">
        <v>21.43</v>
      </c>
      <c r="E26" s="497">
        <v>1972.306476</v>
      </c>
      <c r="F26" s="477">
        <f t="shared" si="4"/>
        <v>42266.53</v>
      </c>
      <c r="G26" s="477">
        <f t="shared" si="2"/>
        <v>50719.839999999997</v>
      </c>
      <c r="J26" s="439">
        <f>D26*N7</f>
        <v>2.0741903441903435</v>
      </c>
      <c r="K26" s="439">
        <f t="shared" si="1"/>
        <v>4909.12685796394</v>
      </c>
      <c r="L26" s="478"/>
    </row>
    <row r="27" spans="1:14" s="209" customFormat="1" ht="27.6" x14ac:dyDescent="0.3">
      <c r="A27" s="493">
        <f t="shared" si="3"/>
        <v>20</v>
      </c>
      <c r="B27" s="499" t="s">
        <v>1314</v>
      </c>
      <c r="C27" s="495" t="s">
        <v>193</v>
      </c>
      <c r="D27" s="503">
        <v>42.9</v>
      </c>
      <c r="E27" s="497">
        <v>1972.306476</v>
      </c>
      <c r="F27" s="477">
        <f t="shared" si="4"/>
        <v>84611.95</v>
      </c>
      <c r="G27" s="477">
        <f t="shared" si="2"/>
        <v>101534.34</v>
      </c>
      <c r="J27" s="439">
        <f>D27*N7</f>
        <v>4.1522522522522509</v>
      </c>
      <c r="K27" s="439">
        <f t="shared" si="1"/>
        <v>9827.4168085232395</v>
      </c>
      <c r="L27" s="478"/>
    </row>
    <row r="28" spans="1:14" x14ac:dyDescent="0.3">
      <c r="A28" s="386">
        <f t="shared" si="3"/>
        <v>21</v>
      </c>
      <c r="B28" s="385" t="s">
        <v>1341</v>
      </c>
      <c r="C28" s="388" t="s">
        <v>239</v>
      </c>
      <c r="D28" s="392">
        <v>141.63999999999999</v>
      </c>
      <c r="E28" s="389">
        <v>0</v>
      </c>
      <c r="F28" s="288">
        <f t="shared" si="4"/>
        <v>0</v>
      </c>
      <c r="G28" s="288">
        <f t="shared" si="2"/>
        <v>0</v>
      </c>
      <c r="H28" s="209" t="s">
        <v>1603</v>
      </c>
      <c r="J28" s="438"/>
      <c r="K28" s="438">
        <f t="shared" si="1"/>
        <v>0</v>
      </c>
    </row>
    <row r="29" spans="1:14" x14ac:dyDescent="0.3">
      <c r="A29" s="386">
        <f t="shared" si="3"/>
        <v>22</v>
      </c>
      <c r="B29" s="385" t="s">
        <v>1343</v>
      </c>
      <c r="C29" s="388" t="s">
        <v>1342</v>
      </c>
      <c r="D29" s="393" t="s">
        <v>586</v>
      </c>
      <c r="E29" s="389">
        <v>1772.0723159999998</v>
      </c>
      <c r="F29" s="288">
        <f t="shared" si="4"/>
        <v>7088.29</v>
      </c>
      <c r="G29" s="288">
        <f t="shared" si="2"/>
        <v>8505.9500000000007</v>
      </c>
      <c r="J29" s="438"/>
      <c r="K29" s="438">
        <f t="shared" si="1"/>
        <v>0</v>
      </c>
    </row>
    <row r="30" spans="1:14" s="209" customFormat="1" ht="18" customHeight="1" x14ac:dyDescent="0.3">
      <c r="A30" s="493">
        <f t="shared" si="3"/>
        <v>23</v>
      </c>
      <c r="B30" s="499" t="s">
        <v>1315</v>
      </c>
      <c r="C30" s="495" t="s">
        <v>1291</v>
      </c>
      <c r="D30" s="493">
        <v>85</v>
      </c>
      <c r="E30" s="497">
        <v>1842.1542719999998</v>
      </c>
      <c r="F30" s="477">
        <f t="shared" si="4"/>
        <v>156583.10999999999</v>
      </c>
      <c r="G30" s="477">
        <f t="shared" si="2"/>
        <v>187899.73</v>
      </c>
      <c r="J30" s="439">
        <f>J13</f>
        <v>28.36</v>
      </c>
      <c r="K30" s="439">
        <f t="shared" si="1"/>
        <v>62692.194184703985</v>
      </c>
      <c r="L30" s="478"/>
    </row>
    <row r="31" spans="1:14" ht="18" customHeight="1" x14ac:dyDescent="0.3">
      <c r="A31" s="386"/>
      <c r="B31" s="385" t="s">
        <v>1604</v>
      </c>
      <c r="C31" s="388" t="s">
        <v>217</v>
      </c>
      <c r="D31" s="386">
        <v>4</v>
      </c>
      <c r="E31" s="389">
        <v>3708.6226919999999</v>
      </c>
      <c r="F31" s="288">
        <f t="shared" si="4"/>
        <v>14834.49</v>
      </c>
      <c r="G31" s="288">
        <f t="shared" si="2"/>
        <v>17801.39</v>
      </c>
      <c r="H31" s="209" t="s">
        <v>1605</v>
      </c>
      <c r="J31" s="438"/>
      <c r="K31" s="438">
        <f t="shared" si="1"/>
        <v>0</v>
      </c>
    </row>
    <row r="32" spans="1:14" s="209" customFormat="1" x14ac:dyDescent="0.3">
      <c r="A32" s="493">
        <f>A30+1</f>
        <v>24</v>
      </c>
      <c r="B32" s="499" t="s">
        <v>1316</v>
      </c>
      <c r="C32" s="495" t="s">
        <v>194</v>
      </c>
      <c r="D32" s="508">
        <f>433+3</f>
        <v>436</v>
      </c>
      <c r="E32" s="497">
        <v>429.07319999999999</v>
      </c>
      <c r="F32" s="477">
        <f t="shared" si="4"/>
        <v>187075.92</v>
      </c>
      <c r="G32" s="477">
        <f t="shared" si="2"/>
        <v>224491.1</v>
      </c>
      <c r="J32" s="439">
        <f>D32*N7</f>
        <v>42.200046200046188</v>
      </c>
      <c r="K32" s="439">
        <f t="shared" si="1"/>
        <v>21728.29063584199</v>
      </c>
      <c r="L32" s="478"/>
    </row>
    <row r="33" spans="1:12" s="209" customFormat="1" x14ac:dyDescent="0.3">
      <c r="A33" s="493">
        <f t="shared" si="3"/>
        <v>25</v>
      </c>
      <c r="B33" s="499" t="s">
        <v>1317</v>
      </c>
      <c r="C33" s="495" t="s">
        <v>193</v>
      </c>
      <c r="D33" s="503">
        <v>420.1</v>
      </c>
      <c r="E33" s="497">
        <v>178.78050000000002</v>
      </c>
      <c r="F33" s="477">
        <f t="shared" si="4"/>
        <v>75105.69</v>
      </c>
      <c r="G33" s="477">
        <f t="shared" si="2"/>
        <v>90126.83</v>
      </c>
      <c r="J33" s="439">
        <f>D33*N7</f>
        <v>40.661099561099554</v>
      </c>
      <c r="K33" s="439">
        <f t="shared" si="1"/>
        <v>8723.2940520997909</v>
      </c>
      <c r="L33" s="478"/>
    </row>
    <row r="34" spans="1:12" s="209" customFormat="1" ht="27.6" x14ac:dyDescent="0.3">
      <c r="A34" s="493">
        <f t="shared" si="3"/>
        <v>26</v>
      </c>
      <c r="B34" s="499" t="s">
        <v>1318</v>
      </c>
      <c r="C34" s="495" t="s">
        <v>1319</v>
      </c>
      <c r="D34" s="493">
        <v>7</v>
      </c>
      <c r="E34" s="497">
        <v>29717.609831999995</v>
      </c>
      <c r="F34" s="477">
        <f t="shared" si="4"/>
        <v>208023.27</v>
      </c>
      <c r="G34" s="477">
        <f t="shared" si="2"/>
        <v>249627.92</v>
      </c>
      <c r="J34" s="439">
        <v>1</v>
      </c>
      <c r="K34" s="439">
        <f t="shared" si="1"/>
        <v>35661.131798399991</v>
      </c>
      <c r="L34" s="478"/>
    </row>
    <row r="35" spans="1:12" s="209" customFormat="1" x14ac:dyDescent="0.3">
      <c r="A35" s="493">
        <f t="shared" si="3"/>
        <v>27</v>
      </c>
      <c r="B35" s="499" t="s">
        <v>1320</v>
      </c>
      <c r="C35" s="495" t="s">
        <v>194</v>
      </c>
      <c r="D35" s="493">
        <v>432</v>
      </c>
      <c r="E35" s="497">
        <v>97.392332749999994</v>
      </c>
      <c r="F35" s="477">
        <f t="shared" si="4"/>
        <v>42073.49</v>
      </c>
      <c r="G35" s="477">
        <f t="shared" si="2"/>
        <v>50488.19</v>
      </c>
      <c r="J35" s="439">
        <f>D35*N7</f>
        <v>41.8128898128898</v>
      </c>
      <c r="K35" s="439">
        <f t="shared" si="1"/>
        <v>4886.7058534752578</v>
      </c>
      <c r="L35" s="478"/>
    </row>
    <row r="36" spans="1:12" s="209" customFormat="1" x14ac:dyDescent="0.3">
      <c r="A36" s="493">
        <f t="shared" si="3"/>
        <v>28</v>
      </c>
      <c r="B36" s="499" t="s">
        <v>1321</v>
      </c>
      <c r="C36" s="495" t="s">
        <v>194</v>
      </c>
      <c r="D36" s="493">
        <v>432</v>
      </c>
      <c r="E36" s="497">
        <v>143.02440000000001</v>
      </c>
      <c r="F36" s="477">
        <f t="shared" si="4"/>
        <v>61786.54</v>
      </c>
      <c r="G36" s="477">
        <f t="shared" si="2"/>
        <v>74143.850000000006</v>
      </c>
      <c r="J36" s="439">
        <f>J35</f>
        <v>41.8128898128898</v>
      </c>
      <c r="K36" s="439">
        <f t="shared" si="1"/>
        <v>7176.3161733056113</v>
      </c>
      <c r="L36" s="478"/>
    </row>
    <row r="37" spans="1:12" x14ac:dyDescent="0.3">
      <c r="A37" s="386"/>
      <c r="B37" s="394" t="s">
        <v>713</v>
      </c>
      <c r="C37" s="388"/>
      <c r="D37" s="386"/>
      <c r="E37" s="389">
        <v>0</v>
      </c>
      <c r="F37" s="389"/>
      <c r="G37" s="384"/>
      <c r="J37" s="438"/>
      <c r="K37" s="438">
        <f t="shared" si="1"/>
        <v>0</v>
      </c>
    </row>
    <row r="38" spans="1:12" x14ac:dyDescent="0.3">
      <c r="A38" s="386">
        <f>A36+1</f>
        <v>29</v>
      </c>
      <c r="B38" s="385" t="s">
        <v>1322</v>
      </c>
      <c r="C38" s="388" t="s">
        <v>239</v>
      </c>
      <c r="D38" s="391">
        <v>0.16</v>
      </c>
      <c r="E38" s="389">
        <v>111210.410025</v>
      </c>
      <c r="F38" s="288">
        <f>ROUND(E38*D38,2)</f>
        <v>17793.669999999998</v>
      </c>
      <c r="G38" s="288">
        <f t="shared" si="2"/>
        <v>21352.400000000001</v>
      </c>
      <c r="J38" s="438"/>
      <c r="K38" s="438">
        <f t="shared" si="1"/>
        <v>0</v>
      </c>
    </row>
    <row r="39" spans="1:12" x14ac:dyDescent="0.3">
      <c r="A39" s="386">
        <f t="shared" si="3"/>
        <v>30</v>
      </c>
      <c r="B39" s="385" t="s">
        <v>1344</v>
      </c>
      <c r="C39" s="388" t="s">
        <v>194</v>
      </c>
      <c r="D39" s="392">
        <v>312</v>
      </c>
      <c r="E39" s="389">
        <v>1158.49764</v>
      </c>
      <c r="F39" s="288">
        <f>ROUND(E39*D39,2)</f>
        <v>361451.26</v>
      </c>
      <c r="G39" s="288">
        <f t="shared" si="2"/>
        <v>433741.51</v>
      </c>
      <c r="J39" s="438"/>
      <c r="K39" s="438">
        <f t="shared" si="1"/>
        <v>0</v>
      </c>
    </row>
    <row r="40" spans="1:12" x14ac:dyDescent="0.3">
      <c r="A40" s="386">
        <f t="shared" si="3"/>
        <v>31</v>
      </c>
      <c r="B40" s="385" t="s">
        <v>1323</v>
      </c>
      <c r="C40" s="388" t="s">
        <v>239</v>
      </c>
      <c r="D40" s="391">
        <v>0.35</v>
      </c>
      <c r="E40" s="389">
        <v>111211.68702857142</v>
      </c>
      <c r="F40" s="288">
        <f>ROUND(E40*D40,2)</f>
        <v>38924.089999999997</v>
      </c>
      <c r="G40" s="288">
        <f t="shared" si="2"/>
        <v>46708.91</v>
      </c>
      <c r="J40" s="438"/>
      <c r="K40" s="438">
        <f t="shared" si="1"/>
        <v>0</v>
      </c>
    </row>
    <row r="41" spans="1:12" ht="27.6" x14ac:dyDescent="0.3">
      <c r="A41" s="386">
        <f t="shared" si="3"/>
        <v>32</v>
      </c>
      <c r="B41" s="385" t="s">
        <v>1656</v>
      </c>
      <c r="C41" s="388" t="s">
        <v>239</v>
      </c>
      <c r="D41" s="391">
        <v>0.18</v>
      </c>
      <c r="E41" s="389">
        <v>0</v>
      </c>
      <c r="F41" s="288">
        <f>ROUND(E41*D41,2)</f>
        <v>0</v>
      </c>
      <c r="G41" s="288">
        <f t="shared" si="2"/>
        <v>0</v>
      </c>
      <c r="H41" s="209" t="s">
        <v>1606</v>
      </c>
      <c r="J41" s="438"/>
      <c r="K41" s="438">
        <f t="shared" si="1"/>
        <v>0</v>
      </c>
    </row>
    <row r="42" spans="1:12" s="1" customFormat="1" x14ac:dyDescent="0.3">
      <c r="A42" s="118"/>
      <c r="B42" s="601" t="s">
        <v>439</v>
      </c>
      <c r="C42" s="601"/>
      <c r="D42" s="601"/>
      <c r="E42" s="601"/>
      <c r="F42" s="144">
        <f>SUM(F4:F41)</f>
        <v>3779255.95</v>
      </c>
      <c r="G42" s="319">
        <f>SUM(G4:G41)</f>
        <v>4535107.13</v>
      </c>
      <c r="J42" s="438"/>
      <c r="K42" s="436">
        <f>SUM(K5:K41)</f>
        <v>623652.97500692948</v>
      </c>
      <c r="L42" s="502"/>
    </row>
  </sheetData>
  <mergeCells count="13">
    <mergeCell ref="J1:J3"/>
    <mergeCell ref="K1:K3"/>
    <mergeCell ref="B42:E42"/>
    <mergeCell ref="A4:D4"/>
    <mergeCell ref="A5:D5"/>
    <mergeCell ref="A22:D22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scale="6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79998168889431442"/>
  </sheetPr>
  <dimension ref="A1:L32"/>
  <sheetViews>
    <sheetView zoomScaleNormal="100" zoomScaleSheetLayoutView="90" workbookViewId="0">
      <pane ySplit="3" topLeftCell="A4" activePane="bottomLeft" state="frozen"/>
      <selection activeCell="G69" sqref="G69"/>
      <selection pane="bottomLeft" activeCell="J11" sqref="J11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  <col min="10" max="11" width="17" style="440" customWidth="1"/>
  </cols>
  <sheetData>
    <row r="1" spans="1:12" ht="14.4" customHeight="1" x14ac:dyDescent="0.3">
      <c r="A1" s="605" t="s">
        <v>226</v>
      </c>
      <c r="B1" s="565" t="s">
        <v>227</v>
      </c>
      <c r="C1" s="565" t="s">
        <v>228</v>
      </c>
      <c r="D1" s="565" t="s">
        <v>229</v>
      </c>
      <c r="E1" s="626" t="s">
        <v>196</v>
      </c>
      <c r="F1" s="620" t="s">
        <v>197</v>
      </c>
      <c r="G1" s="623" t="s">
        <v>199</v>
      </c>
      <c r="J1" s="536" t="s">
        <v>1657</v>
      </c>
      <c r="K1" s="536" t="s">
        <v>1658</v>
      </c>
    </row>
    <row r="2" spans="1:12" x14ac:dyDescent="0.3">
      <c r="A2" s="605"/>
      <c r="B2" s="565"/>
      <c r="C2" s="565"/>
      <c r="D2" s="565"/>
      <c r="E2" s="627"/>
      <c r="F2" s="621"/>
      <c r="G2" s="624"/>
      <c r="J2" s="536"/>
      <c r="K2" s="536"/>
      <c r="L2" s="381"/>
    </row>
    <row r="3" spans="1:12" ht="27.6" customHeight="1" x14ac:dyDescent="0.3">
      <c r="A3" s="605"/>
      <c r="B3" s="565"/>
      <c r="C3" s="565"/>
      <c r="D3" s="565"/>
      <c r="E3" s="628"/>
      <c r="F3" s="622"/>
      <c r="G3" s="625"/>
      <c r="J3" s="536"/>
      <c r="K3" s="536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7"/>
      <c r="K4" s="437"/>
      <c r="L4" s="381"/>
    </row>
    <row r="5" spans="1:12" ht="15" customHeight="1" x14ac:dyDescent="0.3">
      <c r="A5" s="604" t="s">
        <v>1337</v>
      </c>
      <c r="B5" s="604"/>
      <c r="C5" s="604"/>
      <c r="D5" s="604"/>
      <c r="E5" s="134"/>
      <c r="F5" s="134"/>
      <c r="G5" s="134"/>
      <c r="J5" s="438"/>
      <c r="K5" s="438">
        <f>E5*J5*1.2</f>
        <v>0</v>
      </c>
    </row>
    <row r="6" spans="1:12" x14ac:dyDescent="0.3">
      <c r="A6" s="276"/>
      <c r="B6" s="276" t="s">
        <v>1274</v>
      </c>
      <c r="C6" s="276"/>
      <c r="D6" s="276"/>
      <c r="E6" s="98"/>
      <c r="F6" s="98"/>
      <c r="G6" s="98"/>
      <c r="J6" s="438"/>
      <c r="K6" s="438">
        <f t="shared" ref="K6:K31" si="0">E6*J6*1.2</f>
        <v>0</v>
      </c>
    </row>
    <row r="7" spans="1:12" x14ac:dyDescent="0.3">
      <c r="A7" s="118">
        <v>1</v>
      </c>
      <c r="B7" s="66" t="s">
        <v>1273</v>
      </c>
      <c r="C7" s="123" t="s">
        <v>220</v>
      </c>
      <c r="D7" s="118">
        <v>1</v>
      </c>
      <c r="E7" s="307">
        <v>47942.244000000006</v>
      </c>
      <c r="F7" s="288">
        <f>ROUND(E7*D7,2)</f>
        <v>47942.239999999998</v>
      </c>
      <c r="G7" s="288">
        <f>ROUND(F7*1.2,2)</f>
        <v>57530.69</v>
      </c>
      <c r="J7" s="438"/>
      <c r="K7" s="438">
        <f t="shared" si="0"/>
        <v>0</v>
      </c>
    </row>
    <row r="8" spans="1:12" x14ac:dyDescent="0.3">
      <c r="A8" s="308"/>
      <c r="B8" s="308" t="s">
        <v>1275</v>
      </c>
      <c r="C8" s="308"/>
      <c r="D8" s="308"/>
      <c r="E8" s="307">
        <v>0</v>
      </c>
      <c r="F8" s="95"/>
      <c r="G8" s="95"/>
      <c r="J8" s="438"/>
      <c r="K8" s="438">
        <f t="shared" si="0"/>
        <v>0</v>
      </c>
    </row>
    <row r="9" spans="1:12" s="209" customFormat="1" x14ac:dyDescent="0.3">
      <c r="A9" s="509">
        <f>A7+1</f>
        <v>2</v>
      </c>
      <c r="B9" s="208" t="s">
        <v>1303</v>
      </c>
      <c r="C9" s="510" t="s">
        <v>194</v>
      </c>
      <c r="D9" s="509">
        <v>85</v>
      </c>
      <c r="E9" s="511">
        <v>8750.7483000000011</v>
      </c>
      <c r="F9" s="477">
        <f t="shared" ref="F9:F22" si="1">ROUND(E9*D9,2)</f>
        <v>743813.61</v>
      </c>
      <c r="G9" s="477">
        <f t="shared" ref="G9:G31" si="2">ROUND(F9*1.2,2)</f>
        <v>892576.33</v>
      </c>
      <c r="J9" s="439">
        <f>'СМР ГСН'!J13</f>
        <v>28.36</v>
      </c>
      <c r="K9" s="439">
        <f t="shared" si="0"/>
        <v>297805.46614560002</v>
      </c>
    </row>
    <row r="10" spans="1:12" s="209" customFormat="1" x14ac:dyDescent="0.3">
      <c r="A10" s="509">
        <f>A9+1</f>
        <v>3</v>
      </c>
      <c r="B10" s="208" t="s">
        <v>1304</v>
      </c>
      <c r="C10" s="510" t="s">
        <v>194</v>
      </c>
      <c r="D10" s="512">
        <v>432.9</v>
      </c>
      <c r="E10" s="511">
        <v>1902.2245200000002</v>
      </c>
      <c r="F10" s="477">
        <f t="shared" si="1"/>
        <v>823472.99</v>
      </c>
      <c r="G10" s="477">
        <f t="shared" si="2"/>
        <v>988167.59</v>
      </c>
      <c r="J10" s="439">
        <f>'СМР ГСН'!J6</f>
        <v>41.899999999999977</v>
      </c>
      <c r="K10" s="439">
        <f t="shared" si="0"/>
        <v>95643.848865599954</v>
      </c>
    </row>
    <row r="11" spans="1:12" x14ac:dyDescent="0.3">
      <c r="A11" s="118">
        <f>A10+1</f>
        <v>4</v>
      </c>
      <c r="B11" s="130" t="s">
        <v>1276</v>
      </c>
      <c r="C11" s="123" t="s">
        <v>194</v>
      </c>
      <c r="D11" s="118">
        <v>3</v>
      </c>
      <c r="E11" s="307">
        <v>8960.8178100000005</v>
      </c>
      <c r="F11" s="288">
        <f t="shared" si="1"/>
        <v>26882.45</v>
      </c>
      <c r="G11" s="288">
        <f t="shared" si="2"/>
        <v>32258.94</v>
      </c>
      <c r="J11" s="438"/>
      <c r="K11" s="438">
        <f t="shared" si="0"/>
        <v>0</v>
      </c>
    </row>
    <row r="12" spans="1:12" x14ac:dyDescent="0.3">
      <c r="A12" s="118">
        <f>A11+1</f>
        <v>5</v>
      </c>
      <c r="B12" s="138" t="s">
        <v>1305</v>
      </c>
      <c r="C12" s="123" t="s">
        <v>220</v>
      </c>
      <c r="D12" s="309">
        <v>1</v>
      </c>
      <c r="E12" s="307">
        <v>4124.0640000000003</v>
      </c>
      <c r="F12" s="288">
        <f t="shared" si="1"/>
        <v>4124.0600000000004</v>
      </c>
      <c r="G12" s="288">
        <f t="shared" si="2"/>
        <v>4948.87</v>
      </c>
      <c r="J12" s="438"/>
      <c r="K12" s="438">
        <f t="shared" si="0"/>
        <v>0</v>
      </c>
    </row>
    <row r="13" spans="1:12" x14ac:dyDescent="0.3">
      <c r="A13" s="118">
        <f t="shared" ref="A13:A15" si="3">A12+1</f>
        <v>6</v>
      </c>
      <c r="B13" s="138" t="s">
        <v>1277</v>
      </c>
      <c r="C13" s="123" t="s">
        <v>220</v>
      </c>
      <c r="D13" s="309">
        <v>1</v>
      </c>
      <c r="E13" s="307">
        <v>3350.8020000000006</v>
      </c>
      <c r="F13" s="288">
        <f t="shared" si="1"/>
        <v>3350.8</v>
      </c>
      <c r="G13" s="288">
        <f t="shared" si="2"/>
        <v>4020.96</v>
      </c>
      <c r="J13" s="438"/>
      <c r="K13" s="438">
        <f t="shared" si="0"/>
        <v>0</v>
      </c>
    </row>
    <row r="14" spans="1:12" x14ac:dyDescent="0.3">
      <c r="A14" s="118">
        <f t="shared" si="3"/>
        <v>7</v>
      </c>
      <c r="B14" s="130" t="s">
        <v>1306</v>
      </c>
      <c r="C14" s="123" t="s">
        <v>220</v>
      </c>
      <c r="D14" s="118">
        <v>2</v>
      </c>
      <c r="E14" s="307">
        <v>7429.7590500000006</v>
      </c>
      <c r="F14" s="288">
        <f t="shared" si="1"/>
        <v>14859.52</v>
      </c>
      <c r="G14" s="288">
        <f t="shared" si="2"/>
        <v>17831.419999999998</v>
      </c>
      <c r="J14" s="438"/>
      <c r="K14" s="438">
        <f t="shared" si="0"/>
        <v>0</v>
      </c>
    </row>
    <row r="15" spans="1:12" x14ac:dyDescent="0.3">
      <c r="A15" s="118">
        <f t="shared" si="3"/>
        <v>8</v>
      </c>
      <c r="B15" s="130" t="s">
        <v>1307</v>
      </c>
      <c r="C15" s="123" t="s">
        <v>220</v>
      </c>
      <c r="D15" s="118">
        <v>2</v>
      </c>
      <c r="E15" s="307">
        <v>7217.1120000000001</v>
      </c>
      <c r="F15" s="288">
        <f t="shared" si="1"/>
        <v>14434.22</v>
      </c>
      <c r="G15" s="288">
        <f t="shared" si="2"/>
        <v>17321.060000000001</v>
      </c>
      <c r="J15" s="438"/>
      <c r="K15" s="438">
        <f t="shared" si="0"/>
        <v>0</v>
      </c>
    </row>
    <row r="16" spans="1:12" s="209" customFormat="1" x14ac:dyDescent="0.3">
      <c r="A16" s="509">
        <f t="shared" ref="A16" si="4">A14+1</f>
        <v>8</v>
      </c>
      <c r="B16" s="513" t="s">
        <v>1308</v>
      </c>
      <c r="C16" s="510" t="s">
        <v>220</v>
      </c>
      <c r="D16" s="509">
        <v>72</v>
      </c>
      <c r="E16" s="511">
        <v>4020.9624000000003</v>
      </c>
      <c r="F16" s="477">
        <f t="shared" si="1"/>
        <v>289509.28999999998</v>
      </c>
      <c r="G16" s="477">
        <f t="shared" si="2"/>
        <v>347411.15</v>
      </c>
      <c r="J16" s="439">
        <f>'СМР ГСН'!J17</f>
        <v>7</v>
      </c>
      <c r="K16" s="439">
        <f t="shared" si="0"/>
        <v>33776.084159999999</v>
      </c>
    </row>
    <row r="17" spans="1:11" s="209" customFormat="1" x14ac:dyDescent="0.3">
      <c r="A17" s="509">
        <f t="shared" ref="A17:A31" si="5">A16+1</f>
        <v>9</v>
      </c>
      <c r="B17" s="513" t="s">
        <v>1309</v>
      </c>
      <c r="C17" s="510" t="s">
        <v>220</v>
      </c>
      <c r="D17" s="509">
        <v>15</v>
      </c>
      <c r="E17" s="511">
        <v>11856.684000000001</v>
      </c>
      <c r="F17" s="477">
        <f t="shared" si="1"/>
        <v>177850.26</v>
      </c>
      <c r="G17" s="477">
        <f t="shared" si="2"/>
        <v>213420.31</v>
      </c>
      <c r="J17" s="439">
        <f>'СМР ГСН'!J18</f>
        <v>10</v>
      </c>
      <c r="K17" s="439">
        <f t="shared" si="0"/>
        <v>142280.20800000001</v>
      </c>
    </row>
    <row r="18" spans="1:11" x14ac:dyDescent="0.3">
      <c r="A18" s="118">
        <f t="shared" si="5"/>
        <v>10</v>
      </c>
      <c r="B18" s="310" t="s">
        <v>1278</v>
      </c>
      <c r="C18" s="123" t="s">
        <v>220</v>
      </c>
      <c r="D18" s="118">
        <v>32</v>
      </c>
      <c r="E18" s="307">
        <v>1933.155</v>
      </c>
      <c r="F18" s="288">
        <f t="shared" si="1"/>
        <v>61860.959999999999</v>
      </c>
      <c r="G18" s="288">
        <f t="shared" si="2"/>
        <v>74233.149999999994</v>
      </c>
      <c r="J18" s="438"/>
      <c r="K18" s="438">
        <f t="shared" si="0"/>
        <v>0</v>
      </c>
    </row>
    <row r="19" spans="1:11" s="209" customFormat="1" x14ac:dyDescent="0.3">
      <c r="A19" s="509">
        <f t="shared" si="5"/>
        <v>11</v>
      </c>
      <c r="B19" s="513" t="s">
        <v>1279</v>
      </c>
      <c r="C19" s="510" t="s">
        <v>194</v>
      </c>
      <c r="D19" s="509">
        <v>427.9</v>
      </c>
      <c r="E19" s="511">
        <v>24.873261000000003</v>
      </c>
      <c r="F19" s="477">
        <f t="shared" si="1"/>
        <v>10643.27</v>
      </c>
      <c r="G19" s="477">
        <f t="shared" si="2"/>
        <v>12771.92</v>
      </c>
      <c r="J19" s="439">
        <f>'СМР ГСН'!J16</f>
        <v>41.899999999999977</v>
      </c>
      <c r="K19" s="439">
        <f t="shared" si="0"/>
        <v>1250.6275630799994</v>
      </c>
    </row>
    <row r="20" spans="1:11" s="209" customFormat="1" x14ac:dyDescent="0.3">
      <c r="A20" s="509">
        <f t="shared" si="5"/>
        <v>12</v>
      </c>
      <c r="B20" s="513" t="s">
        <v>1280</v>
      </c>
      <c r="C20" s="510" t="s">
        <v>194</v>
      </c>
      <c r="D20" s="509">
        <v>560</v>
      </c>
      <c r="E20" s="511">
        <v>140.47593000000001</v>
      </c>
      <c r="F20" s="477">
        <f t="shared" si="1"/>
        <v>78666.52</v>
      </c>
      <c r="G20" s="477">
        <f t="shared" si="2"/>
        <v>94399.82</v>
      </c>
      <c r="J20" s="439">
        <f>'СМР ГСН'!J20</f>
        <v>54.20189420189417</v>
      </c>
      <c r="K20" s="439">
        <f t="shared" si="0"/>
        <v>9136.873794927229</v>
      </c>
    </row>
    <row r="21" spans="1:11" x14ac:dyDescent="0.3">
      <c r="A21" s="118">
        <f t="shared" si="5"/>
        <v>13</v>
      </c>
      <c r="B21" s="310" t="s">
        <v>1284</v>
      </c>
      <c r="C21" s="123" t="s">
        <v>220</v>
      </c>
      <c r="D21" s="118">
        <v>6</v>
      </c>
      <c r="E21" s="307">
        <v>2964.1710000000003</v>
      </c>
      <c r="F21" s="288">
        <f t="shared" si="1"/>
        <v>17785.03</v>
      </c>
      <c r="G21" s="288">
        <f t="shared" si="2"/>
        <v>21342.04</v>
      </c>
      <c r="J21" s="438"/>
      <c r="K21" s="438">
        <f t="shared" si="0"/>
        <v>0</v>
      </c>
    </row>
    <row r="22" spans="1:11" x14ac:dyDescent="0.3">
      <c r="A22" s="118">
        <f t="shared" si="5"/>
        <v>14</v>
      </c>
      <c r="B22" s="310" t="s">
        <v>1285</v>
      </c>
      <c r="C22" s="123" t="s">
        <v>1289</v>
      </c>
      <c r="D22" s="118">
        <v>327</v>
      </c>
      <c r="E22" s="307">
        <v>244.86630000000002</v>
      </c>
      <c r="F22" s="288">
        <f t="shared" si="1"/>
        <v>80071.28</v>
      </c>
      <c r="G22" s="288">
        <f t="shared" si="2"/>
        <v>96085.54</v>
      </c>
      <c r="J22" s="438"/>
      <c r="K22" s="438">
        <f t="shared" si="0"/>
        <v>0</v>
      </c>
    </row>
    <row r="23" spans="1:11" x14ac:dyDescent="0.3">
      <c r="A23" s="308"/>
      <c r="B23" s="308" t="s">
        <v>1346</v>
      </c>
      <c r="C23" s="308"/>
      <c r="D23" s="308"/>
      <c r="E23" s="307">
        <v>0</v>
      </c>
      <c r="F23" s="95"/>
      <c r="G23" s="95"/>
      <c r="J23" s="438"/>
      <c r="K23" s="438">
        <f t="shared" si="0"/>
        <v>0</v>
      </c>
    </row>
    <row r="24" spans="1:11" s="209" customFormat="1" x14ac:dyDescent="0.3">
      <c r="A24" s="509">
        <f>A22+1</f>
        <v>15</v>
      </c>
      <c r="B24" s="513" t="s">
        <v>1310</v>
      </c>
      <c r="C24" s="510" t="s">
        <v>194</v>
      </c>
      <c r="D24" s="509">
        <v>8</v>
      </c>
      <c r="E24" s="511">
        <v>170.11764000000002</v>
      </c>
      <c r="F24" s="477">
        <f t="shared" ref="F24:F31" si="6">ROUND(E24*D24,2)</f>
        <v>1360.94</v>
      </c>
      <c r="G24" s="477">
        <f t="shared" si="2"/>
        <v>1633.13</v>
      </c>
      <c r="J24" s="439">
        <v>2.5</v>
      </c>
      <c r="K24" s="439">
        <f t="shared" si="0"/>
        <v>510.35292000000004</v>
      </c>
    </row>
    <row r="25" spans="1:11" s="209" customFormat="1" x14ac:dyDescent="0.3">
      <c r="A25" s="509">
        <f t="shared" si="5"/>
        <v>16</v>
      </c>
      <c r="B25" s="513" t="s">
        <v>1345</v>
      </c>
      <c r="C25" s="510" t="s">
        <v>220</v>
      </c>
      <c r="D25" s="509">
        <v>3</v>
      </c>
      <c r="E25" s="511">
        <v>11856.684000000001</v>
      </c>
      <c r="F25" s="477">
        <f t="shared" si="6"/>
        <v>35570.050000000003</v>
      </c>
      <c r="G25" s="477">
        <f t="shared" si="2"/>
        <v>42684.06</v>
      </c>
      <c r="J25" s="439">
        <v>1</v>
      </c>
      <c r="K25" s="439">
        <f t="shared" si="0"/>
        <v>14228.0208</v>
      </c>
    </row>
    <row r="26" spans="1:11" s="209" customFormat="1" x14ac:dyDescent="0.3">
      <c r="A26" s="509">
        <f t="shared" si="5"/>
        <v>17</v>
      </c>
      <c r="B26" s="513" t="s">
        <v>1281</v>
      </c>
      <c r="C26" s="510" t="s">
        <v>220</v>
      </c>
      <c r="D26" s="509">
        <v>3</v>
      </c>
      <c r="E26" s="511">
        <v>840.27804000000003</v>
      </c>
      <c r="F26" s="477">
        <f t="shared" si="6"/>
        <v>2520.83</v>
      </c>
      <c r="G26" s="477">
        <f t="shared" si="2"/>
        <v>3025</v>
      </c>
      <c r="J26" s="439">
        <v>1</v>
      </c>
      <c r="K26" s="439">
        <f t="shared" si="0"/>
        <v>1008.333648</v>
      </c>
    </row>
    <row r="27" spans="1:11" s="209" customFormat="1" x14ac:dyDescent="0.3">
      <c r="A27" s="509">
        <f t="shared" si="5"/>
        <v>18</v>
      </c>
      <c r="B27" s="513" t="s">
        <v>1288</v>
      </c>
      <c r="C27" s="510" t="s">
        <v>220</v>
      </c>
      <c r="D27" s="509">
        <v>6</v>
      </c>
      <c r="E27" s="511">
        <v>554.17110000000002</v>
      </c>
      <c r="F27" s="477">
        <f t="shared" si="6"/>
        <v>3325.03</v>
      </c>
      <c r="G27" s="477">
        <f t="shared" si="2"/>
        <v>3990.04</v>
      </c>
      <c r="J27" s="439">
        <v>2</v>
      </c>
      <c r="K27" s="439">
        <f t="shared" si="0"/>
        <v>1330.01064</v>
      </c>
    </row>
    <row r="28" spans="1:11" s="209" customFormat="1" x14ac:dyDescent="0.3">
      <c r="A28" s="509">
        <f t="shared" si="5"/>
        <v>19</v>
      </c>
      <c r="B28" s="513" t="s">
        <v>1287</v>
      </c>
      <c r="C28" s="510" t="s">
        <v>220</v>
      </c>
      <c r="D28" s="509">
        <v>3</v>
      </c>
      <c r="E28" s="511">
        <v>82.481280000000012</v>
      </c>
      <c r="F28" s="477">
        <f t="shared" si="6"/>
        <v>247.44</v>
      </c>
      <c r="G28" s="477">
        <f t="shared" si="2"/>
        <v>296.93</v>
      </c>
      <c r="J28" s="439">
        <v>1</v>
      </c>
      <c r="K28" s="439">
        <f t="shared" si="0"/>
        <v>98.977536000000015</v>
      </c>
    </row>
    <row r="29" spans="1:11" s="209" customFormat="1" x14ac:dyDescent="0.3">
      <c r="A29" s="509">
        <f t="shared" si="5"/>
        <v>20</v>
      </c>
      <c r="B29" s="513" t="s">
        <v>1286</v>
      </c>
      <c r="C29" s="510" t="s">
        <v>220</v>
      </c>
      <c r="D29" s="509">
        <v>3</v>
      </c>
      <c r="E29" s="511">
        <v>229.40106</v>
      </c>
      <c r="F29" s="477">
        <f t="shared" si="6"/>
        <v>688.2</v>
      </c>
      <c r="G29" s="477">
        <f t="shared" si="2"/>
        <v>825.84</v>
      </c>
      <c r="J29" s="439">
        <v>1</v>
      </c>
      <c r="K29" s="439">
        <f t="shared" si="0"/>
        <v>275.281272</v>
      </c>
    </row>
    <row r="30" spans="1:11" s="209" customFormat="1" x14ac:dyDescent="0.3">
      <c r="A30" s="509">
        <f t="shared" si="5"/>
        <v>21</v>
      </c>
      <c r="B30" s="513" t="s">
        <v>1282</v>
      </c>
      <c r="C30" s="510" t="s">
        <v>220</v>
      </c>
      <c r="D30" s="509">
        <v>3</v>
      </c>
      <c r="E30" s="511">
        <v>170.11764000000002</v>
      </c>
      <c r="F30" s="477">
        <f t="shared" si="6"/>
        <v>510.35</v>
      </c>
      <c r="G30" s="477">
        <f t="shared" si="2"/>
        <v>612.41999999999996</v>
      </c>
      <c r="J30" s="439">
        <v>1</v>
      </c>
      <c r="K30" s="439">
        <f t="shared" si="0"/>
        <v>204.14116800000002</v>
      </c>
    </row>
    <row r="31" spans="1:11" s="209" customFormat="1" x14ac:dyDescent="0.3">
      <c r="A31" s="509">
        <f t="shared" si="5"/>
        <v>22</v>
      </c>
      <c r="B31" s="513" t="s">
        <v>1283</v>
      </c>
      <c r="C31" s="510" t="s">
        <v>220</v>
      </c>
      <c r="D31" s="509">
        <v>3</v>
      </c>
      <c r="E31" s="511">
        <v>128.87700000000001</v>
      </c>
      <c r="F31" s="477">
        <f t="shared" si="6"/>
        <v>386.63</v>
      </c>
      <c r="G31" s="477">
        <f t="shared" si="2"/>
        <v>463.96</v>
      </c>
      <c r="J31" s="439">
        <v>1</v>
      </c>
      <c r="K31" s="439">
        <f t="shared" si="0"/>
        <v>154.6524</v>
      </c>
    </row>
    <row r="32" spans="1:11" s="1" customFormat="1" ht="18.75" customHeight="1" x14ac:dyDescent="0.3">
      <c r="A32" s="99"/>
      <c r="B32" s="612" t="s">
        <v>721</v>
      </c>
      <c r="C32" s="613"/>
      <c r="D32" s="613"/>
      <c r="E32" s="614"/>
      <c r="F32" s="110">
        <f>SUM(F7:F31)</f>
        <v>2439875.9699999993</v>
      </c>
      <c r="G32" s="110">
        <f>SUM(G7:G31)</f>
        <v>2927851.1699999995</v>
      </c>
      <c r="J32" s="438"/>
      <c r="K32" s="436">
        <f>SUM(K5:K31)</f>
        <v>597702.87891320733</v>
      </c>
    </row>
  </sheetData>
  <mergeCells count="11">
    <mergeCell ref="J1:J3"/>
    <mergeCell ref="K1:K3"/>
    <mergeCell ref="F1:F3"/>
    <mergeCell ref="G1:G3"/>
    <mergeCell ref="B32:E32"/>
    <mergeCell ref="E1:E3"/>
    <mergeCell ref="A1:A3"/>
    <mergeCell ref="B1:B3"/>
    <mergeCell ref="C1:C3"/>
    <mergeCell ref="D1:D3"/>
    <mergeCell ref="A5:D5"/>
  </mergeCells>
  <pageMargins left="0.7" right="0.7" top="0.75" bottom="0.75" header="0.3" footer="0.3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0.79998168889431442"/>
  </sheetPr>
  <dimension ref="A1:L100"/>
  <sheetViews>
    <sheetView zoomScaleNormal="100" zoomScaleSheetLayoutView="80" workbookViewId="0">
      <selection activeCell="E101" sqref="E101"/>
    </sheetView>
  </sheetViews>
  <sheetFormatPr defaultRowHeight="14.4" x14ac:dyDescent="0.3"/>
  <cols>
    <col min="2" max="2" width="61.6640625" customWidth="1"/>
    <col min="4" max="4" width="11.44140625" bestFit="1" customWidth="1"/>
    <col min="5" max="5" width="15.109375" customWidth="1"/>
    <col min="6" max="6" width="16" customWidth="1"/>
    <col min="7" max="7" width="17" style="52" customWidth="1"/>
    <col min="8" max="8" width="36.5546875" style="52" customWidth="1"/>
    <col min="10" max="11" width="17" style="440" customWidth="1"/>
  </cols>
  <sheetData>
    <row r="1" spans="1:12" ht="14.55" customHeight="1" x14ac:dyDescent="0.3">
      <c r="A1" s="539" t="s">
        <v>226</v>
      </c>
      <c r="B1" s="542" t="s">
        <v>201</v>
      </c>
      <c r="C1" s="545" t="s">
        <v>230</v>
      </c>
      <c r="D1" s="545" t="s">
        <v>202</v>
      </c>
      <c r="E1" s="550" t="s">
        <v>441</v>
      </c>
      <c r="F1" s="548" t="s">
        <v>433</v>
      </c>
      <c r="G1" s="546" t="s">
        <v>409</v>
      </c>
      <c r="J1" s="536" t="s">
        <v>1657</v>
      </c>
      <c r="K1" s="536" t="s">
        <v>1658</v>
      </c>
    </row>
    <row r="2" spans="1:12" ht="14.55" customHeight="1" x14ac:dyDescent="0.3">
      <c r="A2" s="540"/>
      <c r="B2" s="543"/>
      <c r="C2" s="545"/>
      <c r="D2" s="545"/>
      <c r="E2" s="550"/>
      <c r="F2" s="548"/>
      <c r="G2" s="546"/>
      <c r="J2" s="536"/>
      <c r="K2" s="536"/>
      <c r="L2" s="381"/>
    </row>
    <row r="3" spans="1:12" ht="31.8" customHeight="1" x14ac:dyDescent="0.3">
      <c r="A3" s="541"/>
      <c r="B3" s="544"/>
      <c r="C3" s="545"/>
      <c r="D3" s="545"/>
      <c r="E3" s="551"/>
      <c r="F3" s="549"/>
      <c r="G3" s="547"/>
      <c r="J3" s="536"/>
      <c r="K3" s="536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  <c r="J4" s="437"/>
      <c r="K4" s="437"/>
      <c r="L4" s="381"/>
    </row>
    <row r="5" spans="1:12" ht="20.25" customHeight="1" x14ac:dyDescent="0.3">
      <c r="A5" s="173"/>
      <c r="B5" s="537" t="s">
        <v>1518</v>
      </c>
      <c r="C5" s="538"/>
      <c r="D5" s="538"/>
      <c r="E5" s="174"/>
      <c r="F5" s="175"/>
      <c r="G5" s="175"/>
      <c r="H5" s="322">
        <f>SUM(G7:G54)</f>
        <v>7223578.8399999989</v>
      </c>
      <c r="J5" s="438"/>
      <c r="K5" s="438">
        <f>E5*J5*1.2</f>
        <v>0</v>
      </c>
    </row>
    <row r="6" spans="1:12" ht="27.6" x14ac:dyDescent="0.3">
      <c r="A6" s="289"/>
      <c r="B6" s="383" t="s">
        <v>1519</v>
      </c>
      <c r="C6" s="395"/>
      <c r="D6" s="395"/>
      <c r="E6" s="396"/>
      <c r="F6" s="397"/>
      <c r="G6" s="384"/>
      <c r="J6" s="438"/>
      <c r="K6" s="438">
        <f t="shared" ref="K6:K69" si="0">E6*J6*1.2</f>
        <v>0</v>
      </c>
    </row>
    <row r="7" spans="1:12" ht="15.6" x14ac:dyDescent="0.3">
      <c r="A7" s="285"/>
      <c r="B7" s="398" t="s">
        <v>1520</v>
      </c>
      <c r="C7" s="323"/>
      <c r="D7" s="325"/>
      <c r="E7" s="295"/>
      <c r="F7" s="288"/>
      <c r="G7" s="288"/>
      <c r="J7" s="438"/>
      <c r="K7" s="438">
        <f t="shared" si="0"/>
        <v>0</v>
      </c>
    </row>
    <row r="8" spans="1:12" ht="15.6" x14ac:dyDescent="0.3">
      <c r="A8" s="285">
        <v>1</v>
      </c>
      <c r="B8" s="399" t="s">
        <v>1623</v>
      </c>
      <c r="C8" s="323" t="s">
        <v>431</v>
      </c>
      <c r="D8" s="325">
        <v>280</v>
      </c>
      <c r="E8" s="295">
        <v>1132.9248772799999</v>
      </c>
      <c r="F8" s="288">
        <f t="shared" ref="F8:F15" si="1">ROUND(E8*D8,2)</f>
        <v>317218.96999999997</v>
      </c>
      <c r="G8" s="288">
        <f t="shared" ref="G8:G15" si="2">ROUND(F8*1.2,2)</f>
        <v>380662.76</v>
      </c>
      <c r="J8" s="438"/>
      <c r="K8" s="438">
        <f t="shared" si="0"/>
        <v>0</v>
      </c>
    </row>
    <row r="9" spans="1:12" ht="15.6" x14ac:dyDescent="0.3">
      <c r="A9" s="289">
        <f>A8+1</f>
        <v>2</v>
      </c>
      <c r="B9" s="399" t="s">
        <v>1612</v>
      </c>
      <c r="C9" s="323" t="s">
        <v>239</v>
      </c>
      <c r="D9" s="325">
        <v>47.98</v>
      </c>
      <c r="E9" s="295">
        <v>4948.6442400000005</v>
      </c>
      <c r="F9" s="288">
        <f t="shared" si="1"/>
        <v>237435.95</v>
      </c>
      <c r="G9" s="288">
        <f t="shared" ref="G9" si="3">ROUND(F9*1.2,2)</f>
        <v>284923.14</v>
      </c>
      <c r="J9" s="438"/>
      <c r="K9" s="438">
        <f t="shared" si="0"/>
        <v>0</v>
      </c>
    </row>
    <row r="10" spans="1:12" ht="15.6" x14ac:dyDescent="0.3">
      <c r="A10" s="289">
        <f>A9+1</f>
        <v>3</v>
      </c>
      <c r="B10" s="324" t="s">
        <v>1521</v>
      </c>
      <c r="C10" s="323" t="s">
        <v>193</v>
      </c>
      <c r="D10" s="325">
        <v>259.2</v>
      </c>
      <c r="E10" s="295">
        <v>464.82929999999999</v>
      </c>
      <c r="F10" s="288">
        <f t="shared" si="1"/>
        <v>120483.75</v>
      </c>
      <c r="G10" s="288">
        <f t="shared" si="2"/>
        <v>144580.5</v>
      </c>
      <c r="J10" s="438"/>
      <c r="K10" s="438">
        <f t="shared" si="0"/>
        <v>0</v>
      </c>
    </row>
    <row r="11" spans="1:12" ht="15.6" x14ac:dyDescent="0.3">
      <c r="A11" s="285">
        <f>A10+1</f>
        <v>4</v>
      </c>
      <c r="B11" s="324" t="s">
        <v>444</v>
      </c>
      <c r="C11" s="323" t="s">
        <v>193</v>
      </c>
      <c r="D11" s="325">
        <v>4.54</v>
      </c>
      <c r="E11" s="295">
        <v>2541.5435879999995</v>
      </c>
      <c r="F11" s="288">
        <f t="shared" si="1"/>
        <v>11538.61</v>
      </c>
      <c r="G11" s="288">
        <f t="shared" si="2"/>
        <v>13846.33</v>
      </c>
      <c r="J11" s="438"/>
      <c r="K11" s="438">
        <f t="shared" si="0"/>
        <v>0</v>
      </c>
    </row>
    <row r="12" spans="1:12" ht="15.6" x14ac:dyDescent="0.3">
      <c r="A12" s="285">
        <f t="shared" ref="A12:A15" si="4">A11+1</f>
        <v>5</v>
      </c>
      <c r="B12" s="324" t="s">
        <v>518</v>
      </c>
      <c r="C12" s="323" t="s">
        <v>239</v>
      </c>
      <c r="D12" s="382">
        <v>34.799999999999997</v>
      </c>
      <c r="E12" s="295">
        <v>464.82929999999999</v>
      </c>
      <c r="F12" s="288">
        <f t="shared" si="1"/>
        <v>16176.06</v>
      </c>
      <c r="G12" s="288">
        <f t="shared" si="2"/>
        <v>19411.27</v>
      </c>
      <c r="J12" s="438"/>
      <c r="K12" s="438">
        <f t="shared" si="0"/>
        <v>0</v>
      </c>
    </row>
    <row r="13" spans="1:12" ht="15.6" x14ac:dyDescent="0.3">
      <c r="A13" s="453">
        <f t="shared" si="4"/>
        <v>6</v>
      </c>
      <c r="B13" s="324" t="s">
        <v>503</v>
      </c>
      <c r="C13" s="323" t="s">
        <v>239</v>
      </c>
      <c r="D13" s="382">
        <v>34.799999999999997</v>
      </c>
      <c r="E13" s="295">
        <f>'искл-свод'!B2</f>
        <v>1361.6</v>
      </c>
      <c r="F13" s="288">
        <f t="shared" si="1"/>
        <v>47383.68</v>
      </c>
      <c r="G13" s="288">
        <f t="shared" si="2"/>
        <v>56860.42</v>
      </c>
      <c r="J13" s="438"/>
      <c r="K13" s="438">
        <f t="shared" si="0"/>
        <v>0</v>
      </c>
    </row>
    <row r="14" spans="1:12" ht="15.6" x14ac:dyDescent="0.3">
      <c r="A14" s="285">
        <f t="shared" si="4"/>
        <v>7</v>
      </c>
      <c r="B14" s="324" t="s">
        <v>537</v>
      </c>
      <c r="C14" s="400" t="s">
        <v>193</v>
      </c>
      <c r="D14" s="325">
        <v>193.6</v>
      </c>
      <c r="E14" s="295">
        <v>464.82929999999999</v>
      </c>
      <c r="F14" s="288">
        <f t="shared" si="1"/>
        <v>89990.95</v>
      </c>
      <c r="G14" s="288">
        <f t="shared" si="2"/>
        <v>107989.14</v>
      </c>
      <c r="J14" s="438"/>
      <c r="K14" s="438">
        <f t="shared" si="0"/>
        <v>0</v>
      </c>
    </row>
    <row r="15" spans="1:12" ht="15.6" x14ac:dyDescent="0.3">
      <c r="A15" s="285">
        <f t="shared" si="4"/>
        <v>8</v>
      </c>
      <c r="B15" s="324" t="s">
        <v>696</v>
      </c>
      <c r="C15" s="323" t="s">
        <v>193</v>
      </c>
      <c r="D15" s="325">
        <v>48.4</v>
      </c>
      <c r="E15" s="295">
        <v>1285.789356</v>
      </c>
      <c r="F15" s="288">
        <f t="shared" si="1"/>
        <v>62232.2</v>
      </c>
      <c r="G15" s="288">
        <f t="shared" si="2"/>
        <v>74678.64</v>
      </c>
      <c r="J15" s="438"/>
      <c r="K15" s="438">
        <f t="shared" si="0"/>
        <v>0</v>
      </c>
    </row>
    <row r="16" spans="1:12" ht="15.6" x14ac:dyDescent="0.3">
      <c r="A16" s="285"/>
      <c r="B16" s="398" t="s">
        <v>1354</v>
      </c>
      <c r="C16" s="323"/>
      <c r="D16" s="401"/>
      <c r="E16" s="295">
        <v>0</v>
      </c>
      <c r="F16" s="288"/>
      <c r="G16" s="288"/>
      <c r="J16" s="438"/>
      <c r="K16" s="438">
        <f t="shared" si="0"/>
        <v>0</v>
      </c>
    </row>
    <row r="17" spans="1:11" ht="27.6" x14ac:dyDescent="0.3">
      <c r="A17" s="289">
        <f>A15+1</f>
        <v>9</v>
      </c>
      <c r="B17" s="324" t="s">
        <v>1522</v>
      </c>
      <c r="C17" s="323" t="s">
        <v>193</v>
      </c>
      <c r="D17" s="325">
        <v>21.2</v>
      </c>
      <c r="E17" s="295">
        <v>12458.855484</v>
      </c>
      <c r="F17" s="288">
        <f>ROUND(E17*D17,2)</f>
        <v>264127.74</v>
      </c>
      <c r="G17" s="288">
        <f t="shared" ref="G17:G21" si="5">ROUND(F17*1.2,2)</f>
        <v>316953.28999999998</v>
      </c>
      <c r="J17" s="438"/>
      <c r="K17" s="438">
        <f t="shared" si="0"/>
        <v>0</v>
      </c>
    </row>
    <row r="18" spans="1:11" ht="27.6" x14ac:dyDescent="0.3">
      <c r="A18" s="285">
        <f>A17+1</f>
        <v>10</v>
      </c>
      <c r="B18" s="324" t="s">
        <v>1523</v>
      </c>
      <c r="C18" s="323" t="s">
        <v>193</v>
      </c>
      <c r="D18" s="325">
        <v>4.05</v>
      </c>
      <c r="E18" s="295">
        <v>3970.3573439999996</v>
      </c>
      <c r="F18" s="288">
        <f>ROUND(E18*D18,2)</f>
        <v>16079.95</v>
      </c>
      <c r="G18" s="288">
        <f t="shared" si="5"/>
        <v>19295.939999999999</v>
      </c>
      <c r="J18" s="438"/>
      <c r="K18" s="438">
        <f t="shared" si="0"/>
        <v>0</v>
      </c>
    </row>
    <row r="19" spans="1:11" ht="27.6" x14ac:dyDescent="0.3">
      <c r="A19" s="285">
        <f t="shared" ref="A19:A21" si="6">A18+1</f>
        <v>11</v>
      </c>
      <c r="B19" s="324" t="s">
        <v>1524</v>
      </c>
      <c r="C19" s="323" t="s">
        <v>1525</v>
      </c>
      <c r="D19" s="325">
        <v>81.91</v>
      </c>
      <c r="E19" s="295">
        <v>1441.2535526511631</v>
      </c>
      <c r="F19" s="288">
        <f>ROUND(E19*D19,2)</f>
        <v>118053.08</v>
      </c>
      <c r="G19" s="288">
        <f t="shared" si="5"/>
        <v>141663.70000000001</v>
      </c>
      <c r="J19" s="438"/>
      <c r="K19" s="438">
        <f t="shared" si="0"/>
        <v>0</v>
      </c>
    </row>
    <row r="20" spans="1:11" ht="27.6" x14ac:dyDescent="0.3">
      <c r="A20" s="285">
        <f t="shared" si="6"/>
        <v>12</v>
      </c>
      <c r="B20" s="324" t="s">
        <v>934</v>
      </c>
      <c r="C20" s="400" t="s">
        <v>431</v>
      </c>
      <c r="D20" s="325">
        <v>81.91</v>
      </c>
      <c r="E20" s="295">
        <v>217.397088</v>
      </c>
      <c r="F20" s="288">
        <f>ROUND(E20*D20,2)</f>
        <v>17807</v>
      </c>
      <c r="G20" s="288">
        <f t="shared" si="5"/>
        <v>21368.400000000001</v>
      </c>
      <c r="J20" s="438"/>
      <c r="K20" s="438">
        <f t="shared" si="0"/>
        <v>0</v>
      </c>
    </row>
    <row r="21" spans="1:11" ht="27.6" x14ac:dyDescent="0.3">
      <c r="A21" s="285">
        <f t="shared" si="6"/>
        <v>13</v>
      </c>
      <c r="B21" s="324" t="s">
        <v>935</v>
      </c>
      <c r="C21" s="323" t="s">
        <v>431</v>
      </c>
      <c r="D21" s="325">
        <v>81.91</v>
      </c>
      <c r="E21" s="295">
        <v>451.29919176000004</v>
      </c>
      <c r="F21" s="288">
        <f>ROUND(E21*D21,2)</f>
        <v>36965.919999999998</v>
      </c>
      <c r="G21" s="288">
        <f t="shared" si="5"/>
        <v>44359.1</v>
      </c>
      <c r="J21" s="438"/>
      <c r="K21" s="438">
        <f t="shared" si="0"/>
        <v>0</v>
      </c>
    </row>
    <row r="22" spans="1:11" ht="15.6" x14ac:dyDescent="0.3">
      <c r="A22" s="289"/>
      <c r="B22" s="398" t="s">
        <v>1526</v>
      </c>
      <c r="C22" s="323"/>
      <c r="D22" s="402"/>
      <c r="E22" s="295">
        <v>0</v>
      </c>
      <c r="F22" s="288"/>
      <c r="G22" s="288"/>
      <c r="J22" s="438"/>
      <c r="K22" s="438">
        <f t="shared" si="0"/>
        <v>0</v>
      </c>
    </row>
    <row r="23" spans="1:11" ht="15.6" x14ac:dyDescent="0.3">
      <c r="A23" s="285">
        <f>A21+1</f>
        <v>14</v>
      </c>
      <c r="B23" s="324" t="s">
        <v>1527</v>
      </c>
      <c r="C23" s="323" t="s">
        <v>220</v>
      </c>
      <c r="D23" s="403">
        <v>2</v>
      </c>
      <c r="E23" s="295">
        <v>218418.28221599999</v>
      </c>
      <c r="F23" s="288">
        <f t="shared" ref="F23:F32" si="7">ROUND(E23*D23,2)</f>
        <v>436836.56</v>
      </c>
      <c r="G23" s="288">
        <f t="shared" ref="G23:G32" si="8">ROUND(F23*1.2,2)</f>
        <v>524203.87</v>
      </c>
      <c r="J23" s="438"/>
      <c r="K23" s="438">
        <f t="shared" si="0"/>
        <v>0</v>
      </c>
    </row>
    <row r="24" spans="1:11" ht="18" customHeight="1" x14ac:dyDescent="0.3">
      <c r="A24" s="285">
        <f>A23+1</f>
        <v>15</v>
      </c>
      <c r="B24" s="324" t="s">
        <v>1528</v>
      </c>
      <c r="C24" s="323" t="s">
        <v>220</v>
      </c>
      <c r="D24" s="403">
        <v>2</v>
      </c>
      <c r="E24" s="295">
        <v>223364.06596799998</v>
      </c>
      <c r="F24" s="288">
        <f t="shared" si="7"/>
        <v>446728.13</v>
      </c>
      <c r="G24" s="288">
        <f t="shared" si="8"/>
        <v>536073.76</v>
      </c>
      <c r="J24" s="438"/>
      <c r="K24" s="438">
        <f t="shared" si="0"/>
        <v>0</v>
      </c>
    </row>
    <row r="25" spans="1:11" ht="15.6" x14ac:dyDescent="0.3">
      <c r="A25" s="285">
        <f t="shared" ref="A25:A32" si="9">A24+1</f>
        <v>16</v>
      </c>
      <c r="B25" s="324" t="s">
        <v>1529</v>
      </c>
      <c r="C25" s="323" t="s">
        <v>220</v>
      </c>
      <c r="D25" s="403">
        <v>1</v>
      </c>
      <c r="E25" s="295">
        <v>278587.21705199999</v>
      </c>
      <c r="F25" s="288">
        <f t="shared" si="7"/>
        <v>278587.21999999997</v>
      </c>
      <c r="G25" s="288">
        <f t="shared" si="8"/>
        <v>334304.65999999997</v>
      </c>
      <c r="J25" s="438"/>
      <c r="K25" s="438">
        <f t="shared" si="0"/>
        <v>0</v>
      </c>
    </row>
    <row r="26" spans="1:11" ht="27.6" x14ac:dyDescent="0.3">
      <c r="A26" s="285">
        <f t="shared" si="9"/>
        <v>17</v>
      </c>
      <c r="B26" s="324" t="s">
        <v>1530</v>
      </c>
      <c r="C26" s="323" t="s">
        <v>220</v>
      </c>
      <c r="D26" s="403">
        <v>1</v>
      </c>
      <c r="E26" s="295">
        <v>320773.69407599996</v>
      </c>
      <c r="F26" s="288">
        <f t="shared" si="7"/>
        <v>320773.69</v>
      </c>
      <c r="G26" s="288">
        <f t="shared" si="8"/>
        <v>384928.43</v>
      </c>
      <c r="J26" s="438"/>
      <c r="K26" s="438">
        <f t="shared" si="0"/>
        <v>0</v>
      </c>
    </row>
    <row r="27" spans="1:11" ht="27.6" x14ac:dyDescent="0.3">
      <c r="A27" s="285">
        <f t="shared" si="9"/>
        <v>18</v>
      </c>
      <c r="B27" s="324" t="s">
        <v>1531</v>
      </c>
      <c r="C27" s="323" t="s">
        <v>220</v>
      </c>
      <c r="D27" s="403">
        <v>1</v>
      </c>
      <c r="E27" s="295">
        <v>195517.21528799998</v>
      </c>
      <c r="F27" s="288">
        <f t="shared" si="7"/>
        <v>195517.22</v>
      </c>
      <c r="G27" s="288">
        <f t="shared" si="8"/>
        <v>234620.66</v>
      </c>
      <c r="J27" s="438"/>
      <c r="K27" s="438">
        <f t="shared" si="0"/>
        <v>0</v>
      </c>
    </row>
    <row r="28" spans="1:11" ht="15.6" x14ac:dyDescent="0.3">
      <c r="A28" s="285">
        <f t="shared" si="9"/>
        <v>19</v>
      </c>
      <c r="B28" s="324" t="s">
        <v>1532</v>
      </c>
      <c r="C28" s="323" t="s">
        <v>239</v>
      </c>
      <c r="D28" s="404">
        <v>0.379</v>
      </c>
      <c r="E28" s="295">
        <v>69281.925055408967</v>
      </c>
      <c r="F28" s="288">
        <f t="shared" si="7"/>
        <v>26257.85</v>
      </c>
      <c r="G28" s="288">
        <f t="shared" si="8"/>
        <v>31509.42</v>
      </c>
      <c r="J28" s="438"/>
      <c r="K28" s="438">
        <f t="shared" si="0"/>
        <v>0</v>
      </c>
    </row>
    <row r="29" spans="1:11" ht="15.6" x14ac:dyDescent="0.3">
      <c r="A29" s="285">
        <f t="shared" si="9"/>
        <v>20</v>
      </c>
      <c r="B29" s="324" t="s">
        <v>1533</v>
      </c>
      <c r="C29" s="323" t="s">
        <v>220</v>
      </c>
      <c r="D29" s="403">
        <v>5</v>
      </c>
      <c r="E29" s="295">
        <v>7537.9579775999991</v>
      </c>
      <c r="F29" s="288">
        <f t="shared" si="7"/>
        <v>37689.79</v>
      </c>
      <c r="G29" s="288">
        <f t="shared" si="8"/>
        <v>45227.75</v>
      </c>
      <c r="J29" s="438"/>
      <c r="K29" s="438">
        <f t="shared" si="0"/>
        <v>0</v>
      </c>
    </row>
    <row r="30" spans="1:11" ht="27.6" x14ac:dyDescent="0.3">
      <c r="A30" s="285">
        <f t="shared" si="9"/>
        <v>21</v>
      </c>
      <c r="B30" s="324" t="s">
        <v>547</v>
      </c>
      <c r="C30" s="323" t="s">
        <v>431</v>
      </c>
      <c r="D30" s="327">
        <v>37</v>
      </c>
      <c r="E30" s="295">
        <v>260.30440800000002</v>
      </c>
      <c r="F30" s="288">
        <f t="shared" si="7"/>
        <v>9631.26</v>
      </c>
      <c r="G30" s="288">
        <f t="shared" si="8"/>
        <v>11557.51</v>
      </c>
      <c r="J30" s="438"/>
      <c r="K30" s="438">
        <f t="shared" si="0"/>
        <v>0</v>
      </c>
    </row>
    <row r="31" spans="1:11" ht="15.6" x14ac:dyDescent="0.3">
      <c r="A31" s="285">
        <f t="shared" si="9"/>
        <v>22</v>
      </c>
      <c r="B31" s="324" t="s">
        <v>548</v>
      </c>
      <c r="C31" s="323" t="s">
        <v>431</v>
      </c>
      <c r="D31" s="327">
        <v>37</v>
      </c>
      <c r="E31" s="295">
        <v>260.30440800000002</v>
      </c>
      <c r="F31" s="288">
        <f t="shared" si="7"/>
        <v>9631.26</v>
      </c>
      <c r="G31" s="288">
        <f t="shared" si="8"/>
        <v>11557.51</v>
      </c>
      <c r="J31" s="438"/>
      <c r="K31" s="438">
        <f t="shared" si="0"/>
        <v>0</v>
      </c>
    </row>
    <row r="32" spans="1:11" ht="27.6" x14ac:dyDescent="0.3">
      <c r="A32" s="285">
        <f t="shared" si="9"/>
        <v>23</v>
      </c>
      <c r="B32" s="324" t="s">
        <v>934</v>
      </c>
      <c r="C32" s="323" t="s">
        <v>431</v>
      </c>
      <c r="D32" s="327">
        <v>37</v>
      </c>
      <c r="E32" s="295">
        <v>217.397088</v>
      </c>
      <c r="F32" s="288">
        <f t="shared" si="7"/>
        <v>8043.69</v>
      </c>
      <c r="G32" s="288">
        <f t="shared" si="8"/>
        <v>9652.43</v>
      </c>
      <c r="J32" s="438"/>
      <c r="K32" s="438">
        <f t="shared" si="0"/>
        <v>0</v>
      </c>
    </row>
    <row r="33" spans="1:11" ht="27.6" x14ac:dyDescent="0.3">
      <c r="A33" s="285"/>
      <c r="B33" s="398" t="s">
        <v>1534</v>
      </c>
      <c r="C33" s="323"/>
      <c r="D33" s="325"/>
      <c r="E33" s="295">
        <v>0</v>
      </c>
      <c r="F33" s="288"/>
      <c r="G33" s="288"/>
      <c r="J33" s="438"/>
      <c r="K33" s="438">
        <f t="shared" si="0"/>
        <v>0</v>
      </c>
    </row>
    <row r="34" spans="1:11" ht="18.75" customHeight="1" x14ac:dyDescent="0.3">
      <c r="A34" s="285"/>
      <c r="B34" s="383" t="s">
        <v>1535</v>
      </c>
      <c r="C34" s="323"/>
      <c r="D34" s="402"/>
      <c r="E34" s="295">
        <v>0</v>
      </c>
      <c r="F34" s="288"/>
      <c r="G34" s="288"/>
      <c r="J34" s="438"/>
      <c r="K34" s="438">
        <f t="shared" si="0"/>
        <v>0</v>
      </c>
    </row>
    <row r="35" spans="1:11" ht="15.6" x14ac:dyDescent="0.3">
      <c r="A35" s="289">
        <f>A32+1</f>
        <v>24</v>
      </c>
      <c r="B35" s="324" t="s">
        <v>1623</v>
      </c>
      <c r="C35" s="323" t="s">
        <v>431</v>
      </c>
      <c r="D35" s="403">
        <v>280</v>
      </c>
      <c r="E35" s="295">
        <v>1132.9248772799999</v>
      </c>
      <c r="F35" s="288">
        <f t="shared" ref="F35:F42" si="10">ROUND(E35*D35,2)</f>
        <v>317218.96999999997</v>
      </c>
      <c r="G35" s="288">
        <f t="shared" ref="G35" si="11">ROUND(F35*1.2,2)</f>
        <v>380662.76</v>
      </c>
      <c r="J35" s="438"/>
      <c r="K35" s="438">
        <f t="shared" si="0"/>
        <v>0</v>
      </c>
    </row>
    <row r="36" spans="1:11" ht="15.6" x14ac:dyDescent="0.3">
      <c r="A36" s="289">
        <f>A35+1</f>
        <v>25</v>
      </c>
      <c r="B36" s="399" t="s">
        <v>1612</v>
      </c>
      <c r="C36" s="323" t="s">
        <v>239</v>
      </c>
      <c r="D36" s="325">
        <v>47.98</v>
      </c>
      <c r="E36" s="295">
        <v>4948.6442400000005</v>
      </c>
      <c r="F36" s="288">
        <f t="shared" si="10"/>
        <v>237435.95</v>
      </c>
      <c r="G36" s="288">
        <f t="shared" ref="G36:G42" si="12">ROUND(F36*1.2,2)</f>
        <v>284923.14</v>
      </c>
      <c r="J36" s="438"/>
      <c r="K36" s="438">
        <f t="shared" si="0"/>
        <v>0</v>
      </c>
    </row>
    <row r="37" spans="1:11" ht="15.6" x14ac:dyDescent="0.3">
      <c r="A37" s="289">
        <f>A35+1</f>
        <v>25</v>
      </c>
      <c r="B37" s="324" t="s">
        <v>1521</v>
      </c>
      <c r="C37" s="323" t="s">
        <v>193</v>
      </c>
      <c r="D37" s="405">
        <v>259.2</v>
      </c>
      <c r="E37" s="295">
        <v>464.82929999999999</v>
      </c>
      <c r="F37" s="288">
        <f t="shared" si="10"/>
        <v>120483.75</v>
      </c>
      <c r="G37" s="288">
        <f t="shared" si="12"/>
        <v>144580.5</v>
      </c>
      <c r="J37" s="438"/>
      <c r="K37" s="438">
        <f t="shared" si="0"/>
        <v>0</v>
      </c>
    </row>
    <row r="38" spans="1:11" ht="15.6" x14ac:dyDescent="0.3">
      <c r="A38" s="289">
        <f t="shared" ref="A38:A42" si="13">A37+1</f>
        <v>26</v>
      </c>
      <c r="B38" s="324" t="s">
        <v>444</v>
      </c>
      <c r="C38" s="323" t="s">
        <v>193</v>
      </c>
      <c r="D38" s="406">
        <v>4.54</v>
      </c>
      <c r="E38" s="295">
        <v>2541.5435879999995</v>
      </c>
      <c r="F38" s="288">
        <f t="shared" si="10"/>
        <v>11538.61</v>
      </c>
      <c r="G38" s="288">
        <f t="shared" si="12"/>
        <v>13846.33</v>
      </c>
      <c r="J38" s="438"/>
      <c r="K38" s="438">
        <f t="shared" si="0"/>
        <v>0</v>
      </c>
    </row>
    <row r="39" spans="1:11" ht="15.6" x14ac:dyDescent="0.3">
      <c r="A39" s="289">
        <f t="shared" si="13"/>
        <v>27</v>
      </c>
      <c r="B39" s="324" t="s">
        <v>518</v>
      </c>
      <c r="C39" s="323" t="s">
        <v>239</v>
      </c>
      <c r="D39" s="382">
        <v>34.799999999999997</v>
      </c>
      <c r="E39" s="295">
        <v>464.82929999999999</v>
      </c>
      <c r="F39" s="288">
        <f t="shared" si="10"/>
        <v>16176.06</v>
      </c>
      <c r="G39" s="288">
        <f t="shared" si="12"/>
        <v>19411.27</v>
      </c>
      <c r="J39" s="438"/>
      <c r="K39" s="438">
        <f t="shared" si="0"/>
        <v>0</v>
      </c>
    </row>
    <row r="40" spans="1:11" ht="15.6" x14ac:dyDescent="0.3">
      <c r="A40" s="490">
        <f t="shared" si="13"/>
        <v>28</v>
      </c>
      <c r="B40" s="324" t="s">
        <v>503</v>
      </c>
      <c r="C40" s="323" t="s">
        <v>239</v>
      </c>
      <c r="D40" s="382">
        <v>34.799999999999997</v>
      </c>
      <c r="E40" s="295">
        <f>'искл-свод'!B2</f>
        <v>1361.6</v>
      </c>
      <c r="F40" s="288">
        <f t="shared" si="10"/>
        <v>47383.68</v>
      </c>
      <c r="G40" s="288">
        <f t="shared" si="12"/>
        <v>56860.42</v>
      </c>
      <c r="J40" s="438"/>
      <c r="K40" s="438">
        <f t="shared" si="0"/>
        <v>0</v>
      </c>
    </row>
    <row r="41" spans="1:11" ht="15.6" x14ac:dyDescent="0.3">
      <c r="A41" s="289">
        <f t="shared" si="13"/>
        <v>29</v>
      </c>
      <c r="B41" s="324" t="s">
        <v>537</v>
      </c>
      <c r="C41" s="323" t="s">
        <v>193</v>
      </c>
      <c r="D41" s="406">
        <v>228.41</v>
      </c>
      <c r="E41" s="295">
        <v>464.82929999999999</v>
      </c>
      <c r="F41" s="288">
        <f t="shared" si="10"/>
        <v>106171.66</v>
      </c>
      <c r="G41" s="288">
        <f t="shared" si="12"/>
        <v>127405.99</v>
      </c>
      <c r="J41" s="438"/>
      <c r="K41" s="438">
        <f t="shared" si="0"/>
        <v>0</v>
      </c>
    </row>
    <row r="42" spans="1:11" ht="15.6" x14ac:dyDescent="0.3">
      <c r="A42" s="289">
        <f t="shared" si="13"/>
        <v>30</v>
      </c>
      <c r="B42" s="324" t="s">
        <v>696</v>
      </c>
      <c r="C42" s="323" t="s">
        <v>193</v>
      </c>
      <c r="D42" s="405">
        <v>57.1</v>
      </c>
      <c r="E42" s="295">
        <v>1285.789356</v>
      </c>
      <c r="F42" s="288">
        <f t="shared" si="10"/>
        <v>73418.570000000007</v>
      </c>
      <c r="G42" s="288">
        <f t="shared" si="12"/>
        <v>88102.28</v>
      </c>
      <c r="J42" s="438"/>
      <c r="K42" s="438">
        <f t="shared" si="0"/>
        <v>0</v>
      </c>
    </row>
    <row r="43" spans="1:11" ht="15.6" x14ac:dyDescent="0.3">
      <c r="A43" s="289"/>
      <c r="B43" s="398" t="s">
        <v>1536</v>
      </c>
      <c r="C43" s="323"/>
      <c r="D43" s="402"/>
      <c r="E43" s="295">
        <v>0</v>
      </c>
      <c r="F43" s="288"/>
      <c r="G43" s="288"/>
      <c r="J43" s="438"/>
      <c r="K43" s="438">
        <f t="shared" si="0"/>
        <v>0</v>
      </c>
    </row>
    <row r="44" spans="1:11" ht="15.6" x14ac:dyDescent="0.3">
      <c r="A44" s="285">
        <f>A42+1</f>
        <v>31</v>
      </c>
      <c r="B44" s="324" t="s">
        <v>1537</v>
      </c>
      <c r="C44" s="323" t="s">
        <v>193</v>
      </c>
      <c r="D44" s="405">
        <v>21.2</v>
      </c>
      <c r="E44" s="295">
        <v>9592.6465079999998</v>
      </c>
      <c r="F44" s="288">
        <f>ROUND(E44*D44,2)</f>
        <v>203364.11</v>
      </c>
      <c r="G44" s="288">
        <f t="shared" ref="G44" si="14">ROUND(F44*1.2,2)</f>
        <v>244036.93</v>
      </c>
      <c r="J44" s="438"/>
      <c r="K44" s="438">
        <f t="shared" si="0"/>
        <v>0</v>
      </c>
    </row>
    <row r="45" spans="1:11" ht="15.6" x14ac:dyDescent="0.3">
      <c r="A45" s="285"/>
      <c r="B45" s="398" t="s">
        <v>1538</v>
      </c>
      <c r="C45" s="323"/>
      <c r="D45" s="402"/>
      <c r="E45" s="295">
        <v>0</v>
      </c>
      <c r="F45" s="288"/>
      <c r="G45" s="288"/>
      <c r="J45" s="438"/>
      <c r="K45" s="438">
        <f t="shared" si="0"/>
        <v>0</v>
      </c>
    </row>
    <row r="46" spans="1:11" ht="15.6" x14ac:dyDescent="0.3">
      <c r="A46" s="289">
        <f>A44+1</f>
        <v>32</v>
      </c>
      <c r="B46" s="324" t="s">
        <v>1539</v>
      </c>
      <c r="C46" s="323" t="s">
        <v>220</v>
      </c>
      <c r="D46" s="407" t="s">
        <v>586</v>
      </c>
      <c r="E46" s="295">
        <v>104872.6413</v>
      </c>
      <c r="F46" s="288">
        <f t="shared" ref="F46:F54" si="15">ROUND(E46*D46,2)</f>
        <v>419490.57</v>
      </c>
      <c r="G46" s="288">
        <f t="shared" ref="G46:G54" si="16">ROUND(F46*1.2,2)</f>
        <v>503388.68</v>
      </c>
      <c r="J46" s="438"/>
      <c r="K46" s="438">
        <f t="shared" si="0"/>
        <v>0</v>
      </c>
    </row>
    <row r="47" spans="1:11" ht="27.6" x14ac:dyDescent="0.3">
      <c r="A47" s="285">
        <f>A46+1</f>
        <v>33</v>
      </c>
      <c r="B47" s="324" t="s">
        <v>1540</v>
      </c>
      <c r="C47" s="323" t="s">
        <v>220</v>
      </c>
      <c r="D47" s="407" t="s">
        <v>781</v>
      </c>
      <c r="E47" s="295">
        <v>12344.435963999998</v>
      </c>
      <c r="F47" s="288">
        <f t="shared" si="15"/>
        <v>74066.62</v>
      </c>
      <c r="G47" s="288">
        <f t="shared" si="16"/>
        <v>88879.94</v>
      </c>
      <c r="J47" s="438"/>
      <c r="K47" s="438">
        <f t="shared" si="0"/>
        <v>0</v>
      </c>
    </row>
    <row r="48" spans="1:11" ht="15.6" x14ac:dyDescent="0.3">
      <c r="A48" s="285">
        <f t="shared" ref="A48:A54" si="17">A47+1</f>
        <v>34</v>
      </c>
      <c r="B48" s="324" t="s">
        <v>1541</v>
      </c>
      <c r="C48" s="323" t="s">
        <v>254</v>
      </c>
      <c r="D48" s="403">
        <v>1480</v>
      </c>
      <c r="E48" s="295">
        <v>47.222211527027035</v>
      </c>
      <c r="F48" s="288">
        <f t="shared" si="15"/>
        <v>69888.87</v>
      </c>
      <c r="G48" s="288">
        <f t="shared" si="16"/>
        <v>83866.64</v>
      </c>
      <c r="J48" s="438"/>
      <c r="K48" s="438">
        <f t="shared" si="0"/>
        <v>0</v>
      </c>
    </row>
    <row r="49" spans="1:11" ht="15.6" x14ac:dyDescent="0.3">
      <c r="A49" s="285">
        <f t="shared" si="17"/>
        <v>35</v>
      </c>
      <c r="B49" s="324" t="s">
        <v>1542</v>
      </c>
      <c r="C49" s="323" t="s">
        <v>220</v>
      </c>
      <c r="D49" s="407" t="s">
        <v>762</v>
      </c>
      <c r="E49" s="295">
        <v>342088.62040799996</v>
      </c>
      <c r="F49" s="288">
        <f t="shared" si="15"/>
        <v>342088.62</v>
      </c>
      <c r="G49" s="288">
        <f t="shared" si="16"/>
        <v>410506.34</v>
      </c>
      <c r="J49" s="438"/>
      <c r="K49" s="438">
        <f t="shared" si="0"/>
        <v>0</v>
      </c>
    </row>
    <row r="50" spans="1:11" ht="15.6" x14ac:dyDescent="0.3">
      <c r="A50" s="285">
        <f t="shared" si="17"/>
        <v>36</v>
      </c>
      <c r="B50" s="324" t="s">
        <v>1543</v>
      </c>
      <c r="C50" s="323" t="s">
        <v>220</v>
      </c>
      <c r="D50" s="407" t="s">
        <v>762</v>
      </c>
      <c r="E50" s="295">
        <v>361438.39148399996</v>
      </c>
      <c r="F50" s="288">
        <f t="shared" si="15"/>
        <v>361438.39</v>
      </c>
      <c r="G50" s="288">
        <f t="shared" si="16"/>
        <v>433726.07</v>
      </c>
      <c r="J50" s="438"/>
      <c r="K50" s="438">
        <f t="shared" si="0"/>
        <v>0</v>
      </c>
    </row>
    <row r="51" spans="1:11" ht="15.6" x14ac:dyDescent="0.3">
      <c r="A51" s="285">
        <f t="shared" si="17"/>
        <v>37</v>
      </c>
      <c r="B51" s="324" t="s">
        <v>1544</v>
      </c>
      <c r="C51" s="323" t="s">
        <v>220</v>
      </c>
      <c r="D51" s="407" t="s">
        <v>762</v>
      </c>
      <c r="E51" s="295">
        <v>335859.90778800001</v>
      </c>
      <c r="F51" s="288">
        <f t="shared" si="15"/>
        <v>335859.91</v>
      </c>
      <c r="G51" s="288">
        <f t="shared" si="16"/>
        <v>403031.89</v>
      </c>
      <c r="J51" s="438"/>
      <c r="K51" s="438">
        <f t="shared" si="0"/>
        <v>0</v>
      </c>
    </row>
    <row r="52" spans="1:11" ht="15.6" x14ac:dyDescent="0.3">
      <c r="A52" s="285">
        <f t="shared" si="17"/>
        <v>38</v>
      </c>
      <c r="B52" s="324" t="s">
        <v>1545</v>
      </c>
      <c r="C52" s="323" t="s">
        <v>220</v>
      </c>
      <c r="D52" s="407" t="s">
        <v>796</v>
      </c>
      <c r="E52" s="295">
        <v>5616.2106270000004</v>
      </c>
      <c r="F52" s="288">
        <f t="shared" si="15"/>
        <v>67394.53</v>
      </c>
      <c r="G52" s="288">
        <f t="shared" si="16"/>
        <v>80873.440000000002</v>
      </c>
      <c r="J52" s="438"/>
      <c r="K52" s="438">
        <f t="shared" si="0"/>
        <v>0</v>
      </c>
    </row>
    <row r="53" spans="1:11" ht="15.6" x14ac:dyDescent="0.3">
      <c r="A53" s="285">
        <f t="shared" si="17"/>
        <v>39</v>
      </c>
      <c r="B53" s="324" t="s">
        <v>921</v>
      </c>
      <c r="C53" s="323" t="s">
        <v>239</v>
      </c>
      <c r="D53" s="382">
        <f>3.772+0.69+1.48+3.076+3.25+3.02+0.606</f>
        <v>15.894</v>
      </c>
      <c r="E53" s="295">
        <v>779.2823103057757</v>
      </c>
      <c r="F53" s="288">
        <f t="shared" si="15"/>
        <v>12385.91</v>
      </c>
      <c r="G53" s="288">
        <f t="shared" si="16"/>
        <v>14863.09</v>
      </c>
      <c r="H53" s="209" t="s">
        <v>1624</v>
      </c>
      <c r="J53" s="438"/>
      <c r="K53" s="438">
        <f t="shared" si="0"/>
        <v>0</v>
      </c>
    </row>
    <row r="54" spans="1:11" ht="27.6" x14ac:dyDescent="0.3">
      <c r="A54" s="285">
        <f t="shared" si="17"/>
        <v>40</v>
      </c>
      <c r="B54" s="324" t="s">
        <v>1546</v>
      </c>
      <c r="C54" s="323" t="s">
        <v>239</v>
      </c>
      <c r="D54" s="382">
        <f>3.772+0.69+1.48+3.076+3.25+3.02+0.606</f>
        <v>15.894</v>
      </c>
      <c r="E54" s="295">
        <v>4948.6442400000005</v>
      </c>
      <c r="F54" s="288">
        <f t="shared" si="15"/>
        <v>78653.75</v>
      </c>
      <c r="G54" s="288">
        <f t="shared" si="16"/>
        <v>94384.5</v>
      </c>
      <c r="H54" s="209" t="s">
        <v>1624</v>
      </c>
      <c r="J54" s="438"/>
      <c r="K54" s="438">
        <f t="shared" si="0"/>
        <v>0</v>
      </c>
    </row>
    <row r="55" spans="1:11" ht="15.6" x14ac:dyDescent="0.3">
      <c r="A55" s="285"/>
      <c r="B55" s="408" t="s">
        <v>1547</v>
      </c>
      <c r="C55" s="409"/>
      <c r="D55" s="410"/>
      <c r="E55" s="295">
        <v>0</v>
      </c>
      <c r="F55" s="288"/>
      <c r="G55" s="326"/>
      <c r="H55" s="318">
        <f>SUM(G57:G99)</f>
        <v>3051687.1599999992</v>
      </c>
      <c r="J55" s="438"/>
      <c r="K55" s="438">
        <f t="shared" si="0"/>
        <v>0</v>
      </c>
    </row>
    <row r="56" spans="1:11" ht="15.6" x14ac:dyDescent="0.3">
      <c r="A56" s="289"/>
      <c r="B56" s="411" t="s">
        <v>1548</v>
      </c>
      <c r="C56" s="409"/>
      <c r="D56" s="410"/>
      <c r="E56" s="295">
        <v>0</v>
      </c>
      <c r="F56" s="288"/>
      <c r="G56" s="288"/>
      <c r="J56" s="438"/>
      <c r="K56" s="438">
        <f t="shared" si="0"/>
        <v>0</v>
      </c>
    </row>
    <row r="57" spans="1:11" ht="27.6" x14ac:dyDescent="0.3">
      <c r="A57" s="285">
        <f>A54+1</f>
        <v>41</v>
      </c>
      <c r="B57" s="324" t="s">
        <v>1549</v>
      </c>
      <c r="C57" s="323" t="s">
        <v>220</v>
      </c>
      <c r="D57" s="402">
        <v>3</v>
      </c>
      <c r="E57" s="295">
        <v>74560.049964000005</v>
      </c>
      <c r="F57" s="288">
        <f>ROUND(E57*D57,2)</f>
        <v>223680.15</v>
      </c>
      <c r="G57" s="288">
        <f t="shared" ref="G57" si="18">ROUND(F57*1.2,2)</f>
        <v>268416.18</v>
      </c>
      <c r="J57" s="438"/>
      <c r="K57" s="438">
        <f t="shared" si="0"/>
        <v>0</v>
      </c>
    </row>
    <row r="58" spans="1:11" ht="15.6" x14ac:dyDescent="0.3">
      <c r="A58" s="285"/>
      <c r="B58" s="398" t="s">
        <v>513</v>
      </c>
      <c r="C58" s="323"/>
      <c r="D58" s="402"/>
      <c r="E58" s="295">
        <v>0</v>
      </c>
      <c r="F58" s="288"/>
      <c r="G58" s="288"/>
      <c r="J58" s="438"/>
      <c r="K58" s="438">
        <f t="shared" si="0"/>
        <v>0</v>
      </c>
    </row>
    <row r="59" spans="1:11" ht="15.6" x14ac:dyDescent="0.3">
      <c r="A59" s="289">
        <f>A57+1</f>
        <v>42</v>
      </c>
      <c r="B59" s="324" t="s">
        <v>1521</v>
      </c>
      <c r="C59" s="323" t="s">
        <v>193</v>
      </c>
      <c r="D59" s="405">
        <v>259.2</v>
      </c>
      <c r="E59" s="295">
        <v>464.82929999999999</v>
      </c>
      <c r="F59" s="288">
        <f t="shared" ref="F59:F64" si="19">ROUND(E59*D59,2)</f>
        <v>120483.75</v>
      </c>
      <c r="G59" s="288">
        <f t="shared" ref="G59:G64" si="20">ROUND(F59*1.2,2)</f>
        <v>144580.5</v>
      </c>
      <c r="J59" s="438"/>
      <c r="K59" s="438">
        <f t="shared" si="0"/>
        <v>0</v>
      </c>
    </row>
    <row r="60" spans="1:11" ht="15.6" x14ac:dyDescent="0.3">
      <c r="A60" s="285">
        <f>A59+1</f>
        <v>43</v>
      </c>
      <c r="B60" s="324" t="s">
        <v>444</v>
      </c>
      <c r="C60" s="323" t="s">
        <v>193</v>
      </c>
      <c r="D60" s="406">
        <v>11</v>
      </c>
      <c r="E60" s="295">
        <v>2541.5435879999995</v>
      </c>
      <c r="F60" s="288">
        <f t="shared" si="19"/>
        <v>27956.98</v>
      </c>
      <c r="G60" s="288">
        <f t="shared" si="20"/>
        <v>33548.379999999997</v>
      </c>
      <c r="J60" s="438"/>
      <c r="K60" s="438">
        <f t="shared" si="0"/>
        <v>0</v>
      </c>
    </row>
    <row r="61" spans="1:11" ht="15.6" x14ac:dyDescent="0.3">
      <c r="A61" s="285">
        <f t="shared" ref="A61:A64" si="21">A60+1</f>
        <v>44</v>
      </c>
      <c r="B61" s="324" t="s">
        <v>518</v>
      </c>
      <c r="C61" s="323" t="s">
        <v>239</v>
      </c>
      <c r="D61" s="325">
        <v>16.32</v>
      </c>
      <c r="E61" s="295">
        <v>464.82929999999999</v>
      </c>
      <c r="F61" s="288">
        <f t="shared" si="19"/>
        <v>7586.01</v>
      </c>
      <c r="G61" s="288">
        <f t="shared" si="20"/>
        <v>9103.2099999999991</v>
      </c>
      <c r="J61" s="438"/>
      <c r="K61" s="438">
        <f t="shared" si="0"/>
        <v>0</v>
      </c>
    </row>
    <row r="62" spans="1:11" ht="15.6" x14ac:dyDescent="0.3">
      <c r="A62" s="453">
        <f t="shared" si="21"/>
        <v>45</v>
      </c>
      <c r="B62" s="324" t="s">
        <v>503</v>
      </c>
      <c r="C62" s="323" t="s">
        <v>239</v>
      </c>
      <c r="D62" s="325">
        <v>16.32</v>
      </c>
      <c r="E62" s="295">
        <f>'искл-свод'!B2</f>
        <v>1361.6</v>
      </c>
      <c r="F62" s="288">
        <f t="shared" si="19"/>
        <v>22221.31</v>
      </c>
      <c r="G62" s="288">
        <f t="shared" si="20"/>
        <v>26665.57</v>
      </c>
      <c r="J62" s="438"/>
      <c r="K62" s="438">
        <f t="shared" si="0"/>
        <v>0</v>
      </c>
    </row>
    <row r="63" spans="1:11" ht="15.6" x14ac:dyDescent="0.3">
      <c r="A63" s="285">
        <f t="shared" si="21"/>
        <v>46</v>
      </c>
      <c r="B63" s="324" t="s">
        <v>537</v>
      </c>
      <c r="C63" s="323" t="s">
        <v>193</v>
      </c>
      <c r="D63" s="406">
        <v>521</v>
      </c>
      <c r="E63" s="295">
        <v>464.82929999999999</v>
      </c>
      <c r="F63" s="288">
        <f t="shared" si="19"/>
        <v>242176.07</v>
      </c>
      <c r="G63" s="288">
        <f t="shared" si="20"/>
        <v>290611.28000000003</v>
      </c>
      <c r="J63" s="438"/>
      <c r="K63" s="438">
        <f t="shared" si="0"/>
        <v>0</v>
      </c>
    </row>
    <row r="64" spans="1:11" ht="15.6" x14ac:dyDescent="0.3">
      <c r="A64" s="285">
        <f t="shared" si="21"/>
        <v>47</v>
      </c>
      <c r="B64" s="324" t="s">
        <v>696</v>
      </c>
      <c r="C64" s="323" t="s">
        <v>193</v>
      </c>
      <c r="D64" s="405">
        <v>130.19999999999999</v>
      </c>
      <c r="E64" s="295">
        <v>1285.789356</v>
      </c>
      <c r="F64" s="288">
        <f t="shared" si="19"/>
        <v>167409.76999999999</v>
      </c>
      <c r="G64" s="288">
        <f t="shared" si="20"/>
        <v>200891.72</v>
      </c>
      <c r="J64" s="438"/>
      <c r="K64" s="438">
        <f t="shared" si="0"/>
        <v>0</v>
      </c>
    </row>
    <row r="65" spans="1:11" ht="19.5" customHeight="1" x14ac:dyDescent="0.3">
      <c r="A65" s="285"/>
      <c r="B65" s="411" t="s">
        <v>1550</v>
      </c>
      <c r="C65" s="323"/>
      <c r="D65" s="402"/>
      <c r="E65" s="295">
        <v>0</v>
      </c>
      <c r="F65" s="288"/>
      <c r="G65" s="288"/>
      <c r="J65" s="438"/>
      <c r="K65" s="438">
        <f t="shared" si="0"/>
        <v>0</v>
      </c>
    </row>
    <row r="66" spans="1:11" ht="27.6" x14ac:dyDescent="0.3">
      <c r="A66" s="285">
        <f>A64+1</f>
        <v>48</v>
      </c>
      <c r="B66" s="324" t="s">
        <v>1614</v>
      </c>
      <c r="C66" s="323" t="s">
        <v>220</v>
      </c>
      <c r="D66" s="403">
        <v>3</v>
      </c>
      <c r="E66" s="295">
        <v>97256.592000000004</v>
      </c>
      <c r="F66" s="288">
        <f>ROUND(E66*D66,2)</f>
        <v>291769.78000000003</v>
      </c>
      <c r="G66" s="288">
        <f t="shared" ref="G66" si="22">ROUND(F66*1.2,2)</f>
        <v>350123.74</v>
      </c>
      <c r="J66" s="438"/>
      <c r="K66" s="438">
        <f t="shared" si="0"/>
        <v>0</v>
      </c>
    </row>
    <row r="67" spans="1:11" ht="21.75" customHeight="1" x14ac:dyDescent="0.3">
      <c r="A67" s="285"/>
      <c r="B67" s="411" t="s">
        <v>1551</v>
      </c>
      <c r="C67" s="323"/>
      <c r="D67" s="402"/>
      <c r="E67" s="295">
        <v>0</v>
      </c>
      <c r="F67" s="288"/>
      <c r="G67" s="288"/>
      <c r="J67" s="438"/>
      <c r="K67" s="438">
        <f t="shared" si="0"/>
        <v>0</v>
      </c>
    </row>
    <row r="68" spans="1:11" ht="15.6" x14ac:dyDescent="0.3">
      <c r="A68" s="285"/>
      <c r="B68" s="411" t="s">
        <v>1552</v>
      </c>
      <c r="C68" s="323"/>
      <c r="D68" s="402"/>
      <c r="E68" s="295">
        <v>0</v>
      </c>
      <c r="F68" s="288"/>
      <c r="G68" s="288"/>
      <c r="J68" s="438"/>
      <c r="K68" s="438">
        <f t="shared" si="0"/>
        <v>0</v>
      </c>
    </row>
    <row r="69" spans="1:11" ht="15.6" x14ac:dyDescent="0.3">
      <c r="A69" s="285">
        <f>A66+1</f>
        <v>49</v>
      </c>
      <c r="B69" s="324" t="s">
        <v>1613</v>
      </c>
      <c r="C69" s="323" t="s">
        <v>220</v>
      </c>
      <c r="D69" s="403">
        <v>1</v>
      </c>
      <c r="E69" s="295">
        <v>70111.991123999993</v>
      </c>
      <c r="F69" s="288">
        <f>ROUND(E69*D69,2)</f>
        <v>70111.990000000005</v>
      </c>
      <c r="G69" s="288">
        <f t="shared" ref="G69" si="23">ROUND(F69*1.2,2)</f>
        <v>84134.39</v>
      </c>
      <c r="J69" s="438"/>
      <c r="K69" s="438">
        <f t="shared" si="0"/>
        <v>0</v>
      </c>
    </row>
    <row r="70" spans="1:11" ht="15.6" x14ac:dyDescent="0.3">
      <c r="A70" s="285"/>
      <c r="B70" s="411" t="s">
        <v>1553</v>
      </c>
      <c r="C70" s="323"/>
      <c r="D70" s="402"/>
      <c r="E70" s="295">
        <v>0</v>
      </c>
      <c r="F70" s="288"/>
      <c r="G70" s="288"/>
      <c r="J70" s="438"/>
      <c r="K70" s="438">
        <f t="shared" ref="K70:K99" si="24">E70*J70*1.2</f>
        <v>0</v>
      </c>
    </row>
    <row r="71" spans="1:11" ht="27.6" x14ac:dyDescent="0.3">
      <c r="A71" s="285">
        <f>A69+1</f>
        <v>50</v>
      </c>
      <c r="B71" s="324" t="s">
        <v>1615</v>
      </c>
      <c r="C71" s="323" t="s">
        <v>220</v>
      </c>
      <c r="D71" s="403">
        <v>1</v>
      </c>
      <c r="E71" s="295">
        <v>107597.25611999999</v>
      </c>
      <c r="F71" s="288">
        <f>ROUND(E71*D71,2)</f>
        <v>107597.26</v>
      </c>
      <c r="G71" s="288">
        <f t="shared" ref="G71:G73" si="25">ROUND(F71*1.2,2)</f>
        <v>129116.71</v>
      </c>
      <c r="J71" s="438"/>
      <c r="K71" s="438">
        <f t="shared" si="24"/>
        <v>0</v>
      </c>
    </row>
    <row r="72" spans="1:11" ht="15.6" x14ac:dyDescent="0.3">
      <c r="A72" s="285">
        <f t="shared" ref="A72:A73" si="26">A71+1</f>
        <v>51</v>
      </c>
      <c r="B72" s="324" t="s">
        <v>921</v>
      </c>
      <c r="C72" s="323" t="s">
        <v>239</v>
      </c>
      <c r="D72" s="382">
        <f>25.2+2.52+1.3</f>
        <v>29.02</v>
      </c>
      <c r="E72" s="295">
        <v>623.91534012</v>
      </c>
      <c r="F72" s="288">
        <f>ROUND(E72*D72,2)</f>
        <v>18106.02</v>
      </c>
      <c r="G72" s="288">
        <f t="shared" si="25"/>
        <v>21727.22</v>
      </c>
      <c r="H72" s="209" t="s">
        <v>1624</v>
      </c>
      <c r="J72" s="438"/>
      <c r="K72" s="438">
        <f t="shared" si="24"/>
        <v>0</v>
      </c>
    </row>
    <row r="73" spans="1:11" ht="27.6" x14ac:dyDescent="0.3">
      <c r="A73" s="285">
        <f t="shared" si="26"/>
        <v>52</v>
      </c>
      <c r="B73" s="324" t="s">
        <v>855</v>
      </c>
      <c r="C73" s="323" t="s">
        <v>239</v>
      </c>
      <c r="D73" s="382">
        <f>25.2+2.52+1.3</f>
        <v>29.02</v>
      </c>
      <c r="E73" s="295">
        <v>4948.6442400000005</v>
      </c>
      <c r="F73" s="288">
        <f>ROUND(E73*D73,2)</f>
        <v>143609.66</v>
      </c>
      <c r="G73" s="288">
        <f t="shared" si="25"/>
        <v>172331.59</v>
      </c>
      <c r="H73" s="209" t="s">
        <v>1624</v>
      </c>
      <c r="J73" s="438"/>
      <c r="K73" s="438">
        <f t="shared" si="24"/>
        <v>0</v>
      </c>
    </row>
    <row r="74" spans="1:11" ht="21.75" customHeight="1" x14ac:dyDescent="0.3">
      <c r="A74" s="285"/>
      <c r="B74" s="411" t="s">
        <v>1554</v>
      </c>
      <c r="C74" s="323"/>
      <c r="D74" s="402"/>
      <c r="E74" s="295">
        <v>0</v>
      </c>
      <c r="F74" s="288"/>
      <c r="G74" s="288"/>
      <c r="J74" s="438"/>
      <c r="K74" s="438">
        <f t="shared" si="24"/>
        <v>0</v>
      </c>
    </row>
    <row r="75" spans="1:11" ht="19.5" customHeight="1" x14ac:dyDescent="0.3">
      <c r="A75" s="285"/>
      <c r="B75" s="398" t="s">
        <v>513</v>
      </c>
      <c r="C75" s="323"/>
      <c r="D75" s="402"/>
      <c r="E75" s="295">
        <v>0</v>
      </c>
      <c r="F75" s="288"/>
      <c r="G75" s="288"/>
      <c r="J75" s="438"/>
      <c r="K75" s="438">
        <f t="shared" si="24"/>
        <v>0</v>
      </c>
    </row>
    <row r="76" spans="1:11" ht="15.6" x14ac:dyDescent="0.3">
      <c r="A76" s="285">
        <f>A73+1</f>
        <v>53</v>
      </c>
      <c r="B76" s="324" t="s">
        <v>1521</v>
      </c>
      <c r="C76" s="323" t="s">
        <v>193</v>
      </c>
      <c r="D76" s="405">
        <v>259.2</v>
      </c>
      <c r="E76" s="295">
        <v>464.82929999999999</v>
      </c>
      <c r="F76" s="288">
        <f t="shared" ref="F76:F81" si="27">ROUND(E76*D76,2)</f>
        <v>120483.75</v>
      </c>
      <c r="G76" s="288">
        <f t="shared" ref="G76:G81" si="28">ROUND(F76*1.2,2)</f>
        <v>144580.5</v>
      </c>
      <c r="J76" s="438"/>
      <c r="K76" s="438">
        <f t="shared" si="24"/>
        <v>0</v>
      </c>
    </row>
    <row r="77" spans="1:11" ht="15.6" x14ac:dyDescent="0.3">
      <c r="A77" s="285">
        <f>A76+1</f>
        <v>54</v>
      </c>
      <c r="B77" s="324" t="s">
        <v>444</v>
      </c>
      <c r="C77" s="323" t="s">
        <v>193</v>
      </c>
      <c r="D77" s="406">
        <v>11</v>
      </c>
      <c r="E77" s="295">
        <v>2541.5435879999995</v>
      </c>
      <c r="F77" s="288">
        <f t="shared" si="27"/>
        <v>27956.98</v>
      </c>
      <c r="G77" s="288">
        <f t="shared" si="28"/>
        <v>33548.379999999997</v>
      </c>
      <c r="J77" s="438"/>
      <c r="K77" s="438">
        <f t="shared" si="24"/>
        <v>0</v>
      </c>
    </row>
    <row r="78" spans="1:11" ht="15.6" x14ac:dyDescent="0.3">
      <c r="A78" s="285">
        <f t="shared" ref="A78:A81" si="29">A77+1</f>
        <v>55</v>
      </c>
      <c r="B78" s="324" t="s">
        <v>518</v>
      </c>
      <c r="C78" s="323" t="s">
        <v>239</v>
      </c>
      <c r="D78" s="325">
        <v>5.44</v>
      </c>
      <c r="E78" s="295">
        <v>464.82929999999999</v>
      </c>
      <c r="F78" s="288">
        <f t="shared" si="27"/>
        <v>2528.67</v>
      </c>
      <c r="G78" s="288">
        <f t="shared" si="28"/>
        <v>3034.4</v>
      </c>
      <c r="J78" s="438"/>
      <c r="K78" s="438">
        <f t="shared" si="24"/>
        <v>0</v>
      </c>
    </row>
    <row r="79" spans="1:11" ht="15.6" x14ac:dyDescent="0.3">
      <c r="A79" s="453">
        <f t="shared" si="29"/>
        <v>56</v>
      </c>
      <c r="B79" s="324" t="s">
        <v>503</v>
      </c>
      <c r="C79" s="323" t="s">
        <v>239</v>
      </c>
      <c r="D79" s="325">
        <v>5.44</v>
      </c>
      <c r="E79" s="295">
        <f>'искл-свод'!B2</f>
        <v>1361.6</v>
      </c>
      <c r="F79" s="288">
        <f t="shared" si="27"/>
        <v>7407.1</v>
      </c>
      <c r="G79" s="288">
        <f t="shared" si="28"/>
        <v>8888.52</v>
      </c>
      <c r="J79" s="438"/>
      <c r="K79" s="438">
        <f t="shared" si="24"/>
        <v>0</v>
      </c>
    </row>
    <row r="80" spans="1:11" ht="15.6" x14ac:dyDescent="0.3">
      <c r="A80" s="285">
        <f t="shared" si="29"/>
        <v>57</v>
      </c>
      <c r="B80" s="324" t="s">
        <v>537</v>
      </c>
      <c r="C80" s="323" t="s">
        <v>193</v>
      </c>
      <c r="D80" s="406">
        <v>166.64</v>
      </c>
      <c r="E80" s="295">
        <v>464.82929999999999</v>
      </c>
      <c r="F80" s="288">
        <f t="shared" si="27"/>
        <v>77459.149999999994</v>
      </c>
      <c r="G80" s="288">
        <f t="shared" si="28"/>
        <v>92950.98</v>
      </c>
      <c r="J80" s="438"/>
      <c r="K80" s="438">
        <f t="shared" si="24"/>
        <v>0</v>
      </c>
    </row>
    <row r="81" spans="1:11" ht="15.6" x14ac:dyDescent="0.3">
      <c r="A81" s="285">
        <f t="shared" si="29"/>
        <v>58</v>
      </c>
      <c r="B81" s="324" t="s">
        <v>696</v>
      </c>
      <c r="C81" s="323" t="s">
        <v>193</v>
      </c>
      <c r="D81" s="406">
        <v>41.66</v>
      </c>
      <c r="E81" s="295">
        <v>1285.789356</v>
      </c>
      <c r="F81" s="288">
        <f t="shared" si="27"/>
        <v>53565.98</v>
      </c>
      <c r="G81" s="288">
        <f t="shared" si="28"/>
        <v>64279.18</v>
      </c>
      <c r="J81" s="438"/>
      <c r="K81" s="438">
        <f t="shared" si="24"/>
        <v>0</v>
      </c>
    </row>
    <row r="82" spans="1:11" ht="15.6" x14ac:dyDescent="0.3">
      <c r="A82" s="285"/>
      <c r="B82" s="398" t="s">
        <v>1555</v>
      </c>
      <c r="C82" s="323"/>
      <c r="D82" s="402"/>
      <c r="E82" s="295">
        <v>0</v>
      </c>
      <c r="F82" s="288"/>
      <c r="G82" s="288"/>
      <c r="J82" s="438"/>
      <c r="K82" s="438">
        <f t="shared" si="24"/>
        <v>0</v>
      </c>
    </row>
    <row r="83" spans="1:11" ht="27.6" x14ac:dyDescent="0.3">
      <c r="A83" s="289">
        <f>A81+1</f>
        <v>59</v>
      </c>
      <c r="B83" s="324" t="s">
        <v>1556</v>
      </c>
      <c r="C83" s="323" t="s">
        <v>193</v>
      </c>
      <c r="D83" s="406">
        <v>0.46</v>
      </c>
      <c r="E83" s="295">
        <v>3970.3573439999996</v>
      </c>
      <c r="F83" s="288">
        <f>ROUND(E83*D83,2)</f>
        <v>1826.36</v>
      </c>
      <c r="G83" s="288">
        <f t="shared" ref="G83:G86" si="30">ROUND(F83*1.2,2)</f>
        <v>2191.63</v>
      </c>
      <c r="H83" s="270"/>
      <c r="J83" s="438"/>
      <c r="K83" s="438">
        <f t="shared" si="24"/>
        <v>0</v>
      </c>
    </row>
    <row r="84" spans="1:11" ht="27.6" x14ac:dyDescent="0.3">
      <c r="A84" s="289">
        <f>A83+1</f>
        <v>60</v>
      </c>
      <c r="B84" s="324" t="s">
        <v>1616</v>
      </c>
      <c r="C84" s="323" t="s">
        <v>220</v>
      </c>
      <c r="D84" s="403">
        <v>3</v>
      </c>
      <c r="E84" s="295">
        <v>97256.592000000004</v>
      </c>
      <c r="F84" s="288">
        <f>ROUND(E84*D84,2)</f>
        <v>291769.78000000003</v>
      </c>
      <c r="G84" s="288">
        <f t="shared" si="30"/>
        <v>350123.74</v>
      </c>
      <c r="H84" s="284"/>
      <c r="J84" s="438"/>
      <c r="K84" s="438">
        <f t="shared" si="24"/>
        <v>0</v>
      </c>
    </row>
    <row r="85" spans="1:11" ht="27.6" x14ac:dyDescent="0.3">
      <c r="A85" s="285">
        <f t="shared" ref="A85:A86" si="31">A84+1</f>
        <v>61</v>
      </c>
      <c r="B85" s="324" t="s">
        <v>934</v>
      </c>
      <c r="C85" s="400" t="s">
        <v>431</v>
      </c>
      <c r="D85" s="325">
        <v>50.4</v>
      </c>
      <c r="E85" s="295">
        <v>217.397088</v>
      </c>
      <c r="F85" s="288">
        <f>ROUND(E85*D85,2)</f>
        <v>10956.81</v>
      </c>
      <c r="G85" s="288">
        <f t="shared" si="30"/>
        <v>13148.17</v>
      </c>
      <c r="J85" s="438"/>
      <c r="K85" s="438">
        <f t="shared" si="24"/>
        <v>0</v>
      </c>
    </row>
    <row r="86" spans="1:11" ht="27.6" x14ac:dyDescent="0.3">
      <c r="A86" s="285">
        <f t="shared" si="31"/>
        <v>62</v>
      </c>
      <c r="B86" s="324" t="s">
        <v>935</v>
      </c>
      <c r="C86" s="323" t="s">
        <v>431</v>
      </c>
      <c r="D86" s="325">
        <v>50.4</v>
      </c>
      <c r="E86" s="295">
        <v>451.29919176000004</v>
      </c>
      <c r="F86" s="288">
        <f>ROUND(E86*D86,2)</f>
        <v>22745.48</v>
      </c>
      <c r="G86" s="288">
        <f t="shared" si="30"/>
        <v>27294.58</v>
      </c>
      <c r="J86" s="438"/>
      <c r="K86" s="438">
        <f t="shared" si="24"/>
        <v>0</v>
      </c>
    </row>
    <row r="87" spans="1:11" ht="15.6" x14ac:dyDescent="0.3">
      <c r="A87" s="289"/>
      <c r="B87" s="398" t="s">
        <v>1557</v>
      </c>
      <c r="C87" s="323"/>
      <c r="D87" s="402"/>
      <c r="E87" s="295">
        <v>0</v>
      </c>
      <c r="F87" s="288"/>
      <c r="G87" s="288"/>
      <c r="J87" s="438"/>
      <c r="K87" s="438">
        <f t="shared" si="24"/>
        <v>0</v>
      </c>
    </row>
    <row r="88" spans="1:11" ht="35.25" customHeight="1" x14ac:dyDescent="0.3">
      <c r="A88" s="289">
        <f>A86+1</f>
        <v>63</v>
      </c>
      <c r="B88" s="324" t="s">
        <v>1558</v>
      </c>
      <c r="C88" s="323" t="s">
        <v>220</v>
      </c>
      <c r="D88" s="403">
        <v>3</v>
      </c>
      <c r="E88" s="295">
        <v>88603.6158</v>
      </c>
      <c r="F88" s="288">
        <f>ROUND(E88*D88,2)</f>
        <v>265810.84999999998</v>
      </c>
      <c r="G88" s="288">
        <f t="shared" ref="G88:G90" si="32">ROUND(F88*1.2,2)</f>
        <v>318973.02</v>
      </c>
      <c r="J88" s="438"/>
      <c r="K88" s="438">
        <f t="shared" si="24"/>
        <v>0</v>
      </c>
    </row>
    <row r="89" spans="1:11" ht="27.6" x14ac:dyDescent="0.3">
      <c r="A89" s="285">
        <f t="shared" ref="A89:A90" si="33">A88+1</f>
        <v>64</v>
      </c>
      <c r="B89" s="324" t="s">
        <v>547</v>
      </c>
      <c r="C89" s="323" t="s">
        <v>431</v>
      </c>
      <c r="D89" s="382">
        <v>45.3</v>
      </c>
      <c r="E89" s="295">
        <v>260.30440800000002</v>
      </c>
      <c r="F89" s="288">
        <f>ROUND(E89*D89,2)</f>
        <v>11791.79</v>
      </c>
      <c r="G89" s="288">
        <f t="shared" si="32"/>
        <v>14150.15</v>
      </c>
      <c r="J89" s="438"/>
      <c r="K89" s="438">
        <f t="shared" si="24"/>
        <v>0</v>
      </c>
    </row>
    <row r="90" spans="1:11" ht="15.6" x14ac:dyDescent="0.3">
      <c r="A90" s="285">
        <f t="shared" si="33"/>
        <v>65</v>
      </c>
      <c r="B90" s="324" t="s">
        <v>548</v>
      </c>
      <c r="C90" s="323" t="s">
        <v>431</v>
      </c>
      <c r="D90" s="382">
        <v>45.3</v>
      </c>
      <c r="E90" s="295">
        <v>260.30440800000002</v>
      </c>
      <c r="F90" s="288">
        <f>ROUND(E90*D90,2)</f>
        <v>11791.79</v>
      </c>
      <c r="G90" s="288">
        <f t="shared" si="32"/>
        <v>14150.15</v>
      </c>
      <c r="J90" s="438"/>
      <c r="K90" s="438">
        <f t="shared" si="24"/>
        <v>0</v>
      </c>
    </row>
    <row r="91" spans="1:11" ht="22.5" customHeight="1" x14ac:dyDescent="0.3">
      <c r="A91" s="289"/>
      <c r="B91" s="398" t="s">
        <v>1559</v>
      </c>
      <c r="C91" s="323"/>
      <c r="D91" s="402"/>
      <c r="E91" s="295">
        <v>0</v>
      </c>
      <c r="F91" s="288"/>
      <c r="G91" s="288"/>
      <c r="J91" s="438"/>
      <c r="K91" s="438">
        <f t="shared" si="24"/>
        <v>0</v>
      </c>
    </row>
    <row r="92" spans="1:11" ht="15.6" x14ac:dyDescent="0.3">
      <c r="A92" s="289"/>
      <c r="B92" s="398" t="s">
        <v>513</v>
      </c>
      <c r="C92" s="323"/>
      <c r="D92" s="402"/>
      <c r="E92" s="295">
        <v>0</v>
      </c>
      <c r="F92" s="288"/>
      <c r="G92" s="288"/>
      <c r="J92" s="438"/>
      <c r="K92" s="438">
        <f t="shared" si="24"/>
        <v>0</v>
      </c>
    </row>
    <row r="93" spans="1:11" ht="15.6" x14ac:dyDescent="0.3">
      <c r="A93" s="289">
        <f>A90+1</f>
        <v>66</v>
      </c>
      <c r="B93" s="324" t="s">
        <v>1560</v>
      </c>
      <c r="C93" s="323" t="s">
        <v>220</v>
      </c>
      <c r="D93" s="403">
        <v>1</v>
      </c>
      <c r="E93" s="295">
        <v>8542.8474119999992</v>
      </c>
      <c r="F93" s="288">
        <f>ROUND(E93*D93,2)</f>
        <v>8542.85</v>
      </c>
      <c r="G93" s="288">
        <f t="shared" ref="G93:G95" si="34">ROUND(F93*1.2,2)</f>
        <v>10251.42</v>
      </c>
      <c r="J93" s="438"/>
      <c r="K93" s="438">
        <f t="shared" si="24"/>
        <v>0</v>
      </c>
    </row>
    <row r="94" spans="1:11" ht="15.6" x14ac:dyDescent="0.3">
      <c r="A94" s="289">
        <f>A93+1</f>
        <v>67</v>
      </c>
      <c r="B94" s="324" t="s">
        <v>518</v>
      </c>
      <c r="C94" s="323" t="s">
        <v>239</v>
      </c>
      <c r="D94" s="325">
        <v>1.02</v>
      </c>
      <c r="E94" s="295">
        <v>464.82929999999999</v>
      </c>
      <c r="F94" s="288">
        <f>ROUND(E94*D94,2)</f>
        <v>474.13</v>
      </c>
      <c r="G94" s="288">
        <f t="shared" si="34"/>
        <v>568.96</v>
      </c>
      <c r="J94" s="438"/>
      <c r="K94" s="438">
        <f t="shared" si="24"/>
        <v>0</v>
      </c>
    </row>
    <row r="95" spans="1:11" ht="15.6" x14ac:dyDescent="0.3">
      <c r="A95" s="490">
        <f>A94+1</f>
        <v>68</v>
      </c>
      <c r="B95" s="324" t="s">
        <v>503</v>
      </c>
      <c r="C95" s="323" t="s">
        <v>239</v>
      </c>
      <c r="D95" s="325">
        <v>1.02</v>
      </c>
      <c r="E95" s="295">
        <f>'искл-свод'!B2</f>
        <v>1361.6</v>
      </c>
      <c r="F95" s="288">
        <f>ROUND(E95*D95,2)</f>
        <v>1388.83</v>
      </c>
      <c r="G95" s="288">
        <f t="shared" si="34"/>
        <v>1666.6</v>
      </c>
      <c r="J95" s="438"/>
      <c r="K95" s="438">
        <f t="shared" si="24"/>
        <v>0</v>
      </c>
    </row>
    <row r="96" spans="1:11" ht="15.6" x14ac:dyDescent="0.3">
      <c r="A96" s="289"/>
      <c r="B96" s="398" t="s">
        <v>1561</v>
      </c>
      <c r="C96" s="323"/>
      <c r="D96" s="402"/>
      <c r="E96" s="295">
        <v>0</v>
      </c>
      <c r="F96" s="288"/>
      <c r="G96" s="288"/>
      <c r="J96" s="438"/>
      <c r="K96" s="438">
        <f t="shared" si="24"/>
        <v>0</v>
      </c>
    </row>
    <row r="97" spans="1:11" ht="41.4" x14ac:dyDescent="0.3">
      <c r="A97" s="289">
        <f>A95+1</f>
        <v>69</v>
      </c>
      <c r="B97" s="324" t="s">
        <v>1617</v>
      </c>
      <c r="C97" s="323" t="s">
        <v>220</v>
      </c>
      <c r="D97" s="403">
        <v>1</v>
      </c>
      <c r="E97" s="295">
        <v>85834.663415999996</v>
      </c>
      <c r="F97" s="288">
        <f>ROUND(E97*D97,2)</f>
        <v>85834.66</v>
      </c>
      <c r="G97" s="288">
        <f t="shared" ref="G97" si="35">ROUND(F97*1.2,2)</f>
        <v>103001.59</v>
      </c>
      <c r="J97" s="438"/>
      <c r="K97" s="438">
        <f t="shared" si="24"/>
        <v>0</v>
      </c>
    </row>
    <row r="98" spans="1:11" ht="15.6" x14ac:dyDescent="0.3">
      <c r="A98" s="289"/>
      <c r="B98" s="398" t="s">
        <v>1562</v>
      </c>
      <c r="C98" s="323"/>
      <c r="D98" s="402"/>
      <c r="E98" s="295">
        <v>0</v>
      </c>
      <c r="F98" s="288"/>
      <c r="G98" s="288"/>
      <c r="J98" s="438"/>
      <c r="K98" s="438">
        <f t="shared" si="24"/>
        <v>0</v>
      </c>
    </row>
    <row r="99" spans="1:11" ht="15.6" x14ac:dyDescent="0.3">
      <c r="A99" s="289">
        <f>A97+1</f>
        <v>70</v>
      </c>
      <c r="B99" s="324" t="s">
        <v>1618</v>
      </c>
      <c r="C99" s="323" t="s">
        <v>220</v>
      </c>
      <c r="D99" s="403">
        <v>1</v>
      </c>
      <c r="E99" s="295">
        <v>98028.923760000005</v>
      </c>
      <c r="F99" s="288">
        <f>ROUND(E99*D99,2)</f>
        <v>98028.92</v>
      </c>
      <c r="G99" s="288">
        <f t="shared" ref="G99" si="36">ROUND(F99*1.2,2)</f>
        <v>117634.7</v>
      </c>
      <c r="J99" s="438"/>
      <c r="K99" s="438">
        <f t="shared" si="24"/>
        <v>0</v>
      </c>
    </row>
    <row r="100" spans="1:11" x14ac:dyDescent="0.3">
      <c r="A100" s="629" t="s">
        <v>721</v>
      </c>
      <c r="B100" s="630"/>
      <c r="C100" s="630"/>
      <c r="D100" s="630"/>
      <c r="E100" s="631"/>
      <c r="F100" s="157">
        <f>SUM(F7:F99)</f>
        <v>8562721.6900000013</v>
      </c>
      <c r="G100" s="157">
        <f>SUM(G7:G99)</f>
        <v>10275266.000000002</v>
      </c>
      <c r="J100" s="438"/>
      <c r="K100" s="436">
        <f>SUM(K5:K99)</f>
        <v>0</v>
      </c>
    </row>
  </sheetData>
  <autoFilter ref="A1:H100" xr:uid="{00000000-0001-0000-1700-000000000000}"/>
  <mergeCells count="11">
    <mergeCell ref="J1:J3"/>
    <mergeCell ref="K1:K3"/>
    <mergeCell ref="F1:F3"/>
    <mergeCell ref="G1:G3"/>
    <mergeCell ref="A100:E100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79998168889431442"/>
  </sheetPr>
  <dimension ref="A1:L87"/>
  <sheetViews>
    <sheetView topLeftCell="B65" zoomScaleNormal="100" zoomScaleSheetLayoutView="80" workbookViewId="0">
      <selection activeCell="J65" sqref="J1:K1048576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7.109375" customWidth="1"/>
    <col min="10" max="11" width="17" style="440" customWidth="1"/>
  </cols>
  <sheetData>
    <row r="1" spans="1:12" ht="14.55" customHeight="1" x14ac:dyDescent="0.3">
      <c r="A1" s="539" t="s">
        <v>226</v>
      </c>
      <c r="B1" s="542" t="s">
        <v>201</v>
      </c>
      <c r="C1" s="545" t="s">
        <v>230</v>
      </c>
      <c r="D1" s="545" t="s">
        <v>202</v>
      </c>
      <c r="E1" s="550" t="s">
        <v>231</v>
      </c>
      <c r="F1" s="548" t="s">
        <v>410</v>
      </c>
      <c r="G1" s="553" t="s">
        <v>409</v>
      </c>
      <c r="J1" s="536" t="s">
        <v>1657</v>
      </c>
      <c r="K1" s="536" t="s">
        <v>1658</v>
      </c>
    </row>
    <row r="2" spans="1:12" ht="14.55" customHeight="1" x14ac:dyDescent="0.3">
      <c r="A2" s="540"/>
      <c r="B2" s="543"/>
      <c r="C2" s="545"/>
      <c r="D2" s="545"/>
      <c r="E2" s="550"/>
      <c r="F2" s="548"/>
      <c r="G2" s="553"/>
      <c r="J2" s="536"/>
      <c r="K2" s="536"/>
      <c r="L2" s="381"/>
    </row>
    <row r="3" spans="1:12" ht="27.6" customHeight="1" x14ac:dyDescent="0.3">
      <c r="A3" s="541"/>
      <c r="B3" s="544"/>
      <c r="C3" s="545"/>
      <c r="D3" s="545"/>
      <c r="E3" s="551"/>
      <c r="F3" s="549"/>
      <c r="G3" s="554"/>
      <c r="J3" s="536"/>
      <c r="K3" s="536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7"/>
      <c r="K4" s="437"/>
      <c r="L4" s="381"/>
    </row>
    <row r="5" spans="1:12" ht="20.25" customHeight="1" x14ac:dyDescent="0.3">
      <c r="A5" s="173"/>
      <c r="B5" s="537" t="s">
        <v>1518</v>
      </c>
      <c r="C5" s="538"/>
      <c r="D5" s="538"/>
      <c r="E5" s="174"/>
      <c r="F5" s="175"/>
      <c r="G5" s="176"/>
      <c r="J5" s="438"/>
      <c r="K5" s="438">
        <f>E5*J5*1.2</f>
        <v>0</v>
      </c>
    </row>
    <row r="6" spans="1:12" ht="30" customHeight="1" x14ac:dyDescent="0.3">
      <c r="A6" s="273"/>
      <c r="B6" s="61" t="s">
        <v>1519</v>
      </c>
      <c r="C6" s="62"/>
      <c r="D6" s="62"/>
      <c r="E6" s="63"/>
      <c r="F6" s="64"/>
      <c r="G6" s="55"/>
      <c r="J6" s="438"/>
      <c r="K6" s="438">
        <f t="shared" ref="K6:K69" si="0">E6*J6*1.2</f>
        <v>0</v>
      </c>
    </row>
    <row r="7" spans="1:12" ht="15.6" x14ac:dyDescent="0.3">
      <c r="A7" s="285">
        <v>1</v>
      </c>
      <c r="B7" s="290" t="s">
        <v>1563</v>
      </c>
      <c r="C7" s="285" t="s">
        <v>193</v>
      </c>
      <c r="D7" s="287">
        <v>21.2</v>
      </c>
      <c r="E7" s="171">
        <v>6314.9730000000009</v>
      </c>
      <c r="F7" s="288">
        <f t="shared" ref="F7:F15" si="1">ROUND(E7*D7,2)</f>
        <v>133877.43</v>
      </c>
      <c r="G7" s="288">
        <f t="shared" ref="G7:G15" si="2">ROUND(F7*1.2,2)</f>
        <v>160652.92000000001</v>
      </c>
      <c r="J7" s="438"/>
      <c r="K7" s="438">
        <f t="shared" si="0"/>
        <v>0</v>
      </c>
    </row>
    <row r="8" spans="1:12" ht="15.6" x14ac:dyDescent="0.3">
      <c r="A8" s="285">
        <f>A7+1</f>
        <v>2</v>
      </c>
      <c r="B8" s="290" t="s">
        <v>1006</v>
      </c>
      <c r="C8" s="285" t="s">
        <v>193</v>
      </c>
      <c r="D8" s="287">
        <v>4.05</v>
      </c>
      <c r="E8" s="171">
        <v>5928.3420000000006</v>
      </c>
      <c r="F8" s="288">
        <f t="shared" si="1"/>
        <v>24009.79</v>
      </c>
      <c r="G8" s="288">
        <f t="shared" si="2"/>
        <v>28811.75</v>
      </c>
      <c r="J8" s="438"/>
      <c r="K8" s="438">
        <f t="shared" si="0"/>
        <v>0</v>
      </c>
    </row>
    <row r="9" spans="1:12" ht="15.6" x14ac:dyDescent="0.3">
      <c r="A9" s="285">
        <f>A8+1</f>
        <v>3</v>
      </c>
      <c r="B9" s="290" t="s">
        <v>1564</v>
      </c>
      <c r="C9" s="292" t="s">
        <v>254</v>
      </c>
      <c r="D9" s="287">
        <v>228.4</v>
      </c>
      <c r="E9" s="171">
        <v>109.54545000000002</v>
      </c>
      <c r="F9" s="288">
        <f t="shared" si="1"/>
        <v>25020.18</v>
      </c>
      <c r="G9" s="288">
        <f t="shared" si="2"/>
        <v>30024.22</v>
      </c>
      <c r="J9" s="438"/>
      <c r="K9" s="438">
        <f t="shared" si="0"/>
        <v>0</v>
      </c>
    </row>
    <row r="10" spans="1:12" ht="15.6" x14ac:dyDescent="0.3">
      <c r="A10" s="285">
        <f t="shared" ref="A10:A15" si="3">A9+1</f>
        <v>4</v>
      </c>
      <c r="B10" s="290" t="s">
        <v>1565</v>
      </c>
      <c r="C10" s="292" t="s">
        <v>254</v>
      </c>
      <c r="D10" s="287">
        <v>613.20000000000005</v>
      </c>
      <c r="E10" s="171">
        <v>109.54545000000002</v>
      </c>
      <c r="F10" s="288">
        <f t="shared" si="1"/>
        <v>67173.27</v>
      </c>
      <c r="G10" s="288">
        <f t="shared" si="2"/>
        <v>80607.92</v>
      </c>
      <c r="J10" s="438"/>
      <c r="K10" s="438">
        <f t="shared" si="0"/>
        <v>0</v>
      </c>
    </row>
    <row r="11" spans="1:12" ht="15.6" x14ac:dyDescent="0.3">
      <c r="A11" s="285">
        <f t="shared" si="3"/>
        <v>5</v>
      </c>
      <c r="B11" s="286" t="s">
        <v>1566</v>
      </c>
      <c r="C11" s="292" t="s">
        <v>254</v>
      </c>
      <c r="D11" s="298">
        <v>222</v>
      </c>
      <c r="E11" s="171">
        <v>109.54545000000002</v>
      </c>
      <c r="F11" s="288">
        <f t="shared" si="1"/>
        <v>24319.09</v>
      </c>
      <c r="G11" s="288">
        <f t="shared" si="2"/>
        <v>29182.91</v>
      </c>
      <c r="J11" s="438"/>
      <c r="K11" s="438">
        <f t="shared" si="0"/>
        <v>0</v>
      </c>
    </row>
    <row r="12" spans="1:12" ht="15.6" x14ac:dyDescent="0.3">
      <c r="A12" s="285">
        <f t="shared" si="3"/>
        <v>6</v>
      </c>
      <c r="B12" s="290" t="s">
        <v>1567</v>
      </c>
      <c r="C12" s="285" t="s">
        <v>254</v>
      </c>
      <c r="D12" s="287">
        <v>216.64</v>
      </c>
      <c r="E12" s="171">
        <v>109.54545000000002</v>
      </c>
      <c r="F12" s="288">
        <f t="shared" si="1"/>
        <v>23731.93</v>
      </c>
      <c r="G12" s="288">
        <f t="shared" si="2"/>
        <v>28478.32</v>
      </c>
      <c r="J12" s="438"/>
      <c r="K12" s="438">
        <f t="shared" si="0"/>
        <v>0</v>
      </c>
    </row>
    <row r="13" spans="1:12" ht="15.6" x14ac:dyDescent="0.3">
      <c r="A13" s="285">
        <f t="shared" si="3"/>
        <v>7</v>
      </c>
      <c r="B13" s="290" t="s">
        <v>1568</v>
      </c>
      <c r="C13" s="285" t="s">
        <v>254</v>
      </c>
      <c r="D13" s="287">
        <v>53.12</v>
      </c>
      <c r="E13" s="171">
        <v>96.657750000000007</v>
      </c>
      <c r="F13" s="288">
        <f t="shared" si="1"/>
        <v>5134.46</v>
      </c>
      <c r="G13" s="288">
        <f t="shared" si="2"/>
        <v>6161.35</v>
      </c>
      <c r="J13" s="438"/>
      <c r="K13" s="438">
        <f t="shared" si="0"/>
        <v>0</v>
      </c>
    </row>
    <row r="14" spans="1:12" ht="19.5" customHeight="1" x14ac:dyDescent="0.3">
      <c r="A14" s="285">
        <f t="shared" si="3"/>
        <v>8</v>
      </c>
      <c r="B14" s="290" t="s">
        <v>1070</v>
      </c>
      <c r="C14" s="285" t="s">
        <v>387</v>
      </c>
      <c r="D14" s="297">
        <f>24.57*20/16</f>
        <v>30.712499999999999</v>
      </c>
      <c r="E14" s="171">
        <v>322.1925</v>
      </c>
      <c r="F14" s="288">
        <f t="shared" si="1"/>
        <v>9895.34</v>
      </c>
      <c r="G14" s="288">
        <f t="shared" si="2"/>
        <v>11874.41</v>
      </c>
      <c r="H14" s="209"/>
      <c r="I14" s="232"/>
      <c r="J14" s="438"/>
      <c r="K14" s="438">
        <f t="shared" si="0"/>
        <v>0</v>
      </c>
    </row>
    <row r="15" spans="1:12" ht="19.5" customHeight="1" x14ac:dyDescent="0.3">
      <c r="A15" s="65">
        <f t="shared" si="3"/>
        <v>9</v>
      </c>
      <c r="B15" s="243" t="s">
        <v>1069</v>
      </c>
      <c r="C15" s="86" t="s">
        <v>254</v>
      </c>
      <c r="D15" s="259">
        <v>114.7</v>
      </c>
      <c r="E15" s="171">
        <v>402.09624000000002</v>
      </c>
      <c r="F15" s="102">
        <f t="shared" si="1"/>
        <v>46120.44</v>
      </c>
      <c r="G15" s="102">
        <f t="shared" si="2"/>
        <v>55344.53</v>
      </c>
      <c r="I15" s="232"/>
      <c r="J15" s="438"/>
      <c r="K15" s="438">
        <f t="shared" si="0"/>
        <v>0</v>
      </c>
    </row>
    <row r="16" spans="1:12" ht="15.6" x14ac:dyDescent="0.3">
      <c r="A16" s="65"/>
      <c r="B16" s="72" t="s">
        <v>1526</v>
      </c>
      <c r="C16" s="65"/>
      <c r="D16" s="67"/>
      <c r="E16" s="171">
        <v>0</v>
      </c>
      <c r="F16" s="101"/>
      <c r="G16" s="101"/>
      <c r="J16" s="438"/>
      <c r="K16" s="438">
        <f t="shared" si="0"/>
        <v>0</v>
      </c>
    </row>
    <row r="17" spans="1:11" ht="15.6" x14ac:dyDescent="0.3">
      <c r="A17" s="86"/>
      <c r="B17" s="260" t="s">
        <v>1569</v>
      </c>
      <c r="C17" s="278" t="s">
        <v>220</v>
      </c>
      <c r="D17" s="279">
        <v>2</v>
      </c>
      <c r="E17" s="171">
        <v>0</v>
      </c>
      <c r="F17" s="102"/>
      <c r="G17" s="102"/>
      <c r="J17" s="438"/>
      <c r="K17" s="438">
        <f t="shared" si="0"/>
        <v>0</v>
      </c>
    </row>
    <row r="18" spans="1:11" ht="15.6" x14ac:dyDescent="0.3">
      <c r="A18" s="285">
        <f>A15+1</f>
        <v>10</v>
      </c>
      <c r="B18" s="290" t="s">
        <v>1570</v>
      </c>
      <c r="C18" s="285" t="s">
        <v>254</v>
      </c>
      <c r="D18" s="297">
        <f>25.7*11*2</f>
        <v>565.4</v>
      </c>
      <c r="E18" s="171">
        <v>118.56684</v>
      </c>
      <c r="F18" s="288">
        <f>ROUND(E18*D18,2)</f>
        <v>67037.69</v>
      </c>
      <c r="G18" s="288">
        <f t="shared" ref="G18:G22" si="4">ROUND(F18*1.2,2)</f>
        <v>80445.23</v>
      </c>
      <c r="J18" s="438"/>
      <c r="K18" s="438">
        <f t="shared" si="0"/>
        <v>0</v>
      </c>
    </row>
    <row r="19" spans="1:11" ht="15.6" x14ac:dyDescent="0.3">
      <c r="A19" s="285">
        <f>A18+1</f>
        <v>11</v>
      </c>
      <c r="B19" s="290" t="s">
        <v>1571</v>
      </c>
      <c r="C19" s="285" t="s">
        <v>254</v>
      </c>
      <c r="D19" s="297">
        <f>14.1*8.33*2</f>
        <v>234.90600000000001</v>
      </c>
      <c r="E19" s="171">
        <v>96.657750000000007</v>
      </c>
      <c r="F19" s="288">
        <f>ROUND(E19*D19,2)</f>
        <v>22705.49</v>
      </c>
      <c r="G19" s="288">
        <f t="shared" si="4"/>
        <v>27246.59</v>
      </c>
      <c r="J19" s="438"/>
      <c r="K19" s="438">
        <f t="shared" si="0"/>
        <v>0</v>
      </c>
    </row>
    <row r="20" spans="1:11" ht="15.6" x14ac:dyDescent="0.3">
      <c r="A20" s="285">
        <f t="shared" ref="A20:A22" si="5">A19+1</f>
        <v>12</v>
      </c>
      <c r="B20" s="290" t="s">
        <v>1572</v>
      </c>
      <c r="C20" s="285" t="s">
        <v>254</v>
      </c>
      <c r="D20" s="297">
        <f>2.2*14.2*2</f>
        <v>62.480000000000004</v>
      </c>
      <c r="E20" s="171">
        <v>121.78876499999998</v>
      </c>
      <c r="F20" s="288">
        <f>ROUND(E20*D20,2)</f>
        <v>7609.36</v>
      </c>
      <c r="G20" s="288">
        <f t="shared" si="4"/>
        <v>9131.23</v>
      </c>
      <c r="J20" s="438"/>
      <c r="K20" s="438">
        <f t="shared" si="0"/>
        <v>0</v>
      </c>
    </row>
    <row r="21" spans="1:11" ht="15.6" x14ac:dyDescent="0.3">
      <c r="A21" s="285">
        <f t="shared" si="5"/>
        <v>13</v>
      </c>
      <c r="B21" s="290" t="s">
        <v>1573</v>
      </c>
      <c r="C21" s="285" t="s">
        <v>254</v>
      </c>
      <c r="D21" s="296">
        <f>0.7*2*78.5</f>
        <v>109.89999999999999</v>
      </c>
      <c r="E21" s="171">
        <v>114.70053</v>
      </c>
      <c r="F21" s="288">
        <f>ROUND(E21*D21,2)</f>
        <v>12605.59</v>
      </c>
      <c r="G21" s="288">
        <f t="shared" si="4"/>
        <v>15126.71</v>
      </c>
      <c r="J21" s="438"/>
      <c r="K21" s="438">
        <f t="shared" si="0"/>
        <v>0</v>
      </c>
    </row>
    <row r="22" spans="1:11" ht="15.6" x14ac:dyDescent="0.3">
      <c r="A22" s="285">
        <f t="shared" si="5"/>
        <v>14</v>
      </c>
      <c r="B22" s="290" t="s">
        <v>1574</v>
      </c>
      <c r="C22" s="285" t="s">
        <v>254</v>
      </c>
      <c r="D22" s="296">
        <f>0.9*2*196.25</f>
        <v>353.25</v>
      </c>
      <c r="E22" s="171">
        <v>114.70053</v>
      </c>
      <c r="F22" s="288">
        <f>ROUND(E22*D22,2)</f>
        <v>40517.96</v>
      </c>
      <c r="G22" s="288">
        <f t="shared" si="4"/>
        <v>48621.55</v>
      </c>
      <c r="J22" s="438"/>
      <c r="K22" s="438">
        <f t="shared" si="0"/>
        <v>0</v>
      </c>
    </row>
    <row r="23" spans="1:11" ht="15.6" x14ac:dyDescent="0.3">
      <c r="A23" s="86"/>
      <c r="B23" s="260" t="s">
        <v>1575</v>
      </c>
      <c r="C23" s="278" t="s">
        <v>220</v>
      </c>
      <c r="D23" s="279">
        <v>2</v>
      </c>
      <c r="E23" s="171">
        <v>0</v>
      </c>
      <c r="F23" s="102"/>
      <c r="G23" s="102"/>
      <c r="J23" s="438"/>
      <c r="K23" s="438">
        <f t="shared" si="0"/>
        <v>0</v>
      </c>
    </row>
    <row r="24" spans="1:11" ht="15.6" x14ac:dyDescent="0.3">
      <c r="A24" s="285">
        <f>A22+1</f>
        <v>15</v>
      </c>
      <c r="B24" s="290" t="s">
        <v>1570</v>
      </c>
      <c r="C24" s="285" t="s">
        <v>254</v>
      </c>
      <c r="D24" s="297">
        <f>25.7*11*2</f>
        <v>565.4</v>
      </c>
      <c r="E24" s="171">
        <v>118.56684</v>
      </c>
      <c r="F24" s="288">
        <f>ROUND(E24*D24,2)</f>
        <v>67037.69</v>
      </c>
      <c r="G24" s="288">
        <f t="shared" ref="G24:G28" si="6">ROUND(F24*1.2,2)</f>
        <v>80445.23</v>
      </c>
      <c r="J24" s="438"/>
      <c r="K24" s="438">
        <f t="shared" si="0"/>
        <v>0</v>
      </c>
    </row>
    <row r="25" spans="1:11" ht="15.6" x14ac:dyDescent="0.3">
      <c r="A25" s="285">
        <f>A24+1</f>
        <v>16</v>
      </c>
      <c r="B25" s="290" t="s">
        <v>1571</v>
      </c>
      <c r="C25" s="285" t="s">
        <v>254</v>
      </c>
      <c r="D25" s="297">
        <f>14.1*8.33*2</f>
        <v>234.90600000000001</v>
      </c>
      <c r="E25" s="171">
        <v>96.657750000000007</v>
      </c>
      <c r="F25" s="288">
        <f>ROUND(E25*D25,2)</f>
        <v>22705.49</v>
      </c>
      <c r="G25" s="288">
        <f t="shared" si="6"/>
        <v>27246.59</v>
      </c>
      <c r="J25" s="438"/>
      <c r="K25" s="438">
        <f t="shared" si="0"/>
        <v>0</v>
      </c>
    </row>
    <row r="26" spans="1:11" ht="15.6" x14ac:dyDescent="0.3">
      <c r="A26" s="285">
        <f t="shared" ref="A26:A28" si="7">A25+1</f>
        <v>17</v>
      </c>
      <c r="B26" s="290" t="s">
        <v>1572</v>
      </c>
      <c r="C26" s="285" t="s">
        <v>254</v>
      </c>
      <c r="D26" s="297">
        <f>2.2*14.2*2</f>
        <v>62.480000000000004</v>
      </c>
      <c r="E26" s="171">
        <v>121.78876499999998</v>
      </c>
      <c r="F26" s="288">
        <f>ROUND(E26*D26,2)</f>
        <v>7609.36</v>
      </c>
      <c r="G26" s="288">
        <f t="shared" si="6"/>
        <v>9131.23</v>
      </c>
      <c r="J26" s="438"/>
      <c r="K26" s="438">
        <f t="shared" si="0"/>
        <v>0</v>
      </c>
    </row>
    <row r="27" spans="1:11" ht="15.6" x14ac:dyDescent="0.3">
      <c r="A27" s="285">
        <f t="shared" si="7"/>
        <v>18</v>
      </c>
      <c r="B27" s="290" t="s">
        <v>1573</v>
      </c>
      <c r="C27" s="285" t="s">
        <v>254</v>
      </c>
      <c r="D27" s="296">
        <f>0.9*2*78.5</f>
        <v>141.30000000000001</v>
      </c>
      <c r="E27" s="171">
        <v>114.70053</v>
      </c>
      <c r="F27" s="288">
        <f>ROUND(E27*D27,2)</f>
        <v>16207.18</v>
      </c>
      <c r="G27" s="288">
        <f t="shared" si="6"/>
        <v>19448.62</v>
      </c>
      <c r="J27" s="438"/>
      <c r="K27" s="438">
        <f t="shared" si="0"/>
        <v>0</v>
      </c>
    </row>
    <row r="28" spans="1:11" ht="15.6" x14ac:dyDescent="0.3">
      <c r="A28" s="285">
        <f t="shared" si="7"/>
        <v>19</v>
      </c>
      <c r="B28" s="290" t="s">
        <v>1574</v>
      </c>
      <c r="C28" s="285" t="s">
        <v>431</v>
      </c>
      <c r="D28" s="296">
        <f>0.9*2*196.25</f>
        <v>353.25</v>
      </c>
      <c r="E28" s="171">
        <v>114.70053</v>
      </c>
      <c r="F28" s="288">
        <f>ROUND(E28*D28,2)</f>
        <v>40517.96</v>
      </c>
      <c r="G28" s="288">
        <f t="shared" si="6"/>
        <v>48621.55</v>
      </c>
      <c r="J28" s="438"/>
      <c r="K28" s="438">
        <f t="shared" si="0"/>
        <v>0</v>
      </c>
    </row>
    <row r="29" spans="1:11" ht="15.6" x14ac:dyDescent="0.3">
      <c r="A29" s="86"/>
      <c r="B29" s="260" t="s">
        <v>1576</v>
      </c>
      <c r="C29" s="278" t="s">
        <v>220</v>
      </c>
      <c r="D29" s="279">
        <v>1</v>
      </c>
      <c r="E29" s="171">
        <v>0</v>
      </c>
      <c r="F29" s="102"/>
      <c r="G29" s="102"/>
      <c r="J29" s="438"/>
      <c r="K29" s="438">
        <f t="shared" si="0"/>
        <v>0</v>
      </c>
    </row>
    <row r="30" spans="1:11" ht="15.6" x14ac:dyDescent="0.3">
      <c r="A30" s="86">
        <f>A28+1</f>
        <v>20</v>
      </c>
      <c r="B30" s="243" t="s">
        <v>1577</v>
      </c>
      <c r="C30" s="86" t="s">
        <v>254</v>
      </c>
      <c r="D30" s="259">
        <f>35.2*19.1</f>
        <v>672.32</v>
      </c>
      <c r="E30" s="171">
        <v>96.657750000000007</v>
      </c>
      <c r="F30" s="102">
        <f t="shared" ref="F30:F38" si="8">ROUND(E30*D30,2)</f>
        <v>64984.94</v>
      </c>
      <c r="G30" s="102">
        <f t="shared" ref="G30:G38" si="9">ROUND(F30*1.2,2)</f>
        <v>77981.929999999993</v>
      </c>
      <c r="J30" s="438"/>
      <c r="K30" s="438">
        <f t="shared" si="0"/>
        <v>0</v>
      </c>
    </row>
    <row r="31" spans="1:11" ht="15.6" x14ac:dyDescent="0.3">
      <c r="A31" s="86">
        <f>A30+1</f>
        <v>21</v>
      </c>
      <c r="B31" s="243" t="s">
        <v>1578</v>
      </c>
      <c r="C31" s="86" t="s">
        <v>254</v>
      </c>
      <c r="D31" s="259">
        <f>12*12.25</f>
        <v>147</v>
      </c>
      <c r="E31" s="171">
        <v>96.657750000000007</v>
      </c>
      <c r="F31" s="102">
        <f t="shared" si="8"/>
        <v>14208.69</v>
      </c>
      <c r="G31" s="102">
        <f t="shared" si="9"/>
        <v>17050.43</v>
      </c>
      <c r="J31" s="438"/>
      <c r="K31" s="438">
        <f t="shared" si="0"/>
        <v>0</v>
      </c>
    </row>
    <row r="32" spans="1:11" ht="15.6" x14ac:dyDescent="0.3">
      <c r="A32" s="86">
        <f t="shared" ref="A32:A38" si="10">A31+1</f>
        <v>22</v>
      </c>
      <c r="B32" s="243" t="s">
        <v>1571</v>
      </c>
      <c r="C32" s="86" t="s">
        <v>254</v>
      </c>
      <c r="D32" s="259">
        <f>20.4*8.33</f>
        <v>169.93199999999999</v>
      </c>
      <c r="E32" s="171">
        <v>96.657750000000007</v>
      </c>
      <c r="F32" s="102">
        <f t="shared" si="8"/>
        <v>16425.240000000002</v>
      </c>
      <c r="G32" s="102">
        <f t="shared" si="9"/>
        <v>19710.29</v>
      </c>
      <c r="J32" s="438"/>
      <c r="K32" s="438">
        <f t="shared" si="0"/>
        <v>0</v>
      </c>
    </row>
    <row r="33" spans="1:11" ht="15.6" x14ac:dyDescent="0.3">
      <c r="A33" s="86">
        <f t="shared" si="10"/>
        <v>23</v>
      </c>
      <c r="B33" s="243" t="s">
        <v>1579</v>
      </c>
      <c r="C33" s="86" t="s">
        <v>254</v>
      </c>
      <c r="D33" s="259">
        <f>8*5.72</f>
        <v>45.76</v>
      </c>
      <c r="E33" s="171">
        <v>96.657750000000007</v>
      </c>
      <c r="F33" s="102">
        <f t="shared" si="8"/>
        <v>4423.0600000000004</v>
      </c>
      <c r="G33" s="102">
        <f t="shared" si="9"/>
        <v>5307.67</v>
      </c>
      <c r="J33" s="438"/>
      <c r="K33" s="438">
        <f t="shared" si="0"/>
        <v>0</v>
      </c>
    </row>
    <row r="34" spans="1:11" ht="15.6" x14ac:dyDescent="0.3">
      <c r="A34" s="285">
        <f t="shared" si="10"/>
        <v>24</v>
      </c>
      <c r="B34" s="290" t="s">
        <v>1572</v>
      </c>
      <c r="C34" s="285" t="s">
        <v>254</v>
      </c>
      <c r="D34" s="297">
        <f>22.1*14.2</f>
        <v>313.82</v>
      </c>
      <c r="E34" s="171">
        <v>121.78876499999998</v>
      </c>
      <c r="F34" s="288">
        <f t="shared" si="8"/>
        <v>38219.75</v>
      </c>
      <c r="G34" s="288">
        <f t="shared" si="9"/>
        <v>45863.7</v>
      </c>
      <c r="J34" s="438"/>
      <c r="K34" s="438">
        <f t="shared" si="0"/>
        <v>0</v>
      </c>
    </row>
    <row r="35" spans="1:11" ht="15.6" x14ac:dyDescent="0.3">
      <c r="A35" s="86">
        <f t="shared" si="10"/>
        <v>25</v>
      </c>
      <c r="B35" s="243" t="s">
        <v>1580</v>
      </c>
      <c r="C35" s="86" t="s">
        <v>254</v>
      </c>
      <c r="D35" s="262">
        <f>0.8*66.57</f>
        <v>53.256</v>
      </c>
      <c r="E35" s="171">
        <v>114.70053</v>
      </c>
      <c r="F35" s="102">
        <f t="shared" si="8"/>
        <v>6108.49</v>
      </c>
      <c r="G35" s="102">
        <f t="shared" si="9"/>
        <v>7330.19</v>
      </c>
      <c r="J35" s="438"/>
      <c r="K35" s="438">
        <f t="shared" si="0"/>
        <v>0</v>
      </c>
    </row>
    <row r="36" spans="1:11" ht="15.6" x14ac:dyDescent="0.3">
      <c r="A36" s="86">
        <f t="shared" si="10"/>
        <v>26</v>
      </c>
      <c r="B36" s="243" t="s">
        <v>1573</v>
      </c>
      <c r="C36" s="86" t="s">
        <v>254</v>
      </c>
      <c r="D36" s="262">
        <f>1.3*78.5</f>
        <v>102.05</v>
      </c>
      <c r="E36" s="171">
        <v>114.70053</v>
      </c>
      <c r="F36" s="102">
        <f t="shared" si="8"/>
        <v>11705.19</v>
      </c>
      <c r="G36" s="102">
        <f t="shared" si="9"/>
        <v>14046.23</v>
      </c>
      <c r="J36" s="438"/>
      <c r="K36" s="438">
        <f t="shared" si="0"/>
        <v>0</v>
      </c>
    </row>
    <row r="37" spans="1:11" ht="15.6" x14ac:dyDescent="0.3">
      <c r="A37" s="86">
        <f t="shared" si="10"/>
        <v>27</v>
      </c>
      <c r="B37" s="243" t="s">
        <v>1581</v>
      </c>
      <c r="C37" s="86" t="s">
        <v>254</v>
      </c>
      <c r="D37" s="262">
        <f>0.3*94.2</f>
        <v>28.26</v>
      </c>
      <c r="E37" s="171">
        <v>114.70053</v>
      </c>
      <c r="F37" s="102">
        <f t="shared" si="8"/>
        <v>3241.44</v>
      </c>
      <c r="G37" s="102">
        <f t="shared" si="9"/>
        <v>3889.73</v>
      </c>
      <c r="J37" s="438"/>
      <c r="K37" s="438">
        <f t="shared" si="0"/>
        <v>0</v>
      </c>
    </row>
    <row r="38" spans="1:11" ht="15.6" x14ac:dyDescent="0.3">
      <c r="A38" s="86">
        <f t="shared" si="10"/>
        <v>28</v>
      </c>
      <c r="B38" s="243" t="s">
        <v>1582</v>
      </c>
      <c r="C38" s="86" t="s">
        <v>254</v>
      </c>
      <c r="D38" s="237">
        <f>1*157</f>
        <v>157</v>
      </c>
      <c r="E38" s="171">
        <v>114.70053</v>
      </c>
      <c r="F38" s="102">
        <f t="shared" si="8"/>
        <v>18007.98</v>
      </c>
      <c r="G38" s="102">
        <f t="shared" si="9"/>
        <v>21609.58</v>
      </c>
      <c r="J38" s="438"/>
      <c r="K38" s="438">
        <f t="shared" si="0"/>
        <v>0</v>
      </c>
    </row>
    <row r="39" spans="1:11" ht="28.8" x14ac:dyDescent="0.3">
      <c r="A39" s="86"/>
      <c r="B39" s="260" t="s">
        <v>1583</v>
      </c>
      <c r="C39" s="278" t="s">
        <v>220</v>
      </c>
      <c r="D39" s="279">
        <v>1</v>
      </c>
      <c r="E39" s="171">
        <v>0</v>
      </c>
      <c r="F39" s="102"/>
      <c r="G39" s="102"/>
      <c r="J39" s="438"/>
      <c r="K39" s="438">
        <f t="shared" si="0"/>
        <v>0</v>
      </c>
    </row>
    <row r="40" spans="1:11" ht="15.6" x14ac:dyDescent="0.3">
      <c r="A40" s="86">
        <f>A38+1</f>
        <v>29</v>
      </c>
      <c r="B40" s="243" t="s">
        <v>1577</v>
      </c>
      <c r="C40" s="86" t="s">
        <v>254</v>
      </c>
      <c r="D40" s="259">
        <f>121.6*19.1</f>
        <v>2322.56</v>
      </c>
      <c r="E40" s="171">
        <v>96.657750000000007</v>
      </c>
      <c r="F40" s="102">
        <f t="shared" ref="F40:F48" si="11">ROUND(E40*D40,2)</f>
        <v>224493.42</v>
      </c>
      <c r="G40" s="102">
        <f t="shared" ref="G40:G48" si="12">ROUND(F40*1.2,2)</f>
        <v>269392.09999999998</v>
      </c>
      <c r="J40" s="438"/>
      <c r="K40" s="438">
        <f t="shared" si="0"/>
        <v>0</v>
      </c>
    </row>
    <row r="41" spans="1:11" ht="15.6" x14ac:dyDescent="0.3">
      <c r="A41" s="86">
        <f>A40+1</f>
        <v>30</v>
      </c>
      <c r="B41" s="243" t="s">
        <v>1578</v>
      </c>
      <c r="C41" s="86" t="s">
        <v>254</v>
      </c>
      <c r="D41" s="259">
        <f>35.4*12.25</f>
        <v>433.65</v>
      </c>
      <c r="E41" s="171">
        <v>96.657750000000007</v>
      </c>
      <c r="F41" s="102">
        <f t="shared" si="11"/>
        <v>41915.629999999997</v>
      </c>
      <c r="G41" s="102">
        <f t="shared" si="12"/>
        <v>50298.76</v>
      </c>
      <c r="J41" s="438"/>
      <c r="K41" s="438">
        <f t="shared" si="0"/>
        <v>0</v>
      </c>
    </row>
    <row r="42" spans="1:11" ht="15.6" x14ac:dyDescent="0.3">
      <c r="A42" s="86">
        <f t="shared" ref="A42:A48" si="13">A41+1</f>
        <v>31</v>
      </c>
      <c r="B42" s="243" t="s">
        <v>1571</v>
      </c>
      <c r="C42" s="86" t="s">
        <v>254</v>
      </c>
      <c r="D42" s="259">
        <f>58.5*8.33</f>
        <v>487.30500000000001</v>
      </c>
      <c r="E42" s="171">
        <v>96.657750000000007</v>
      </c>
      <c r="F42" s="102">
        <f t="shared" si="11"/>
        <v>47101.8</v>
      </c>
      <c r="G42" s="102">
        <f t="shared" si="12"/>
        <v>56522.16</v>
      </c>
      <c r="J42" s="438"/>
      <c r="K42" s="438">
        <f t="shared" si="0"/>
        <v>0</v>
      </c>
    </row>
    <row r="43" spans="1:11" ht="15.6" x14ac:dyDescent="0.3">
      <c r="A43" s="86">
        <f t="shared" si="13"/>
        <v>32</v>
      </c>
      <c r="B43" s="243" t="s">
        <v>1579</v>
      </c>
      <c r="C43" s="86" t="s">
        <v>254</v>
      </c>
      <c r="D43" s="259">
        <f>40*5.72</f>
        <v>228.79999999999998</v>
      </c>
      <c r="E43" s="171">
        <v>96.657750000000007</v>
      </c>
      <c r="F43" s="102">
        <f t="shared" si="11"/>
        <v>22115.29</v>
      </c>
      <c r="G43" s="102">
        <f t="shared" si="12"/>
        <v>26538.35</v>
      </c>
      <c r="J43" s="438"/>
      <c r="K43" s="438">
        <f t="shared" si="0"/>
        <v>0</v>
      </c>
    </row>
    <row r="44" spans="1:11" ht="15.6" x14ac:dyDescent="0.3">
      <c r="A44" s="285">
        <f t="shared" si="13"/>
        <v>33</v>
      </c>
      <c r="B44" s="290" t="s">
        <v>1572</v>
      </c>
      <c r="C44" s="285" t="s">
        <v>254</v>
      </c>
      <c r="D44" s="297">
        <f>39.6*14.2</f>
        <v>562.31999999999994</v>
      </c>
      <c r="E44" s="171">
        <v>121.78876499999998</v>
      </c>
      <c r="F44" s="288">
        <f t="shared" si="11"/>
        <v>68484.259999999995</v>
      </c>
      <c r="G44" s="288">
        <f t="shared" si="12"/>
        <v>82181.11</v>
      </c>
      <c r="J44" s="438"/>
      <c r="K44" s="438">
        <f t="shared" si="0"/>
        <v>0</v>
      </c>
    </row>
    <row r="45" spans="1:11" ht="15.6" x14ac:dyDescent="0.3">
      <c r="A45" s="285">
        <f t="shared" si="13"/>
        <v>34</v>
      </c>
      <c r="B45" s="290" t="s">
        <v>1580</v>
      </c>
      <c r="C45" s="285" t="s">
        <v>254</v>
      </c>
      <c r="D45" s="296">
        <f>0.8*66.57</f>
        <v>53.256</v>
      </c>
      <c r="E45" s="171">
        <v>114.70053</v>
      </c>
      <c r="F45" s="288">
        <f t="shared" si="11"/>
        <v>6108.49</v>
      </c>
      <c r="G45" s="288">
        <f t="shared" si="12"/>
        <v>7330.19</v>
      </c>
      <c r="J45" s="438"/>
      <c r="K45" s="438">
        <f t="shared" si="0"/>
        <v>0</v>
      </c>
    </row>
    <row r="46" spans="1:11" ht="15.6" x14ac:dyDescent="0.3">
      <c r="A46" s="86">
        <f t="shared" si="13"/>
        <v>35</v>
      </c>
      <c r="B46" s="243" t="s">
        <v>1573</v>
      </c>
      <c r="C46" s="86" t="s">
        <v>254</v>
      </c>
      <c r="D46" s="262">
        <f>3.1*78.5</f>
        <v>243.35</v>
      </c>
      <c r="E46" s="171">
        <v>114.70053</v>
      </c>
      <c r="F46" s="102">
        <f t="shared" si="11"/>
        <v>27912.37</v>
      </c>
      <c r="G46" s="102">
        <f t="shared" si="12"/>
        <v>33494.839999999997</v>
      </c>
      <c r="J46" s="438"/>
      <c r="K46" s="438">
        <f t="shared" si="0"/>
        <v>0</v>
      </c>
    </row>
    <row r="47" spans="1:11" ht="15.6" x14ac:dyDescent="0.3">
      <c r="A47" s="86">
        <f t="shared" si="13"/>
        <v>36</v>
      </c>
      <c r="B47" s="243" t="s">
        <v>1581</v>
      </c>
      <c r="C47" s="86" t="s">
        <v>254</v>
      </c>
      <c r="D47" s="262">
        <f>0.3*94.2</f>
        <v>28.26</v>
      </c>
      <c r="E47" s="171">
        <v>114.70053</v>
      </c>
      <c r="F47" s="102">
        <f t="shared" si="11"/>
        <v>3241.44</v>
      </c>
      <c r="G47" s="102">
        <f t="shared" si="12"/>
        <v>3889.73</v>
      </c>
      <c r="J47" s="438"/>
      <c r="K47" s="438">
        <f t="shared" si="0"/>
        <v>0</v>
      </c>
    </row>
    <row r="48" spans="1:11" ht="15.6" x14ac:dyDescent="0.3">
      <c r="A48" s="86">
        <f t="shared" si="13"/>
        <v>37</v>
      </c>
      <c r="B48" s="243" t="s">
        <v>1582</v>
      </c>
      <c r="C48" s="86" t="s">
        <v>254</v>
      </c>
      <c r="D48" s="262">
        <f>2.1*157</f>
        <v>329.7</v>
      </c>
      <c r="E48" s="171">
        <v>114.70053</v>
      </c>
      <c r="F48" s="102">
        <f t="shared" si="11"/>
        <v>37816.76</v>
      </c>
      <c r="G48" s="102">
        <f t="shared" si="12"/>
        <v>45380.11</v>
      </c>
      <c r="J48" s="438"/>
      <c r="K48" s="438">
        <f t="shared" si="0"/>
        <v>0</v>
      </c>
    </row>
    <row r="49" spans="1:11" ht="28.8" x14ac:dyDescent="0.3">
      <c r="A49" s="86"/>
      <c r="B49" s="260" t="s">
        <v>1584</v>
      </c>
      <c r="C49" s="278" t="s">
        <v>220</v>
      </c>
      <c r="D49" s="279">
        <v>1</v>
      </c>
      <c r="E49" s="171">
        <v>0</v>
      </c>
      <c r="F49" s="102"/>
      <c r="G49" s="102"/>
      <c r="J49" s="438"/>
      <c r="K49" s="438">
        <f t="shared" si="0"/>
        <v>0</v>
      </c>
    </row>
    <row r="50" spans="1:11" ht="15.6" x14ac:dyDescent="0.3">
      <c r="A50" s="86">
        <f>A48+1</f>
        <v>38</v>
      </c>
      <c r="B50" s="243" t="s">
        <v>1577</v>
      </c>
      <c r="C50" s="86" t="s">
        <v>254</v>
      </c>
      <c r="D50" s="259">
        <f>62.2*19.1</f>
        <v>1188.0200000000002</v>
      </c>
      <c r="E50" s="171">
        <v>96.657750000000007</v>
      </c>
      <c r="F50" s="102">
        <f t="shared" ref="F50:F58" si="14">ROUND(E50*D50,2)</f>
        <v>114831.34</v>
      </c>
      <c r="G50" s="102">
        <f t="shared" ref="G50:G66" si="15">ROUND(F50*1.2,2)</f>
        <v>137797.60999999999</v>
      </c>
      <c r="J50" s="438"/>
      <c r="K50" s="438">
        <f t="shared" si="0"/>
        <v>0</v>
      </c>
    </row>
    <row r="51" spans="1:11" ht="15.6" x14ac:dyDescent="0.3">
      <c r="A51" s="86">
        <f>A50+1</f>
        <v>39</v>
      </c>
      <c r="B51" s="243" t="s">
        <v>1578</v>
      </c>
      <c r="C51" s="86" t="s">
        <v>254</v>
      </c>
      <c r="D51" s="259">
        <f>21.6*12.25</f>
        <v>264.60000000000002</v>
      </c>
      <c r="E51" s="171">
        <v>96.657750000000007</v>
      </c>
      <c r="F51" s="102">
        <f t="shared" si="14"/>
        <v>25575.64</v>
      </c>
      <c r="G51" s="102">
        <f t="shared" si="15"/>
        <v>30690.77</v>
      </c>
      <c r="J51" s="438"/>
      <c r="K51" s="438">
        <f t="shared" si="0"/>
        <v>0</v>
      </c>
    </row>
    <row r="52" spans="1:11" ht="15.6" x14ac:dyDescent="0.3">
      <c r="A52" s="86">
        <f t="shared" ref="A52:A58" si="16">A51+1</f>
        <v>40</v>
      </c>
      <c r="B52" s="243" t="s">
        <v>1571</v>
      </c>
      <c r="C52" s="86" t="s">
        <v>254</v>
      </c>
      <c r="D52" s="259">
        <f>30.5*8.33</f>
        <v>254.065</v>
      </c>
      <c r="E52" s="171">
        <v>96.657750000000007</v>
      </c>
      <c r="F52" s="102">
        <f t="shared" si="14"/>
        <v>24557.35</v>
      </c>
      <c r="G52" s="102">
        <f t="shared" si="15"/>
        <v>29468.82</v>
      </c>
      <c r="J52" s="438"/>
      <c r="K52" s="438">
        <f t="shared" si="0"/>
        <v>0</v>
      </c>
    </row>
    <row r="53" spans="1:11" ht="15.6" x14ac:dyDescent="0.3">
      <c r="A53" s="86">
        <f t="shared" si="16"/>
        <v>41</v>
      </c>
      <c r="B53" s="243" t="s">
        <v>1579</v>
      </c>
      <c r="C53" s="86" t="s">
        <v>254</v>
      </c>
      <c r="D53" s="259">
        <f>24*5.72</f>
        <v>137.28</v>
      </c>
      <c r="E53" s="171">
        <v>96.657750000000007</v>
      </c>
      <c r="F53" s="102">
        <f t="shared" si="14"/>
        <v>13269.18</v>
      </c>
      <c r="G53" s="102">
        <f t="shared" si="15"/>
        <v>15923.02</v>
      </c>
      <c r="J53" s="438"/>
      <c r="K53" s="438">
        <f t="shared" si="0"/>
        <v>0</v>
      </c>
    </row>
    <row r="54" spans="1:11" ht="15.6" x14ac:dyDescent="0.3">
      <c r="A54" s="285">
        <f t="shared" si="16"/>
        <v>42</v>
      </c>
      <c r="B54" s="290" t="s">
        <v>1572</v>
      </c>
      <c r="C54" s="285" t="s">
        <v>254</v>
      </c>
      <c r="D54" s="297">
        <f>22.1*14.2</f>
        <v>313.82</v>
      </c>
      <c r="E54" s="171">
        <v>121.78876499999998</v>
      </c>
      <c r="F54" s="288">
        <f t="shared" si="14"/>
        <v>38219.75</v>
      </c>
      <c r="G54" s="288">
        <f t="shared" si="15"/>
        <v>45863.7</v>
      </c>
      <c r="J54" s="438"/>
      <c r="K54" s="438">
        <f t="shared" si="0"/>
        <v>0</v>
      </c>
    </row>
    <row r="55" spans="1:11" ht="15.6" x14ac:dyDescent="0.3">
      <c r="A55" s="285">
        <f t="shared" si="16"/>
        <v>43</v>
      </c>
      <c r="B55" s="290" t="s">
        <v>1580</v>
      </c>
      <c r="C55" s="285" t="s">
        <v>254</v>
      </c>
      <c r="D55" s="296">
        <f>0.3*66.57</f>
        <v>19.970999999999997</v>
      </c>
      <c r="E55" s="171">
        <v>114.70053</v>
      </c>
      <c r="F55" s="288">
        <f t="shared" si="14"/>
        <v>2290.6799999999998</v>
      </c>
      <c r="G55" s="288">
        <f t="shared" si="15"/>
        <v>2748.82</v>
      </c>
      <c r="J55" s="438"/>
      <c r="K55" s="438">
        <f t="shared" si="0"/>
        <v>0</v>
      </c>
    </row>
    <row r="56" spans="1:11" ht="15.6" x14ac:dyDescent="0.3">
      <c r="A56" s="285">
        <f t="shared" si="16"/>
        <v>44</v>
      </c>
      <c r="B56" s="290" t="s">
        <v>1573</v>
      </c>
      <c r="C56" s="285" t="s">
        <v>431</v>
      </c>
      <c r="D56" s="296">
        <f>1.5*78.5</f>
        <v>117.75</v>
      </c>
      <c r="E56" s="171">
        <v>114.70053</v>
      </c>
      <c r="F56" s="288">
        <f t="shared" si="14"/>
        <v>13505.99</v>
      </c>
      <c r="G56" s="288">
        <f t="shared" si="15"/>
        <v>16207.19</v>
      </c>
      <c r="J56" s="438"/>
      <c r="K56" s="438">
        <f t="shared" si="0"/>
        <v>0</v>
      </c>
    </row>
    <row r="57" spans="1:11" ht="15.6" x14ac:dyDescent="0.3">
      <c r="A57" s="285">
        <f t="shared" si="16"/>
        <v>45</v>
      </c>
      <c r="B57" s="290" t="s">
        <v>1581</v>
      </c>
      <c r="C57" s="285" t="s">
        <v>431</v>
      </c>
      <c r="D57" s="296">
        <f>0.3*94.2</f>
        <v>28.26</v>
      </c>
      <c r="E57" s="171">
        <v>114.70053</v>
      </c>
      <c r="F57" s="288">
        <f t="shared" si="14"/>
        <v>3241.44</v>
      </c>
      <c r="G57" s="288">
        <f t="shared" si="15"/>
        <v>3889.73</v>
      </c>
      <c r="J57" s="438"/>
      <c r="K57" s="438">
        <f t="shared" si="0"/>
        <v>0</v>
      </c>
    </row>
    <row r="58" spans="1:11" ht="15.6" x14ac:dyDescent="0.3">
      <c r="A58" s="285">
        <f t="shared" si="16"/>
        <v>46</v>
      </c>
      <c r="B58" s="290" t="s">
        <v>1582</v>
      </c>
      <c r="C58" s="285" t="s">
        <v>254</v>
      </c>
      <c r="D58" s="296">
        <f>1.4*157</f>
        <v>219.79999999999998</v>
      </c>
      <c r="E58" s="171">
        <v>114.70053</v>
      </c>
      <c r="F58" s="288">
        <f t="shared" si="14"/>
        <v>25211.18</v>
      </c>
      <c r="G58" s="288">
        <f t="shared" si="15"/>
        <v>30253.42</v>
      </c>
      <c r="J58" s="438"/>
      <c r="K58" s="438">
        <f t="shared" si="0"/>
        <v>0</v>
      </c>
    </row>
    <row r="59" spans="1:11" ht="15.6" x14ac:dyDescent="0.3">
      <c r="A59" s="86"/>
      <c r="B59" s="260" t="s">
        <v>1585</v>
      </c>
      <c r="C59" s="278" t="s">
        <v>239</v>
      </c>
      <c r="D59" s="280">
        <v>0.379</v>
      </c>
      <c r="E59" s="171">
        <v>0</v>
      </c>
      <c r="F59" s="102"/>
      <c r="G59" s="102"/>
      <c r="J59" s="438"/>
      <c r="K59" s="438">
        <f t="shared" si="0"/>
        <v>0</v>
      </c>
    </row>
    <row r="60" spans="1:11" ht="15.6" x14ac:dyDescent="0.3">
      <c r="A60" s="285">
        <f>A58+1</f>
        <v>47</v>
      </c>
      <c r="B60" s="290" t="s">
        <v>1586</v>
      </c>
      <c r="C60" s="285" t="s">
        <v>254</v>
      </c>
      <c r="D60" s="297">
        <f>26*9.22</f>
        <v>239.72000000000003</v>
      </c>
      <c r="E60" s="171">
        <v>94.080210000000008</v>
      </c>
      <c r="F60" s="288">
        <f t="shared" ref="F60:F66" si="17">ROUND(E60*D60,2)</f>
        <v>22552.91</v>
      </c>
      <c r="G60" s="288">
        <f t="shared" ref="G60:G62" si="18">ROUND(F60*1.2,2)</f>
        <v>27063.49</v>
      </c>
      <c r="J60" s="438"/>
      <c r="K60" s="438">
        <f t="shared" si="0"/>
        <v>0</v>
      </c>
    </row>
    <row r="61" spans="1:11" ht="15.6" x14ac:dyDescent="0.3">
      <c r="A61" s="285">
        <f>A60+1</f>
        <v>48</v>
      </c>
      <c r="B61" s="290" t="s">
        <v>1573</v>
      </c>
      <c r="C61" s="285" t="s">
        <v>431</v>
      </c>
      <c r="D61" s="296">
        <f>0.3*78.5</f>
        <v>23.55</v>
      </c>
      <c r="E61" s="171">
        <v>114.70053</v>
      </c>
      <c r="F61" s="288">
        <f t="shared" si="17"/>
        <v>2701.2</v>
      </c>
      <c r="G61" s="288">
        <f t="shared" si="18"/>
        <v>3241.44</v>
      </c>
      <c r="J61" s="438"/>
      <c r="K61" s="438">
        <f t="shared" si="0"/>
        <v>0</v>
      </c>
    </row>
    <row r="62" spans="1:11" ht="15.6" x14ac:dyDescent="0.3">
      <c r="A62" s="285">
        <f>A61+1</f>
        <v>49</v>
      </c>
      <c r="B62" s="290" t="s">
        <v>1580</v>
      </c>
      <c r="C62" s="285" t="s">
        <v>254</v>
      </c>
      <c r="D62" s="296">
        <f>0.8*66.57</f>
        <v>53.256</v>
      </c>
      <c r="E62" s="171">
        <v>114.70053</v>
      </c>
      <c r="F62" s="288">
        <f t="shared" si="17"/>
        <v>6108.49</v>
      </c>
      <c r="G62" s="288">
        <f t="shared" si="18"/>
        <v>7330.19</v>
      </c>
      <c r="J62" s="438"/>
      <c r="K62" s="438">
        <f t="shared" si="0"/>
        <v>0</v>
      </c>
    </row>
    <row r="63" spans="1:11" ht="15.6" x14ac:dyDescent="0.3">
      <c r="A63" s="285">
        <f>A62+1</f>
        <v>50</v>
      </c>
      <c r="B63" s="290" t="s">
        <v>1587</v>
      </c>
      <c r="C63" s="285" t="s">
        <v>220</v>
      </c>
      <c r="D63" s="294">
        <v>5</v>
      </c>
      <c r="E63" s="171">
        <v>24099.999</v>
      </c>
      <c r="F63" s="288">
        <f t="shared" si="17"/>
        <v>120500</v>
      </c>
      <c r="G63" s="288">
        <f t="shared" si="15"/>
        <v>144600</v>
      </c>
      <c r="J63" s="438"/>
      <c r="K63" s="438">
        <f t="shared" si="0"/>
        <v>0</v>
      </c>
    </row>
    <row r="64" spans="1:11" ht="15.6" x14ac:dyDescent="0.3">
      <c r="A64" s="65">
        <f t="shared" ref="A64:A66" si="19">A63+1</f>
        <v>51</v>
      </c>
      <c r="B64" s="243" t="s">
        <v>402</v>
      </c>
      <c r="C64" s="86" t="s">
        <v>254</v>
      </c>
      <c r="D64" s="277">
        <v>12.754</v>
      </c>
      <c r="E64" s="171">
        <v>1773.3475200000003</v>
      </c>
      <c r="F64" s="102">
        <f t="shared" si="17"/>
        <v>22617.27</v>
      </c>
      <c r="G64" s="102">
        <f t="shared" si="15"/>
        <v>27140.720000000001</v>
      </c>
      <c r="J64" s="438"/>
      <c r="K64" s="438">
        <f t="shared" si="0"/>
        <v>0</v>
      </c>
    </row>
    <row r="65" spans="1:11" ht="15.6" x14ac:dyDescent="0.3">
      <c r="A65" s="65">
        <f t="shared" si="19"/>
        <v>52</v>
      </c>
      <c r="B65" s="243" t="s">
        <v>403</v>
      </c>
      <c r="C65" s="86" t="s">
        <v>254</v>
      </c>
      <c r="D65" s="277">
        <v>12.754</v>
      </c>
      <c r="E65" s="171">
        <v>1956.3528600000004</v>
      </c>
      <c r="F65" s="102">
        <f t="shared" si="17"/>
        <v>24951.32</v>
      </c>
      <c r="G65" s="102">
        <f t="shared" si="15"/>
        <v>29941.58</v>
      </c>
      <c r="J65" s="438"/>
      <c r="K65" s="438">
        <f t="shared" si="0"/>
        <v>0</v>
      </c>
    </row>
    <row r="66" spans="1:11" ht="15.6" x14ac:dyDescent="0.3">
      <c r="A66" s="65">
        <f t="shared" si="19"/>
        <v>53</v>
      </c>
      <c r="B66" s="66" t="s">
        <v>1588</v>
      </c>
      <c r="C66" s="65" t="s">
        <v>239</v>
      </c>
      <c r="D66" s="204">
        <v>12.754</v>
      </c>
      <c r="E66" s="171">
        <v>202.33689000000001</v>
      </c>
      <c r="F66" s="101">
        <f t="shared" si="17"/>
        <v>2580.6</v>
      </c>
      <c r="G66" s="101">
        <f t="shared" si="15"/>
        <v>3096.72</v>
      </c>
      <c r="J66" s="438"/>
      <c r="K66" s="438">
        <f t="shared" si="0"/>
        <v>0</v>
      </c>
    </row>
    <row r="67" spans="1:11" ht="15.6" x14ac:dyDescent="0.3">
      <c r="A67" s="247"/>
      <c r="B67" s="72" t="s">
        <v>1554</v>
      </c>
      <c r="C67" s="65"/>
      <c r="D67" s="281"/>
      <c r="E67" s="171">
        <v>0</v>
      </c>
      <c r="F67" s="101"/>
      <c r="G67" s="101"/>
      <c r="J67" s="438"/>
      <c r="K67" s="438">
        <f t="shared" si="0"/>
        <v>0</v>
      </c>
    </row>
    <row r="68" spans="1:11" ht="15.6" x14ac:dyDescent="0.3">
      <c r="A68" s="285">
        <f>A66+1</f>
        <v>54</v>
      </c>
      <c r="B68" s="290" t="s">
        <v>1006</v>
      </c>
      <c r="C68" s="285" t="s">
        <v>193</v>
      </c>
      <c r="D68" s="287">
        <v>0.46</v>
      </c>
      <c r="E68" s="171">
        <v>5928.3420000000006</v>
      </c>
      <c r="F68" s="300">
        <f t="shared" ref="F68:F82" si="20">ROUND(E68*D68,2)</f>
        <v>2727.04</v>
      </c>
      <c r="G68" s="300">
        <f t="shared" ref="G68:G82" si="21">ROUND(F68*1.2,2)</f>
        <v>3272.45</v>
      </c>
      <c r="J68" s="438"/>
      <c r="K68" s="438">
        <f t="shared" si="0"/>
        <v>0</v>
      </c>
    </row>
    <row r="69" spans="1:11" ht="15.6" x14ac:dyDescent="0.3">
      <c r="A69" s="289">
        <f t="shared" ref="A69:A74" si="22">A68+1</f>
        <v>55</v>
      </c>
      <c r="B69" s="290" t="s">
        <v>1589</v>
      </c>
      <c r="C69" s="285" t="s">
        <v>193</v>
      </c>
      <c r="D69" s="296">
        <v>10.199999999999999</v>
      </c>
      <c r="E69" s="171">
        <v>31204.988009999997</v>
      </c>
      <c r="F69" s="300">
        <f t="shared" si="20"/>
        <v>318290.88</v>
      </c>
      <c r="G69" s="300">
        <f t="shared" si="21"/>
        <v>381949.06</v>
      </c>
      <c r="H69" s="209"/>
      <c r="J69" s="438"/>
      <c r="K69" s="438">
        <f t="shared" si="0"/>
        <v>0</v>
      </c>
    </row>
    <row r="70" spans="1:11" ht="15.6" x14ac:dyDescent="0.3">
      <c r="A70" s="289">
        <f t="shared" si="22"/>
        <v>56</v>
      </c>
      <c r="B70" s="290" t="s">
        <v>1070</v>
      </c>
      <c r="C70" s="285" t="s">
        <v>387</v>
      </c>
      <c r="D70" s="297">
        <f>15.12*20/16</f>
        <v>18.899999999999999</v>
      </c>
      <c r="E70" s="171">
        <v>322.1925</v>
      </c>
      <c r="F70" s="300">
        <f t="shared" si="20"/>
        <v>6089.44</v>
      </c>
      <c r="G70" s="300">
        <f t="shared" si="21"/>
        <v>7307.33</v>
      </c>
      <c r="J70" s="438"/>
      <c r="K70" s="438">
        <f t="shared" ref="K70:K86" si="23">E70*J70*1.2</f>
        <v>0</v>
      </c>
    </row>
    <row r="71" spans="1:11" ht="15.6" x14ac:dyDescent="0.3">
      <c r="A71" s="289">
        <f t="shared" si="22"/>
        <v>57</v>
      </c>
      <c r="B71" s="290" t="s">
        <v>1069</v>
      </c>
      <c r="C71" s="285" t="s">
        <v>254</v>
      </c>
      <c r="D71" s="297">
        <v>70.599999999999994</v>
      </c>
      <c r="E71" s="171">
        <v>402.09624000000002</v>
      </c>
      <c r="F71" s="300">
        <f t="shared" si="20"/>
        <v>28387.99</v>
      </c>
      <c r="G71" s="300">
        <f t="shared" si="21"/>
        <v>34065.589999999997</v>
      </c>
      <c r="J71" s="438"/>
      <c r="K71" s="438">
        <f t="shared" si="23"/>
        <v>0</v>
      </c>
    </row>
    <row r="72" spans="1:11" ht="15.6" x14ac:dyDescent="0.3">
      <c r="A72" s="289">
        <f t="shared" si="22"/>
        <v>58</v>
      </c>
      <c r="B72" s="290" t="s">
        <v>1590</v>
      </c>
      <c r="C72" s="285" t="s">
        <v>220</v>
      </c>
      <c r="D72" s="294">
        <v>3</v>
      </c>
      <c r="E72" s="171">
        <v>141764.70000000001</v>
      </c>
      <c r="F72" s="300">
        <f t="shared" si="20"/>
        <v>425294.1</v>
      </c>
      <c r="G72" s="300">
        <f t="shared" si="21"/>
        <v>510352.92</v>
      </c>
      <c r="H72" s="209"/>
      <c r="J72" s="438"/>
      <c r="K72" s="438">
        <f t="shared" si="23"/>
        <v>0</v>
      </c>
    </row>
    <row r="73" spans="1:11" ht="15.6" x14ac:dyDescent="0.3">
      <c r="A73" s="247">
        <f t="shared" si="22"/>
        <v>59</v>
      </c>
      <c r="B73" s="243" t="s">
        <v>402</v>
      </c>
      <c r="C73" s="86" t="s">
        <v>254</v>
      </c>
      <c r="D73" s="227">
        <v>10.4</v>
      </c>
      <c r="E73" s="171">
        <v>1773.3475200000003</v>
      </c>
      <c r="F73" s="102">
        <f t="shared" si="20"/>
        <v>18442.810000000001</v>
      </c>
      <c r="G73" s="102">
        <f t="shared" si="21"/>
        <v>22131.37</v>
      </c>
      <c r="J73" s="438"/>
      <c r="K73" s="438">
        <f t="shared" si="23"/>
        <v>0</v>
      </c>
    </row>
    <row r="74" spans="1:11" ht="15.6" x14ac:dyDescent="0.3">
      <c r="A74" s="247">
        <f t="shared" si="22"/>
        <v>60</v>
      </c>
      <c r="B74" s="243" t="s">
        <v>403</v>
      </c>
      <c r="C74" s="86" t="s">
        <v>254</v>
      </c>
      <c r="D74" s="227">
        <v>18.2</v>
      </c>
      <c r="E74" s="171">
        <v>1956.3528600000004</v>
      </c>
      <c r="F74" s="102">
        <f t="shared" si="20"/>
        <v>35605.620000000003</v>
      </c>
      <c r="G74" s="102">
        <f t="shared" si="21"/>
        <v>42726.74</v>
      </c>
      <c r="J74" s="438"/>
      <c r="K74" s="438">
        <f t="shared" si="23"/>
        <v>0</v>
      </c>
    </row>
    <row r="75" spans="1:11" ht="15.6" x14ac:dyDescent="0.3">
      <c r="A75" s="247">
        <f t="shared" ref="A75:A82" si="24">A74+1</f>
        <v>61</v>
      </c>
      <c r="B75" s="66" t="s">
        <v>1591</v>
      </c>
      <c r="C75" s="86" t="s">
        <v>254</v>
      </c>
      <c r="D75" s="67">
        <f>76*0.243</f>
        <v>18.468</v>
      </c>
      <c r="E75" s="171">
        <v>163.67379</v>
      </c>
      <c r="F75" s="102">
        <f t="shared" si="20"/>
        <v>3022.73</v>
      </c>
      <c r="G75" s="102">
        <f t="shared" si="21"/>
        <v>3627.28</v>
      </c>
      <c r="J75" s="438"/>
      <c r="K75" s="438">
        <f t="shared" si="23"/>
        <v>0</v>
      </c>
    </row>
    <row r="76" spans="1:11" ht="15.6" x14ac:dyDescent="0.3">
      <c r="A76" s="247">
        <f t="shared" si="24"/>
        <v>62</v>
      </c>
      <c r="B76" s="66" t="s">
        <v>1592</v>
      </c>
      <c r="C76" s="86" t="s">
        <v>254</v>
      </c>
      <c r="D76" s="67">
        <f>76*0.071</f>
        <v>5.3959999999999999</v>
      </c>
      <c r="E76" s="171">
        <v>189.44919000000002</v>
      </c>
      <c r="F76" s="102">
        <f t="shared" si="20"/>
        <v>1022.27</v>
      </c>
      <c r="G76" s="102">
        <f t="shared" si="21"/>
        <v>1226.72</v>
      </c>
      <c r="J76" s="438"/>
      <c r="K76" s="438">
        <f t="shared" si="23"/>
        <v>0</v>
      </c>
    </row>
    <row r="77" spans="1:11" ht="15.6" x14ac:dyDescent="0.3">
      <c r="A77" s="247">
        <f t="shared" si="24"/>
        <v>63</v>
      </c>
      <c r="B77" s="66" t="s">
        <v>1593</v>
      </c>
      <c r="C77" s="86" t="s">
        <v>254</v>
      </c>
      <c r="D77" s="67">
        <f>76*0.0172</f>
        <v>1.3071999999999999</v>
      </c>
      <c r="E77" s="171">
        <v>253.88768999999999</v>
      </c>
      <c r="F77" s="102">
        <f t="shared" si="20"/>
        <v>331.88</v>
      </c>
      <c r="G77" s="102">
        <f t="shared" si="21"/>
        <v>398.26</v>
      </c>
      <c r="J77" s="438"/>
      <c r="K77" s="438">
        <f t="shared" si="23"/>
        <v>0</v>
      </c>
    </row>
    <row r="78" spans="1:11" ht="15.6" x14ac:dyDescent="0.3">
      <c r="A78" s="247">
        <f t="shared" si="24"/>
        <v>64</v>
      </c>
      <c r="B78" s="66" t="s">
        <v>1594</v>
      </c>
      <c r="C78" s="86" t="s">
        <v>254</v>
      </c>
      <c r="D78" s="67">
        <f>76*0.015</f>
        <v>1.1399999999999999</v>
      </c>
      <c r="E78" s="171">
        <v>253.88768999999999</v>
      </c>
      <c r="F78" s="102">
        <f t="shared" si="20"/>
        <v>289.43</v>
      </c>
      <c r="G78" s="102">
        <f t="shared" si="21"/>
        <v>347.32</v>
      </c>
      <c r="J78" s="438"/>
      <c r="K78" s="438">
        <f t="shared" si="23"/>
        <v>0</v>
      </c>
    </row>
    <row r="79" spans="1:11" ht="15.6" x14ac:dyDescent="0.3">
      <c r="A79" s="247">
        <f t="shared" si="24"/>
        <v>65</v>
      </c>
      <c r="B79" s="66" t="s">
        <v>1595</v>
      </c>
      <c r="C79" s="86" t="s">
        <v>254</v>
      </c>
      <c r="D79" s="67">
        <f>0.33*40</f>
        <v>13.200000000000001</v>
      </c>
      <c r="E79" s="171">
        <v>163.67379</v>
      </c>
      <c r="F79" s="102">
        <f t="shared" si="20"/>
        <v>2160.4899999999998</v>
      </c>
      <c r="G79" s="102">
        <f t="shared" si="21"/>
        <v>2592.59</v>
      </c>
      <c r="J79" s="438"/>
      <c r="K79" s="438">
        <f t="shared" si="23"/>
        <v>0</v>
      </c>
    </row>
    <row r="80" spans="1:11" ht="15.6" x14ac:dyDescent="0.3">
      <c r="A80" s="247">
        <f t="shared" si="24"/>
        <v>66</v>
      </c>
      <c r="B80" s="66" t="s">
        <v>1596</v>
      </c>
      <c r="C80" s="86" t="s">
        <v>254</v>
      </c>
      <c r="D80" s="67">
        <f>40*0.107</f>
        <v>4.28</v>
      </c>
      <c r="E80" s="171">
        <v>189.44919000000002</v>
      </c>
      <c r="F80" s="102">
        <f t="shared" si="20"/>
        <v>810.84</v>
      </c>
      <c r="G80" s="102">
        <f t="shared" si="21"/>
        <v>973.01</v>
      </c>
      <c r="J80" s="438"/>
      <c r="K80" s="438">
        <f t="shared" si="23"/>
        <v>0</v>
      </c>
    </row>
    <row r="81" spans="1:11" ht="15.6" x14ac:dyDescent="0.3">
      <c r="A81" s="247">
        <f t="shared" si="24"/>
        <v>67</v>
      </c>
      <c r="B81" s="66" t="s">
        <v>1597</v>
      </c>
      <c r="C81" s="86" t="s">
        <v>254</v>
      </c>
      <c r="D81" s="67">
        <f>0.03*40</f>
        <v>1.2</v>
      </c>
      <c r="E81" s="171">
        <v>253.88768999999999</v>
      </c>
      <c r="F81" s="102">
        <f t="shared" si="20"/>
        <v>304.67</v>
      </c>
      <c r="G81" s="102">
        <f t="shared" si="21"/>
        <v>365.6</v>
      </c>
      <c r="J81" s="438"/>
      <c r="K81" s="438">
        <f t="shared" si="23"/>
        <v>0</v>
      </c>
    </row>
    <row r="82" spans="1:11" ht="15.6" x14ac:dyDescent="0.3">
      <c r="A82" s="247">
        <f t="shared" si="24"/>
        <v>68</v>
      </c>
      <c r="B82" s="66" t="s">
        <v>1598</v>
      </c>
      <c r="C82" s="86" t="s">
        <v>254</v>
      </c>
      <c r="D82" s="67">
        <f>40*0.068</f>
        <v>2.72</v>
      </c>
      <c r="E82" s="171">
        <v>253.88768999999999</v>
      </c>
      <c r="F82" s="102">
        <f t="shared" si="20"/>
        <v>690.57</v>
      </c>
      <c r="G82" s="102">
        <f t="shared" si="21"/>
        <v>828.68</v>
      </c>
      <c r="J82" s="438"/>
      <c r="K82" s="438">
        <f t="shared" si="23"/>
        <v>0</v>
      </c>
    </row>
    <row r="83" spans="1:11" ht="15.6" x14ac:dyDescent="0.3">
      <c r="A83" s="247"/>
      <c r="B83" s="72" t="s">
        <v>1559</v>
      </c>
      <c r="C83" s="65"/>
      <c r="D83" s="281"/>
      <c r="E83" s="171">
        <v>0</v>
      </c>
      <c r="F83" s="101"/>
      <c r="G83" s="101"/>
      <c r="J83" s="438"/>
      <c r="K83" s="438">
        <f t="shared" si="23"/>
        <v>0</v>
      </c>
    </row>
    <row r="84" spans="1:11" ht="27.6" x14ac:dyDescent="0.3">
      <c r="A84" s="289">
        <f>A82+1</f>
        <v>69</v>
      </c>
      <c r="B84" s="290" t="s">
        <v>1599</v>
      </c>
      <c r="C84" s="285" t="s">
        <v>193</v>
      </c>
      <c r="D84" s="297">
        <v>0.52</v>
      </c>
      <c r="E84" s="171">
        <v>31458.875700000001</v>
      </c>
      <c r="F84" s="300">
        <f>ROUND(E84*D84,2)</f>
        <v>16358.62</v>
      </c>
      <c r="G84" s="300">
        <f t="shared" ref="G84:G86" si="25">ROUND(F84*1.2,2)</f>
        <v>19630.34</v>
      </c>
      <c r="H84" s="209"/>
      <c r="J84" s="438"/>
      <c r="K84" s="438">
        <f t="shared" si="23"/>
        <v>0</v>
      </c>
    </row>
    <row r="85" spans="1:11" ht="15.6" x14ac:dyDescent="0.3">
      <c r="A85" s="289">
        <f>A84+1</f>
        <v>70</v>
      </c>
      <c r="B85" s="290" t="s">
        <v>1600</v>
      </c>
      <c r="C85" s="285" t="s">
        <v>193</v>
      </c>
      <c r="D85" s="297">
        <v>2.52</v>
      </c>
      <c r="E85" s="171">
        <v>28649.357100000005</v>
      </c>
      <c r="F85" s="300">
        <f>ROUND(E85*D85,2)</f>
        <v>72196.38</v>
      </c>
      <c r="G85" s="300">
        <f t="shared" si="25"/>
        <v>86635.66</v>
      </c>
      <c r="H85" s="209"/>
      <c r="J85" s="438"/>
      <c r="K85" s="438">
        <f t="shared" si="23"/>
        <v>0</v>
      </c>
    </row>
    <row r="86" spans="1:11" ht="27.6" x14ac:dyDescent="0.3">
      <c r="A86" s="285">
        <f>A85+1</f>
        <v>71</v>
      </c>
      <c r="B86" s="290" t="s">
        <v>407</v>
      </c>
      <c r="C86" s="285" t="s">
        <v>243</v>
      </c>
      <c r="D86" s="298">
        <v>1</v>
      </c>
      <c r="E86" s="171">
        <v>180427.80000000002</v>
      </c>
      <c r="F86" s="300">
        <f>ROUND(E86*D86,2)</f>
        <v>180427.8</v>
      </c>
      <c r="G86" s="300">
        <f t="shared" si="25"/>
        <v>216513.36</v>
      </c>
      <c r="J86" s="438"/>
      <c r="K86" s="438">
        <f t="shared" si="23"/>
        <v>0</v>
      </c>
    </row>
    <row r="87" spans="1:11" ht="22.5" customHeight="1" x14ac:dyDescent="0.3">
      <c r="A87" s="552" t="s">
        <v>408</v>
      </c>
      <c r="B87" s="552"/>
      <c r="C87" s="552"/>
      <c r="D87" s="552"/>
      <c r="E87" s="552"/>
      <c r="F87" s="82">
        <f>SUM(F6:F86)</f>
        <v>2895517.84</v>
      </c>
      <c r="G87" s="82">
        <f>SUM(G6:G86)</f>
        <v>3474621.46</v>
      </c>
      <c r="J87" s="438"/>
      <c r="K87" s="436">
        <f>SUM(K5:K86)</f>
        <v>0</v>
      </c>
    </row>
  </sheetData>
  <mergeCells count="11">
    <mergeCell ref="J1:J3"/>
    <mergeCell ref="K1:K3"/>
    <mergeCell ref="F1:F3"/>
    <mergeCell ref="G1:G3"/>
    <mergeCell ref="A87:E87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0.79998168889431442"/>
  </sheetPr>
  <dimension ref="A1:L89"/>
  <sheetViews>
    <sheetView zoomScaleNormal="100" zoomScaleSheetLayoutView="80" workbookViewId="0">
      <selection activeCell="E90" sqref="E90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8.33203125" style="52" customWidth="1"/>
    <col min="10" max="11" width="17" style="440" customWidth="1"/>
  </cols>
  <sheetData>
    <row r="1" spans="1:12" ht="14.55" customHeight="1" x14ac:dyDescent="0.3">
      <c r="A1" s="539" t="s">
        <v>226</v>
      </c>
      <c r="B1" s="542" t="s">
        <v>201</v>
      </c>
      <c r="C1" s="545" t="s">
        <v>230</v>
      </c>
      <c r="D1" s="545" t="s">
        <v>202</v>
      </c>
      <c r="E1" s="545" t="s">
        <v>441</v>
      </c>
      <c r="F1" s="545" t="s">
        <v>433</v>
      </c>
      <c r="G1" s="545" t="s">
        <v>409</v>
      </c>
      <c r="J1" s="536" t="s">
        <v>1657</v>
      </c>
      <c r="K1" s="536" t="s">
        <v>1658</v>
      </c>
    </row>
    <row r="2" spans="1:12" ht="14.55" customHeight="1" x14ac:dyDescent="0.3">
      <c r="A2" s="540"/>
      <c r="B2" s="543"/>
      <c r="C2" s="545"/>
      <c r="D2" s="545"/>
      <c r="E2" s="545"/>
      <c r="F2" s="545"/>
      <c r="G2" s="545"/>
      <c r="J2" s="536"/>
      <c r="K2" s="536"/>
      <c r="L2" s="381"/>
    </row>
    <row r="3" spans="1:12" ht="55.95" customHeight="1" x14ac:dyDescent="0.3">
      <c r="A3" s="541"/>
      <c r="B3" s="544"/>
      <c r="C3" s="545"/>
      <c r="D3" s="545"/>
      <c r="E3" s="545"/>
      <c r="F3" s="545"/>
      <c r="G3" s="545"/>
      <c r="J3" s="536"/>
      <c r="K3" s="536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  <c r="J4" s="437"/>
      <c r="K4" s="437"/>
      <c r="L4" s="381"/>
    </row>
    <row r="5" spans="1:12" ht="20.25" customHeight="1" x14ac:dyDescent="0.3">
      <c r="A5" s="173"/>
      <c r="B5" s="537" t="s">
        <v>1350</v>
      </c>
      <c r="C5" s="538"/>
      <c r="D5" s="538"/>
      <c r="E5" s="174"/>
      <c r="F5" s="175"/>
      <c r="G5" s="183"/>
      <c r="J5" s="438"/>
      <c r="K5" s="438">
        <f>E5*J5*1.2</f>
        <v>0</v>
      </c>
    </row>
    <row r="6" spans="1:12" ht="19.5" customHeight="1" x14ac:dyDescent="0.3">
      <c r="A6" s="303"/>
      <c r="B6" s="61" t="s">
        <v>1351</v>
      </c>
      <c r="C6" s="62"/>
      <c r="D6" s="62"/>
      <c r="E6" s="63"/>
      <c r="F6" s="64"/>
      <c r="G6" s="127"/>
      <c r="J6" s="438"/>
      <c r="K6" s="438">
        <f t="shared" ref="K6:K69" si="0">E6*J6*1.2</f>
        <v>0</v>
      </c>
    </row>
    <row r="7" spans="1:12" ht="15.6" x14ac:dyDescent="0.3">
      <c r="A7" s="65">
        <v>1</v>
      </c>
      <c r="B7" s="66" t="s">
        <v>443</v>
      </c>
      <c r="C7" s="65" t="s">
        <v>193</v>
      </c>
      <c r="D7" s="71">
        <v>206</v>
      </c>
      <c r="E7" s="171">
        <v>464.82929999999999</v>
      </c>
      <c r="F7" s="288">
        <f t="shared" ref="F7:F12" si="1">ROUND(E7*D7,2)</f>
        <v>95754.84</v>
      </c>
      <c r="G7" s="288">
        <f t="shared" ref="G7:G12" si="2">ROUND(F7*1.2,2)</f>
        <v>114905.81</v>
      </c>
      <c r="J7" s="438"/>
      <c r="K7" s="438">
        <f t="shared" si="0"/>
        <v>0</v>
      </c>
    </row>
    <row r="8" spans="1:12" ht="18.75" customHeight="1" x14ac:dyDescent="0.3">
      <c r="A8" s="65">
        <f>A7+1</f>
        <v>2</v>
      </c>
      <c r="B8" s="66" t="s">
        <v>444</v>
      </c>
      <c r="C8" s="65" t="s">
        <v>193</v>
      </c>
      <c r="D8" s="71">
        <v>6.2</v>
      </c>
      <c r="E8" s="171">
        <v>2541.5435879999995</v>
      </c>
      <c r="F8" s="288">
        <f t="shared" si="1"/>
        <v>15757.57</v>
      </c>
      <c r="G8" s="288">
        <f t="shared" si="2"/>
        <v>18909.080000000002</v>
      </c>
      <c r="J8" s="438"/>
      <c r="K8" s="438">
        <f t="shared" si="0"/>
        <v>0</v>
      </c>
    </row>
    <row r="9" spans="1:12" ht="18" customHeight="1" x14ac:dyDescent="0.3">
      <c r="A9" s="65">
        <f>A8+1</f>
        <v>3</v>
      </c>
      <c r="B9" s="66" t="s">
        <v>449</v>
      </c>
      <c r="C9" s="65" t="s">
        <v>193</v>
      </c>
      <c r="D9" s="71">
        <v>125.4</v>
      </c>
      <c r="E9" s="171">
        <v>464.82929999999999</v>
      </c>
      <c r="F9" s="288">
        <f t="shared" si="1"/>
        <v>58289.59</v>
      </c>
      <c r="G9" s="288">
        <f t="shared" si="2"/>
        <v>69947.509999999995</v>
      </c>
      <c r="J9" s="438"/>
      <c r="K9" s="438">
        <f t="shared" si="0"/>
        <v>0</v>
      </c>
    </row>
    <row r="10" spans="1:12" ht="15.6" x14ac:dyDescent="0.3">
      <c r="A10" s="65">
        <f t="shared" ref="A10:A12" si="3">A9+1</f>
        <v>4</v>
      </c>
      <c r="B10" s="66" t="s">
        <v>450</v>
      </c>
      <c r="C10" s="65" t="s">
        <v>193</v>
      </c>
      <c r="D10" s="71">
        <v>31.3</v>
      </c>
      <c r="E10" s="171">
        <v>1285.789356</v>
      </c>
      <c r="F10" s="288">
        <f t="shared" si="1"/>
        <v>40245.21</v>
      </c>
      <c r="G10" s="288">
        <f t="shared" si="2"/>
        <v>48294.25</v>
      </c>
      <c r="J10" s="438"/>
      <c r="K10" s="438">
        <f t="shared" si="0"/>
        <v>0</v>
      </c>
    </row>
    <row r="11" spans="1:12" s="52" customFormat="1" ht="15.6" x14ac:dyDescent="0.3">
      <c r="A11" s="65">
        <f t="shared" si="3"/>
        <v>5</v>
      </c>
      <c r="B11" s="66" t="s">
        <v>518</v>
      </c>
      <c r="C11" s="65" t="s">
        <v>239</v>
      </c>
      <c r="D11" s="71">
        <v>82</v>
      </c>
      <c r="E11" s="171">
        <v>464.82929999999999</v>
      </c>
      <c r="F11" s="288">
        <f t="shared" si="1"/>
        <v>38116</v>
      </c>
      <c r="G11" s="288">
        <f t="shared" si="2"/>
        <v>45739.199999999997</v>
      </c>
      <c r="J11" s="438"/>
      <c r="K11" s="438">
        <f t="shared" si="0"/>
        <v>0</v>
      </c>
    </row>
    <row r="12" spans="1:12" s="52" customFormat="1" ht="15.6" x14ac:dyDescent="0.3">
      <c r="A12" s="453">
        <f t="shared" si="3"/>
        <v>6</v>
      </c>
      <c r="B12" s="66" t="s">
        <v>503</v>
      </c>
      <c r="C12" s="65" t="s">
        <v>239</v>
      </c>
      <c r="D12" s="71">
        <v>82</v>
      </c>
      <c r="E12" s="171">
        <f>'искл-свод'!B2</f>
        <v>1361.6</v>
      </c>
      <c r="F12" s="288">
        <f t="shared" si="1"/>
        <v>111651.2</v>
      </c>
      <c r="G12" s="288">
        <f t="shared" si="2"/>
        <v>133981.44</v>
      </c>
      <c r="J12" s="438"/>
      <c r="K12" s="438">
        <f t="shared" si="0"/>
        <v>0</v>
      </c>
    </row>
    <row r="13" spans="1:12" ht="24" customHeight="1" x14ac:dyDescent="0.3">
      <c r="A13" s="65"/>
      <c r="B13" s="61" t="s">
        <v>1352</v>
      </c>
      <c r="C13" s="65"/>
      <c r="D13" s="70"/>
      <c r="E13" s="171">
        <v>0</v>
      </c>
      <c r="F13" s="288"/>
      <c r="G13" s="288"/>
      <c r="J13" s="438"/>
      <c r="K13" s="438">
        <f t="shared" si="0"/>
        <v>0</v>
      </c>
    </row>
    <row r="14" spans="1:12" ht="27.6" x14ac:dyDescent="0.3">
      <c r="A14" s="65">
        <f>A12+1</f>
        <v>7</v>
      </c>
      <c r="B14" s="66" t="s">
        <v>1353</v>
      </c>
      <c r="C14" s="65" t="s">
        <v>193</v>
      </c>
      <c r="D14" s="71">
        <v>9.9</v>
      </c>
      <c r="E14" s="171">
        <v>20109.230640000002</v>
      </c>
      <c r="F14" s="288">
        <f>ROUND(E14*D14,2)</f>
        <v>199081.38</v>
      </c>
      <c r="G14" s="288">
        <f t="shared" ref="G14" si="4">ROUND(F14*1.2,2)</f>
        <v>238897.66</v>
      </c>
      <c r="J14" s="438"/>
      <c r="K14" s="438">
        <f t="shared" si="0"/>
        <v>0</v>
      </c>
    </row>
    <row r="15" spans="1:12" ht="23.25" customHeight="1" x14ac:dyDescent="0.3">
      <c r="A15" s="65"/>
      <c r="B15" s="61" t="s">
        <v>1354</v>
      </c>
      <c r="C15" s="65"/>
      <c r="D15" s="70"/>
      <c r="E15" s="171">
        <v>0</v>
      </c>
      <c r="F15" s="288"/>
      <c r="G15" s="288"/>
      <c r="J15" s="438"/>
      <c r="K15" s="438">
        <f t="shared" si="0"/>
        <v>0</v>
      </c>
    </row>
    <row r="16" spans="1:12" ht="19.5" customHeight="1" x14ac:dyDescent="0.3">
      <c r="A16" s="65"/>
      <c r="B16" s="61" t="s">
        <v>1016</v>
      </c>
      <c r="C16" s="65"/>
      <c r="D16" s="70"/>
      <c r="E16" s="171">
        <v>0</v>
      </c>
      <c r="F16" s="288"/>
      <c r="G16" s="288"/>
      <c r="J16" s="438"/>
      <c r="K16" s="438">
        <f t="shared" si="0"/>
        <v>0</v>
      </c>
    </row>
    <row r="17" spans="1:11" ht="27.6" x14ac:dyDescent="0.3">
      <c r="A17" s="65">
        <f>A14+1</f>
        <v>8</v>
      </c>
      <c r="B17" s="66" t="s">
        <v>1071</v>
      </c>
      <c r="C17" s="65" t="s">
        <v>193</v>
      </c>
      <c r="D17" s="67">
        <v>0.39</v>
      </c>
      <c r="E17" s="171">
        <v>43412.110317359999</v>
      </c>
      <c r="F17" s="288">
        <f>ROUND(E17*D17,2)</f>
        <v>16930.72</v>
      </c>
      <c r="G17" s="288">
        <f t="shared" ref="G17:G23" si="5">ROUND(F17*1.2,2)</f>
        <v>20316.86</v>
      </c>
      <c r="H17" s="210"/>
      <c r="J17" s="438"/>
      <c r="K17" s="438">
        <f t="shared" si="0"/>
        <v>0</v>
      </c>
    </row>
    <row r="18" spans="1:11" ht="27.6" x14ac:dyDescent="0.3">
      <c r="A18" s="65">
        <f>A17+1</f>
        <v>9</v>
      </c>
      <c r="B18" s="66" t="s">
        <v>934</v>
      </c>
      <c r="C18" s="73" t="s">
        <v>431</v>
      </c>
      <c r="D18" s="67">
        <v>3.85</v>
      </c>
      <c r="E18" s="171">
        <v>217.397088</v>
      </c>
      <c r="F18" s="288">
        <f>ROUND(E18*D18,2)</f>
        <v>836.98</v>
      </c>
      <c r="G18" s="288">
        <f t="shared" si="5"/>
        <v>1004.38</v>
      </c>
      <c r="J18" s="438"/>
      <c r="K18" s="438">
        <f t="shared" si="0"/>
        <v>0</v>
      </c>
    </row>
    <row r="19" spans="1:11" ht="27.6" x14ac:dyDescent="0.3">
      <c r="A19" s="65">
        <f t="shared" ref="A19:A23" si="6">A18+1</f>
        <v>10</v>
      </c>
      <c r="B19" s="66" t="s">
        <v>935</v>
      </c>
      <c r="C19" s="65" t="s">
        <v>431</v>
      </c>
      <c r="D19" s="67">
        <v>3.85</v>
      </c>
      <c r="E19" s="171">
        <v>451.29919176000004</v>
      </c>
      <c r="F19" s="288">
        <f>ROUND(E19*D19,2)</f>
        <v>1737.5</v>
      </c>
      <c r="G19" s="288">
        <f t="shared" si="5"/>
        <v>2085</v>
      </c>
      <c r="J19" s="438"/>
      <c r="K19" s="438">
        <f t="shared" si="0"/>
        <v>0</v>
      </c>
    </row>
    <row r="20" spans="1:11" ht="21.75" customHeight="1" x14ac:dyDescent="0.3">
      <c r="A20" s="65"/>
      <c r="B20" s="72" t="s">
        <v>1017</v>
      </c>
      <c r="C20" s="65"/>
      <c r="D20" s="67"/>
      <c r="E20" s="171">
        <v>0</v>
      </c>
      <c r="F20" s="288"/>
      <c r="G20" s="288"/>
      <c r="J20" s="438"/>
      <c r="K20" s="438">
        <f t="shared" si="0"/>
        <v>0</v>
      </c>
    </row>
    <row r="21" spans="1:11" ht="27.6" x14ac:dyDescent="0.3">
      <c r="A21" s="65">
        <f>A17+1</f>
        <v>9</v>
      </c>
      <c r="B21" s="66" t="s">
        <v>936</v>
      </c>
      <c r="C21" s="65" t="s">
        <v>193</v>
      </c>
      <c r="D21" s="67">
        <v>0.35</v>
      </c>
      <c r="E21" s="171">
        <v>43412.110317359999</v>
      </c>
      <c r="F21" s="288">
        <f>ROUND(E21*D21,2)</f>
        <v>15194.24</v>
      </c>
      <c r="G21" s="288">
        <f t="shared" si="5"/>
        <v>18233.09</v>
      </c>
      <c r="J21" s="438"/>
      <c r="K21" s="438">
        <f t="shared" si="0"/>
        <v>0</v>
      </c>
    </row>
    <row r="22" spans="1:11" ht="27.6" x14ac:dyDescent="0.3">
      <c r="A22" s="65">
        <f>A21+1</f>
        <v>10</v>
      </c>
      <c r="B22" s="66" t="s">
        <v>934</v>
      </c>
      <c r="C22" s="73" t="s">
        <v>431</v>
      </c>
      <c r="D22" s="67">
        <v>3.5</v>
      </c>
      <c r="E22" s="171">
        <v>217.397088</v>
      </c>
      <c r="F22" s="288">
        <f>ROUND(E22*D22,2)</f>
        <v>760.89</v>
      </c>
      <c r="G22" s="288">
        <f t="shared" si="5"/>
        <v>913.07</v>
      </c>
      <c r="J22" s="438"/>
      <c r="K22" s="438">
        <f t="shared" si="0"/>
        <v>0</v>
      </c>
    </row>
    <row r="23" spans="1:11" ht="27.6" x14ac:dyDescent="0.3">
      <c r="A23" s="65">
        <f t="shared" si="6"/>
        <v>11</v>
      </c>
      <c r="B23" s="66" t="s">
        <v>935</v>
      </c>
      <c r="C23" s="65" t="s">
        <v>431</v>
      </c>
      <c r="D23" s="67">
        <v>3.5</v>
      </c>
      <c r="E23" s="171">
        <v>451.29919176000004</v>
      </c>
      <c r="F23" s="288">
        <f>ROUND(E23*D23,2)</f>
        <v>1579.55</v>
      </c>
      <c r="G23" s="288">
        <f t="shared" si="5"/>
        <v>1895.46</v>
      </c>
      <c r="J23" s="438"/>
      <c r="K23" s="438">
        <f t="shared" si="0"/>
        <v>0</v>
      </c>
    </row>
    <row r="24" spans="1:11" ht="19.5" customHeight="1" x14ac:dyDescent="0.3">
      <c r="A24" s="65"/>
      <c r="B24" s="61" t="s">
        <v>1355</v>
      </c>
      <c r="C24" s="65"/>
      <c r="D24" s="70"/>
      <c r="E24" s="171">
        <v>0</v>
      </c>
      <c r="F24" s="288"/>
      <c r="G24" s="288"/>
      <c r="J24" s="438"/>
      <c r="K24" s="438">
        <f t="shared" si="0"/>
        <v>0</v>
      </c>
    </row>
    <row r="25" spans="1:11" ht="22.5" customHeight="1" x14ac:dyDescent="0.3">
      <c r="A25" s="65">
        <f>A23+1</f>
        <v>12</v>
      </c>
      <c r="B25" s="66" t="s">
        <v>1356</v>
      </c>
      <c r="C25" s="65" t="s">
        <v>193</v>
      </c>
      <c r="D25" s="67">
        <v>3.23</v>
      </c>
      <c r="E25" s="171">
        <v>19512.132374879999</v>
      </c>
      <c r="F25" s="288">
        <f t="shared" ref="F25:F30" si="7">ROUND(E25*D25,2)</f>
        <v>63024.19</v>
      </c>
      <c r="G25" s="288">
        <f t="shared" ref="G25:G30" si="8">ROUND(F25*1.2,2)</f>
        <v>75629.03</v>
      </c>
      <c r="J25" s="438"/>
      <c r="K25" s="438">
        <f t="shared" si="0"/>
        <v>0</v>
      </c>
    </row>
    <row r="26" spans="1:11" ht="22.5" customHeight="1" x14ac:dyDescent="0.3">
      <c r="A26" s="65">
        <f>A25+1</f>
        <v>13</v>
      </c>
      <c r="B26" s="66" t="s">
        <v>1357</v>
      </c>
      <c r="C26" s="65" t="s">
        <v>193</v>
      </c>
      <c r="D26" s="67">
        <v>3.53</v>
      </c>
      <c r="E26" s="171">
        <v>19512.132374879999</v>
      </c>
      <c r="F26" s="288">
        <f t="shared" si="7"/>
        <v>68877.83</v>
      </c>
      <c r="G26" s="288">
        <f t="shared" si="8"/>
        <v>82653.399999999994</v>
      </c>
      <c r="J26" s="438"/>
      <c r="K26" s="438">
        <f t="shared" si="0"/>
        <v>0</v>
      </c>
    </row>
    <row r="27" spans="1:11" ht="27.6" x14ac:dyDescent="0.3">
      <c r="A27" s="65">
        <f>A26+1</f>
        <v>14</v>
      </c>
      <c r="B27" s="66" t="s">
        <v>1358</v>
      </c>
      <c r="C27" s="65" t="s">
        <v>193</v>
      </c>
      <c r="D27" s="67">
        <v>2.68</v>
      </c>
      <c r="E27" s="171">
        <v>9931.2567749999998</v>
      </c>
      <c r="F27" s="288">
        <f t="shared" si="7"/>
        <v>26615.77</v>
      </c>
      <c r="G27" s="288">
        <f t="shared" si="8"/>
        <v>31938.92</v>
      </c>
      <c r="J27" s="438"/>
      <c r="K27" s="438">
        <f t="shared" si="0"/>
        <v>0</v>
      </c>
    </row>
    <row r="28" spans="1:11" ht="27.6" x14ac:dyDescent="0.3">
      <c r="A28" s="65">
        <f t="shared" ref="A28:A30" si="9">A27+1</f>
        <v>15</v>
      </c>
      <c r="B28" s="66" t="s">
        <v>1359</v>
      </c>
      <c r="C28" s="65" t="s">
        <v>431</v>
      </c>
      <c r="D28" s="67">
        <v>53.3</v>
      </c>
      <c r="E28" s="171">
        <v>217.397088</v>
      </c>
      <c r="F28" s="288">
        <f t="shared" si="7"/>
        <v>11587.26</v>
      </c>
      <c r="G28" s="288">
        <f t="shared" si="8"/>
        <v>13904.71</v>
      </c>
      <c r="J28" s="438"/>
      <c r="K28" s="438">
        <f t="shared" si="0"/>
        <v>0</v>
      </c>
    </row>
    <row r="29" spans="1:11" ht="27.6" x14ac:dyDescent="0.3">
      <c r="A29" s="65">
        <f t="shared" si="9"/>
        <v>16</v>
      </c>
      <c r="B29" s="66" t="s">
        <v>1360</v>
      </c>
      <c r="C29" s="65" t="s">
        <v>431</v>
      </c>
      <c r="D29" s="67">
        <v>53.3</v>
      </c>
      <c r="E29" s="171">
        <v>451.29919176000004</v>
      </c>
      <c r="F29" s="288">
        <f t="shared" si="7"/>
        <v>24054.25</v>
      </c>
      <c r="G29" s="288">
        <f t="shared" si="8"/>
        <v>28865.1</v>
      </c>
      <c r="J29" s="438"/>
      <c r="K29" s="438">
        <f t="shared" si="0"/>
        <v>0</v>
      </c>
    </row>
    <row r="30" spans="1:11" ht="20.25" customHeight="1" x14ac:dyDescent="0.3">
      <c r="A30" s="65">
        <f t="shared" si="9"/>
        <v>17</v>
      </c>
      <c r="B30" s="66" t="s">
        <v>1361</v>
      </c>
      <c r="C30" s="65" t="s">
        <v>194</v>
      </c>
      <c r="D30" s="70">
        <v>34</v>
      </c>
      <c r="E30" s="171">
        <v>9930.1840919999995</v>
      </c>
      <c r="F30" s="288">
        <f t="shared" si="7"/>
        <v>337626.26</v>
      </c>
      <c r="G30" s="288">
        <f t="shared" si="8"/>
        <v>405151.51</v>
      </c>
      <c r="H30" s="270"/>
      <c r="J30" s="438"/>
      <c r="K30" s="438">
        <f t="shared" si="0"/>
        <v>0</v>
      </c>
    </row>
    <row r="31" spans="1:11" ht="20.25" customHeight="1" x14ac:dyDescent="0.3">
      <c r="A31" s="65"/>
      <c r="B31" s="61" t="s">
        <v>1362</v>
      </c>
      <c r="C31" s="65"/>
      <c r="D31" s="70"/>
      <c r="E31" s="171">
        <v>0</v>
      </c>
      <c r="F31" s="288"/>
      <c r="G31" s="288"/>
      <c r="J31" s="438"/>
      <c r="K31" s="438">
        <f t="shared" si="0"/>
        <v>0</v>
      </c>
    </row>
    <row r="32" spans="1:11" ht="20.25" customHeight="1" x14ac:dyDescent="0.3">
      <c r="A32" s="65">
        <f>A30+1</f>
        <v>18</v>
      </c>
      <c r="B32" s="66" t="s">
        <v>1363</v>
      </c>
      <c r="C32" s="65" t="s">
        <v>193</v>
      </c>
      <c r="D32" s="71">
        <v>0.3</v>
      </c>
      <c r="E32" s="171">
        <v>19512.132374879999</v>
      </c>
      <c r="F32" s="288">
        <f>ROUND(E32*D32,2)</f>
        <v>5853.64</v>
      </c>
      <c r="G32" s="288">
        <f t="shared" ref="G32:G33" si="10">ROUND(F32*1.2,2)</f>
        <v>7024.37</v>
      </c>
      <c r="J32" s="438"/>
      <c r="K32" s="438">
        <f t="shared" si="0"/>
        <v>0</v>
      </c>
    </row>
    <row r="33" spans="1:11" ht="20.25" customHeight="1" x14ac:dyDescent="0.3">
      <c r="A33" s="65">
        <f>A32+1</f>
        <v>19</v>
      </c>
      <c r="B33" s="66" t="s">
        <v>1364</v>
      </c>
      <c r="C33" s="65" t="s">
        <v>178</v>
      </c>
      <c r="D33" s="70">
        <v>4</v>
      </c>
      <c r="E33" s="171">
        <v>9518.2738200000003</v>
      </c>
      <c r="F33" s="288">
        <f>ROUND(E33*D33,2)</f>
        <v>38073.1</v>
      </c>
      <c r="G33" s="288">
        <f t="shared" si="10"/>
        <v>45687.72</v>
      </c>
      <c r="J33" s="438"/>
      <c r="K33" s="438">
        <f t="shared" si="0"/>
        <v>0</v>
      </c>
    </row>
    <row r="34" spans="1:11" ht="20.25" customHeight="1" x14ac:dyDescent="0.3">
      <c r="A34" s="65"/>
      <c r="B34" s="61" t="s">
        <v>1365</v>
      </c>
      <c r="C34" s="65"/>
      <c r="D34" s="70"/>
      <c r="E34" s="171">
        <v>0</v>
      </c>
      <c r="F34" s="288"/>
      <c r="G34" s="288"/>
      <c r="J34" s="438"/>
      <c r="K34" s="438">
        <f t="shared" si="0"/>
        <v>0</v>
      </c>
    </row>
    <row r="35" spans="1:11" ht="20.25" customHeight="1" x14ac:dyDescent="0.3">
      <c r="A35" s="65"/>
      <c r="B35" s="72" t="s">
        <v>513</v>
      </c>
      <c r="C35" s="65"/>
      <c r="D35" s="70"/>
      <c r="E35" s="171">
        <v>0</v>
      </c>
      <c r="F35" s="288"/>
      <c r="G35" s="288"/>
      <c r="J35" s="438"/>
      <c r="K35" s="438">
        <f t="shared" si="0"/>
        <v>0</v>
      </c>
    </row>
    <row r="36" spans="1:11" ht="20.25" customHeight="1" x14ac:dyDescent="0.3">
      <c r="A36" s="65">
        <f>A33+1</f>
        <v>20</v>
      </c>
      <c r="B36" s="66" t="s">
        <v>1366</v>
      </c>
      <c r="C36" s="65" t="s">
        <v>193</v>
      </c>
      <c r="D36" s="71">
        <v>2.5</v>
      </c>
      <c r="E36" s="171">
        <v>2541.5435879999995</v>
      </c>
      <c r="F36" s="288">
        <f t="shared" ref="F36:F47" si="11">ROUND(E36*D36,2)</f>
        <v>6353.86</v>
      </c>
      <c r="G36" s="288">
        <f t="shared" ref="G36:G47" si="12">ROUND(F36*1.2,2)</f>
        <v>7624.63</v>
      </c>
      <c r="J36" s="438"/>
      <c r="K36" s="438">
        <f t="shared" si="0"/>
        <v>0</v>
      </c>
    </row>
    <row r="37" spans="1:11" ht="20.25" customHeight="1" x14ac:dyDescent="0.3">
      <c r="A37" s="65">
        <f>A36+1</f>
        <v>21</v>
      </c>
      <c r="B37" s="66" t="s">
        <v>1367</v>
      </c>
      <c r="C37" s="65" t="s">
        <v>193</v>
      </c>
      <c r="D37" s="67">
        <v>2.1800000000000002</v>
      </c>
      <c r="E37" s="171">
        <v>1285.789356</v>
      </c>
      <c r="F37" s="288">
        <f t="shared" si="11"/>
        <v>2803.02</v>
      </c>
      <c r="G37" s="288">
        <f t="shared" si="12"/>
        <v>3363.62</v>
      </c>
      <c r="J37" s="438"/>
      <c r="K37" s="438">
        <f t="shared" si="0"/>
        <v>0</v>
      </c>
    </row>
    <row r="38" spans="1:11" s="52" customFormat="1" ht="15.6" x14ac:dyDescent="0.3">
      <c r="A38" s="65">
        <f t="shared" ref="A38:A47" si="13">A37+1</f>
        <v>22</v>
      </c>
      <c r="B38" s="66" t="s">
        <v>518</v>
      </c>
      <c r="C38" s="65" t="s">
        <v>239</v>
      </c>
      <c r="D38" s="71">
        <v>0.5</v>
      </c>
      <c r="E38" s="171">
        <v>464.82929999999999</v>
      </c>
      <c r="F38" s="288">
        <f t="shared" si="11"/>
        <v>232.41</v>
      </c>
      <c r="G38" s="288">
        <f t="shared" si="12"/>
        <v>278.89</v>
      </c>
      <c r="J38" s="438"/>
      <c r="K38" s="438">
        <f t="shared" si="0"/>
        <v>0</v>
      </c>
    </row>
    <row r="39" spans="1:11" s="52" customFormat="1" ht="15.6" x14ac:dyDescent="0.3">
      <c r="A39" s="453">
        <f t="shared" si="13"/>
        <v>23</v>
      </c>
      <c r="B39" s="66" t="s">
        <v>503</v>
      </c>
      <c r="C39" s="65" t="s">
        <v>239</v>
      </c>
      <c r="D39" s="71">
        <v>0.5</v>
      </c>
      <c r="E39" s="171">
        <f>'искл-свод'!B2</f>
        <v>1361.6</v>
      </c>
      <c r="F39" s="288">
        <f t="shared" si="11"/>
        <v>680.8</v>
      </c>
      <c r="G39" s="288">
        <f t="shared" si="12"/>
        <v>816.96</v>
      </c>
      <c r="J39" s="438"/>
      <c r="K39" s="438">
        <f t="shared" si="0"/>
        <v>0</v>
      </c>
    </row>
    <row r="40" spans="1:11" ht="20.25" customHeight="1" x14ac:dyDescent="0.3">
      <c r="A40" s="65">
        <f t="shared" si="13"/>
        <v>24</v>
      </c>
      <c r="B40" s="66" t="s">
        <v>1368</v>
      </c>
      <c r="C40" s="65" t="s">
        <v>254</v>
      </c>
      <c r="D40" s="67">
        <v>232.2</v>
      </c>
      <c r="E40" s="171">
        <v>92.085046511627908</v>
      </c>
      <c r="F40" s="288">
        <f t="shared" si="11"/>
        <v>21382.15</v>
      </c>
      <c r="G40" s="288">
        <f t="shared" si="12"/>
        <v>25658.58</v>
      </c>
      <c r="J40" s="438"/>
      <c r="K40" s="438">
        <f t="shared" si="0"/>
        <v>0</v>
      </c>
    </row>
    <row r="41" spans="1:11" ht="20.25" customHeight="1" x14ac:dyDescent="0.3">
      <c r="A41" s="65">
        <f t="shared" si="13"/>
        <v>25</v>
      </c>
      <c r="B41" s="66" t="s">
        <v>1369</v>
      </c>
      <c r="C41" s="65" t="s">
        <v>254</v>
      </c>
      <c r="D41" s="67">
        <v>5.3</v>
      </c>
      <c r="E41" s="171">
        <v>184.17009302325582</v>
      </c>
      <c r="F41" s="288">
        <f t="shared" si="11"/>
        <v>976.1</v>
      </c>
      <c r="G41" s="288">
        <f t="shared" si="12"/>
        <v>1171.32</v>
      </c>
      <c r="J41" s="438"/>
      <c r="K41" s="438">
        <f t="shared" si="0"/>
        <v>0</v>
      </c>
    </row>
    <row r="42" spans="1:11" ht="20.25" customHeight="1" x14ac:dyDescent="0.3">
      <c r="A42" s="65">
        <f t="shared" si="13"/>
        <v>26</v>
      </c>
      <c r="B42" s="66" t="s">
        <v>1370</v>
      </c>
      <c r="C42" s="65" t="s">
        <v>193</v>
      </c>
      <c r="D42" s="67">
        <v>0.35</v>
      </c>
      <c r="E42" s="171">
        <v>9929.9797714285723</v>
      </c>
      <c r="F42" s="288">
        <f t="shared" si="11"/>
        <v>3475.49</v>
      </c>
      <c r="G42" s="288">
        <f t="shared" si="12"/>
        <v>4170.59</v>
      </c>
      <c r="J42" s="438"/>
      <c r="K42" s="438">
        <f t="shared" si="0"/>
        <v>0</v>
      </c>
    </row>
    <row r="43" spans="1:11" ht="20.25" customHeight="1" x14ac:dyDescent="0.3">
      <c r="A43" s="65">
        <f t="shared" si="13"/>
        <v>27</v>
      </c>
      <c r="B43" s="66" t="s">
        <v>1621</v>
      </c>
      <c r="C43" s="65" t="s">
        <v>220</v>
      </c>
      <c r="D43" s="70">
        <v>2</v>
      </c>
      <c r="E43" s="171">
        <v>1301.5220400000001</v>
      </c>
      <c r="F43" s="288">
        <f t="shared" si="11"/>
        <v>2603.04</v>
      </c>
      <c r="G43" s="288">
        <f t="shared" si="12"/>
        <v>3123.65</v>
      </c>
      <c r="J43" s="438"/>
      <c r="K43" s="438">
        <f t="shared" si="0"/>
        <v>0</v>
      </c>
    </row>
    <row r="44" spans="1:11" ht="27.6" x14ac:dyDescent="0.3">
      <c r="A44" s="65">
        <f t="shared" si="13"/>
        <v>28</v>
      </c>
      <c r="B44" s="66" t="s">
        <v>547</v>
      </c>
      <c r="C44" s="65" t="s">
        <v>431</v>
      </c>
      <c r="D44" s="70">
        <v>6</v>
      </c>
      <c r="E44" s="171">
        <v>260.30440800000002</v>
      </c>
      <c r="F44" s="288">
        <f t="shared" si="11"/>
        <v>1561.83</v>
      </c>
      <c r="G44" s="288">
        <f t="shared" si="12"/>
        <v>1874.2</v>
      </c>
      <c r="J44" s="438"/>
      <c r="K44" s="438">
        <f t="shared" si="0"/>
        <v>0</v>
      </c>
    </row>
    <row r="45" spans="1:11" ht="15.6" x14ac:dyDescent="0.3">
      <c r="A45" s="65">
        <f t="shared" si="13"/>
        <v>29</v>
      </c>
      <c r="B45" s="66" t="s">
        <v>548</v>
      </c>
      <c r="C45" s="65" t="s">
        <v>431</v>
      </c>
      <c r="D45" s="70">
        <v>6</v>
      </c>
      <c r="E45" s="171">
        <v>260.30440800000002</v>
      </c>
      <c r="F45" s="288">
        <f t="shared" si="11"/>
        <v>1561.83</v>
      </c>
      <c r="G45" s="288">
        <f t="shared" si="12"/>
        <v>1874.2</v>
      </c>
      <c r="J45" s="438"/>
      <c r="K45" s="438">
        <f t="shared" si="0"/>
        <v>0</v>
      </c>
    </row>
    <row r="46" spans="1:11" ht="27.6" x14ac:dyDescent="0.3">
      <c r="A46" s="65">
        <f t="shared" si="13"/>
        <v>30</v>
      </c>
      <c r="B46" s="66" t="s">
        <v>934</v>
      </c>
      <c r="C46" s="65" t="s">
        <v>431</v>
      </c>
      <c r="D46" s="67">
        <v>1.5</v>
      </c>
      <c r="E46" s="171">
        <v>217.397088</v>
      </c>
      <c r="F46" s="288">
        <f t="shared" si="11"/>
        <v>326.10000000000002</v>
      </c>
      <c r="G46" s="288">
        <f t="shared" si="12"/>
        <v>391.32</v>
      </c>
      <c r="J46" s="438"/>
      <c r="K46" s="438">
        <f t="shared" si="0"/>
        <v>0</v>
      </c>
    </row>
    <row r="47" spans="1:11" ht="27.6" x14ac:dyDescent="0.3">
      <c r="A47" s="65">
        <f t="shared" si="13"/>
        <v>31</v>
      </c>
      <c r="B47" s="66" t="s">
        <v>935</v>
      </c>
      <c r="C47" s="65" t="s">
        <v>431</v>
      </c>
      <c r="D47" s="67">
        <v>1.5</v>
      </c>
      <c r="E47" s="171">
        <v>451.29919176000004</v>
      </c>
      <c r="F47" s="288">
        <f t="shared" si="11"/>
        <v>676.95</v>
      </c>
      <c r="G47" s="288">
        <f t="shared" si="12"/>
        <v>812.34</v>
      </c>
      <c r="J47" s="438"/>
      <c r="K47" s="438">
        <f t="shared" si="0"/>
        <v>0</v>
      </c>
    </row>
    <row r="48" spans="1:11" ht="20.25" customHeight="1" x14ac:dyDescent="0.3">
      <c r="A48" s="65"/>
      <c r="B48" s="72" t="s">
        <v>1371</v>
      </c>
      <c r="C48" s="65"/>
      <c r="D48" s="70"/>
      <c r="E48" s="171">
        <v>0</v>
      </c>
      <c r="F48" s="288"/>
      <c r="G48" s="288"/>
      <c r="J48" s="438"/>
      <c r="K48" s="438">
        <f t="shared" si="0"/>
        <v>0</v>
      </c>
    </row>
    <row r="49" spans="1:11" ht="20.25" customHeight="1" x14ac:dyDescent="0.3">
      <c r="A49" s="65">
        <f>A47+1</f>
        <v>32</v>
      </c>
      <c r="B49" s="66" t="s">
        <v>1372</v>
      </c>
      <c r="C49" s="65" t="s">
        <v>194</v>
      </c>
      <c r="D49" s="71">
        <v>15</v>
      </c>
      <c r="E49" s="171">
        <v>1520.3493719999999</v>
      </c>
      <c r="F49" s="288">
        <f t="shared" ref="F49:F58" si="14">ROUND(E49*D49,2)</f>
        <v>22805.24</v>
      </c>
      <c r="G49" s="288">
        <f t="shared" ref="G49:G58" si="15">ROUND(F49*1.2,2)</f>
        <v>27366.29</v>
      </c>
      <c r="J49" s="438"/>
      <c r="K49" s="438">
        <f t="shared" si="0"/>
        <v>0</v>
      </c>
    </row>
    <row r="50" spans="1:11" ht="20.25" customHeight="1" x14ac:dyDescent="0.3">
      <c r="A50" s="65">
        <f>A49+1</f>
        <v>33</v>
      </c>
      <c r="B50" s="66" t="s">
        <v>1373</v>
      </c>
      <c r="C50" s="65" t="s">
        <v>194</v>
      </c>
      <c r="D50" s="70">
        <f>57.2-15</f>
        <v>42.2</v>
      </c>
      <c r="E50" s="171">
        <v>1577.5591319999999</v>
      </c>
      <c r="F50" s="288">
        <f t="shared" si="14"/>
        <v>66573</v>
      </c>
      <c r="G50" s="288">
        <f t="shared" si="15"/>
        <v>79887.600000000006</v>
      </c>
      <c r="J50" s="438"/>
      <c r="K50" s="438">
        <f t="shared" si="0"/>
        <v>0</v>
      </c>
    </row>
    <row r="51" spans="1:11" ht="20.25" customHeight="1" x14ac:dyDescent="0.3">
      <c r="A51" s="65">
        <f t="shared" ref="A51:A58" si="16">A50+1</f>
        <v>34</v>
      </c>
      <c r="B51" s="66" t="s">
        <v>1374</v>
      </c>
      <c r="C51" s="65" t="s">
        <v>220</v>
      </c>
      <c r="D51" s="70">
        <v>9</v>
      </c>
      <c r="E51" s="171">
        <v>6217.2706679999992</v>
      </c>
      <c r="F51" s="288">
        <f t="shared" si="14"/>
        <v>55955.44</v>
      </c>
      <c r="G51" s="288">
        <f t="shared" si="15"/>
        <v>67146.53</v>
      </c>
      <c r="J51" s="438"/>
      <c r="K51" s="438">
        <f t="shared" si="0"/>
        <v>0</v>
      </c>
    </row>
    <row r="52" spans="1:11" ht="15.6" x14ac:dyDescent="0.3">
      <c r="A52" s="65">
        <f t="shared" si="16"/>
        <v>35</v>
      </c>
      <c r="B52" s="230" t="s">
        <v>1375</v>
      </c>
      <c r="C52" s="65" t="s">
        <v>220</v>
      </c>
      <c r="D52" s="70">
        <v>28</v>
      </c>
      <c r="E52" s="171">
        <v>1870.7591519999999</v>
      </c>
      <c r="F52" s="288">
        <f t="shared" si="14"/>
        <v>52381.26</v>
      </c>
      <c r="G52" s="288">
        <f t="shared" si="15"/>
        <v>62857.51</v>
      </c>
      <c r="H52" s="229"/>
      <c r="J52" s="438"/>
      <c r="K52" s="438">
        <f t="shared" si="0"/>
        <v>0</v>
      </c>
    </row>
    <row r="53" spans="1:11" ht="15.6" x14ac:dyDescent="0.3">
      <c r="A53" s="65">
        <f t="shared" si="16"/>
        <v>36</v>
      </c>
      <c r="B53" s="66" t="s">
        <v>1376</v>
      </c>
      <c r="C53" s="65" t="s">
        <v>220</v>
      </c>
      <c r="D53" s="70">
        <v>28</v>
      </c>
      <c r="E53" s="171">
        <v>15415.169832</v>
      </c>
      <c r="F53" s="288">
        <f t="shared" si="14"/>
        <v>431624.76</v>
      </c>
      <c r="G53" s="288">
        <f t="shared" si="15"/>
        <v>517949.71</v>
      </c>
      <c r="H53"/>
      <c r="J53" s="438"/>
      <c r="K53" s="438">
        <f t="shared" si="0"/>
        <v>0</v>
      </c>
    </row>
    <row r="54" spans="1:11" ht="15.6" x14ac:dyDescent="0.3">
      <c r="A54" s="65">
        <f t="shared" si="16"/>
        <v>37</v>
      </c>
      <c r="B54" s="66" t="s">
        <v>1377</v>
      </c>
      <c r="C54" s="65" t="s">
        <v>431</v>
      </c>
      <c r="D54" s="67">
        <v>3.9</v>
      </c>
      <c r="E54" s="171">
        <v>260.30440800000002</v>
      </c>
      <c r="F54" s="288">
        <f t="shared" si="14"/>
        <v>1015.19</v>
      </c>
      <c r="G54" s="288">
        <f t="shared" si="15"/>
        <v>1218.23</v>
      </c>
      <c r="H54"/>
      <c r="J54" s="438"/>
      <c r="K54" s="438">
        <f t="shared" si="0"/>
        <v>0</v>
      </c>
    </row>
    <row r="55" spans="1:11" ht="15.6" x14ac:dyDescent="0.3">
      <c r="A55" s="65">
        <f t="shared" si="16"/>
        <v>38</v>
      </c>
      <c r="B55" s="66" t="s">
        <v>1378</v>
      </c>
      <c r="C55" s="65" t="s">
        <v>220</v>
      </c>
      <c r="D55" s="70">
        <v>2</v>
      </c>
      <c r="E55" s="171">
        <v>37997.292347999995</v>
      </c>
      <c r="F55" s="288">
        <f t="shared" si="14"/>
        <v>75994.58</v>
      </c>
      <c r="G55" s="288">
        <f t="shared" si="15"/>
        <v>91193.5</v>
      </c>
      <c r="H55"/>
      <c r="J55" s="438"/>
      <c r="K55" s="438">
        <f t="shared" si="0"/>
        <v>0</v>
      </c>
    </row>
    <row r="56" spans="1:11" ht="15.6" x14ac:dyDescent="0.3">
      <c r="A56" s="65">
        <f t="shared" si="16"/>
        <v>39</v>
      </c>
      <c r="B56" s="66" t="s">
        <v>1379</v>
      </c>
      <c r="C56" s="65" t="s">
        <v>220</v>
      </c>
      <c r="D56" s="70">
        <v>4</v>
      </c>
      <c r="E56" s="171">
        <v>11645.046648</v>
      </c>
      <c r="F56" s="288">
        <f t="shared" si="14"/>
        <v>46580.19</v>
      </c>
      <c r="G56" s="288">
        <f t="shared" si="15"/>
        <v>55896.23</v>
      </c>
      <c r="H56"/>
      <c r="J56" s="438"/>
      <c r="K56" s="438">
        <f t="shared" si="0"/>
        <v>0</v>
      </c>
    </row>
    <row r="57" spans="1:11" ht="15.6" x14ac:dyDescent="0.3">
      <c r="A57" s="65">
        <f t="shared" si="16"/>
        <v>40</v>
      </c>
      <c r="B57" s="66" t="s">
        <v>1380</v>
      </c>
      <c r="C57" s="65" t="s">
        <v>220</v>
      </c>
      <c r="D57" s="70">
        <v>4</v>
      </c>
      <c r="E57" s="171">
        <v>6860.8804679999994</v>
      </c>
      <c r="F57" s="288">
        <f t="shared" si="14"/>
        <v>27443.52</v>
      </c>
      <c r="G57" s="288">
        <f t="shared" si="15"/>
        <v>32932.22</v>
      </c>
      <c r="H57"/>
      <c r="J57" s="438"/>
      <c r="K57" s="438">
        <f t="shared" si="0"/>
        <v>0</v>
      </c>
    </row>
    <row r="58" spans="1:11" ht="15.6" x14ac:dyDescent="0.3">
      <c r="A58" s="65">
        <f t="shared" si="16"/>
        <v>41</v>
      </c>
      <c r="B58" s="66" t="s">
        <v>1381</v>
      </c>
      <c r="C58" s="65" t="s">
        <v>220</v>
      </c>
      <c r="D58" s="70">
        <v>4</v>
      </c>
      <c r="E58" s="171">
        <v>1853.5962240000001</v>
      </c>
      <c r="F58" s="288">
        <f t="shared" si="14"/>
        <v>7414.38</v>
      </c>
      <c r="G58" s="288">
        <f t="shared" si="15"/>
        <v>8897.26</v>
      </c>
      <c r="H58"/>
      <c r="J58" s="438"/>
      <c r="K58" s="438">
        <f t="shared" si="0"/>
        <v>0</v>
      </c>
    </row>
    <row r="59" spans="1:11" ht="23.25" customHeight="1" x14ac:dyDescent="0.3">
      <c r="A59" s="65"/>
      <c r="B59" s="72" t="s">
        <v>1382</v>
      </c>
      <c r="C59" s="65"/>
      <c r="D59" s="67"/>
      <c r="E59" s="171">
        <v>0</v>
      </c>
      <c r="F59" s="288"/>
      <c r="G59" s="288"/>
      <c r="H59"/>
      <c r="J59" s="438"/>
      <c r="K59" s="438">
        <f t="shared" si="0"/>
        <v>0</v>
      </c>
    </row>
    <row r="60" spans="1:11" ht="27.6" x14ac:dyDescent="0.3">
      <c r="A60" s="65">
        <f>A58+1</f>
        <v>42</v>
      </c>
      <c r="B60" s="66" t="s">
        <v>1383</v>
      </c>
      <c r="C60" s="65" t="s">
        <v>220</v>
      </c>
      <c r="D60" s="70">
        <v>1</v>
      </c>
      <c r="E60" s="171">
        <v>32479.410995999999</v>
      </c>
      <c r="F60" s="288">
        <f t="shared" ref="F60:F73" si="17">ROUND(E60*D60,2)</f>
        <v>32479.41</v>
      </c>
      <c r="G60" s="288">
        <f t="shared" ref="G60:G73" si="18">ROUND(F60*1.2,2)</f>
        <v>38975.29</v>
      </c>
      <c r="H60"/>
      <c r="J60" s="438"/>
      <c r="K60" s="438">
        <f t="shared" si="0"/>
        <v>0</v>
      </c>
    </row>
    <row r="61" spans="1:11" ht="15.6" x14ac:dyDescent="0.3">
      <c r="A61" s="65">
        <f>A60+1</f>
        <v>43</v>
      </c>
      <c r="B61" s="66" t="s">
        <v>1384</v>
      </c>
      <c r="C61" s="65" t="s">
        <v>194</v>
      </c>
      <c r="D61" s="67">
        <v>1.29</v>
      </c>
      <c r="E61" s="171">
        <v>1520.3493719999999</v>
      </c>
      <c r="F61" s="288">
        <f t="shared" si="17"/>
        <v>1961.25</v>
      </c>
      <c r="G61" s="288">
        <f t="shared" si="18"/>
        <v>2353.5</v>
      </c>
      <c r="H61"/>
      <c r="J61" s="438"/>
      <c r="K61" s="438">
        <f t="shared" si="0"/>
        <v>0</v>
      </c>
    </row>
    <row r="62" spans="1:11" ht="15.6" x14ac:dyDescent="0.3">
      <c r="A62" s="65">
        <f t="shared" ref="A62:A73" si="19">A61+1</f>
        <v>44</v>
      </c>
      <c r="B62" s="66" t="s">
        <v>1385</v>
      </c>
      <c r="C62" s="65" t="s">
        <v>194</v>
      </c>
      <c r="D62" s="67">
        <v>1.39</v>
      </c>
      <c r="E62" s="171">
        <v>1313.1070164</v>
      </c>
      <c r="F62" s="288">
        <f t="shared" si="17"/>
        <v>1825.22</v>
      </c>
      <c r="G62" s="288">
        <f t="shared" si="18"/>
        <v>2190.2600000000002</v>
      </c>
      <c r="H62"/>
      <c r="J62" s="438"/>
      <c r="K62" s="438">
        <f t="shared" si="0"/>
        <v>0</v>
      </c>
    </row>
    <row r="63" spans="1:11" ht="15.6" x14ac:dyDescent="0.3">
      <c r="A63" s="65">
        <f t="shared" si="19"/>
        <v>45</v>
      </c>
      <c r="B63" s="66" t="s">
        <v>1386</v>
      </c>
      <c r="C63" s="65" t="s">
        <v>220</v>
      </c>
      <c r="D63" s="70">
        <v>1</v>
      </c>
      <c r="E63" s="171">
        <v>4871.4110639999999</v>
      </c>
      <c r="F63" s="288">
        <f t="shared" si="17"/>
        <v>4871.41</v>
      </c>
      <c r="G63" s="288">
        <f t="shared" si="18"/>
        <v>5845.69</v>
      </c>
      <c r="H63"/>
      <c r="J63" s="438"/>
      <c r="K63" s="438">
        <f t="shared" si="0"/>
        <v>0</v>
      </c>
    </row>
    <row r="64" spans="1:11" ht="15.6" x14ac:dyDescent="0.3">
      <c r="A64" s="65">
        <f t="shared" si="19"/>
        <v>46</v>
      </c>
      <c r="B64" s="66" t="s">
        <v>1387</v>
      </c>
      <c r="C64" s="65" t="s">
        <v>220</v>
      </c>
      <c r="D64" s="70">
        <v>1</v>
      </c>
      <c r="E64" s="171">
        <v>393.86059272</v>
      </c>
      <c r="F64" s="288">
        <f t="shared" si="17"/>
        <v>393.86</v>
      </c>
      <c r="G64" s="288">
        <f t="shared" si="18"/>
        <v>472.63</v>
      </c>
      <c r="H64"/>
      <c r="J64" s="438"/>
      <c r="K64" s="438">
        <f t="shared" si="0"/>
        <v>0</v>
      </c>
    </row>
    <row r="65" spans="1:11" ht="27.6" x14ac:dyDescent="0.3">
      <c r="A65" s="65">
        <f t="shared" si="19"/>
        <v>47</v>
      </c>
      <c r="B65" s="66" t="s">
        <v>1388</v>
      </c>
      <c r="C65" s="65" t="s">
        <v>220</v>
      </c>
      <c r="D65" s="70">
        <v>1</v>
      </c>
      <c r="E65" s="171">
        <v>32479.410995999999</v>
      </c>
      <c r="F65" s="288">
        <f t="shared" si="17"/>
        <v>32479.41</v>
      </c>
      <c r="G65" s="288">
        <f t="shared" si="18"/>
        <v>38975.29</v>
      </c>
      <c r="H65"/>
      <c r="J65" s="438"/>
      <c r="K65" s="438">
        <f t="shared" si="0"/>
        <v>0</v>
      </c>
    </row>
    <row r="66" spans="1:11" ht="15.6" x14ac:dyDescent="0.3">
      <c r="A66" s="65">
        <f t="shared" si="19"/>
        <v>48</v>
      </c>
      <c r="B66" s="66" t="s">
        <v>1389</v>
      </c>
      <c r="C66" s="65" t="s">
        <v>194</v>
      </c>
      <c r="D66" s="67">
        <v>1.29</v>
      </c>
      <c r="E66" s="171">
        <v>1520.3493719999999</v>
      </c>
      <c r="F66" s="288">
        <f t="shared" si="17"/>
        <v>1961.25</v>
      </c>
      <c r="G66" s="288">
        <f t="shared" si="18"/>
        <v>2353.5</v>
      </c>
      <c r="H66"/>
      <c r="J66" s="438"/>
      <c r="K66" s="438">
        <f t="shared" si="0"/>
        <v>0</v>
      </c>
    </row>
    <row r="67" spans="1:11" ht="15.6" x14ac:dyDescent="0.3">
      <c r="A67" s="65">
        <f t="shared" si="19"/>
        <v>49</v>
      </c>
      <c r="B67" s="66" t="s">
        <v>1390</v>
      </c>
      <c r="C67" s="65" t="s">
        <v>194</v>
      </c>
      <c r="D67" s="67">
        <v>1.07</v>
      </c>
      <c r="E67" s="171">
        <v>1313.1070164</v>
      </c>
      <c r="F67" s="288">
        <f t="shared" si="17"/>
        <v>1405.02</v>
      </c>
      <c r="G67" s="288">
        <f t="shared" si="18"/>
        <v>1686.02</v>
      </c>
      <c r="H67"/>
      <c r="J67" s="438"/>
      <c r="K67" s="438">
        <f t="shared" si="0"/>
        <v>0</v>
      </c>
    </row>
    <row r="68" spans="1:11" ht="15.6" x14ac:dyDescent="0.3">
      <c r="A68" s="65">
        <f t="shared" si="19"/>
        <v>50</v>
      </c>
      <c r="B68" s="66" t="s">
        <v>1386</v>
      </c>
      <c r="C68" s="65" t="s">
        <v>220</v>
      </c>
      <c r="D68" s="70">
        <v>1</v>
      </c>
      <c r="E68" s="171">
        <v>4871.4110639999999</v>
      </c>
      <c r="F68" s="288">
        <f t="shared" si="17"/>
        <v>4871.41</v>
      </c>
      <c r="G68" s="288">
        <f t="shared" si="18"/>
        <v>5845.69</v>
      </c>
      <c r="H68"/>
      <c r="J68" s="438"/>
      <c r="K68" s="438">
        <f t="shared" si="0"/>
        <v>0</v>
      </c>
    </row>
    <row r="69" spans="1:11" ht="15.6" x14ac:dyDescent="0.3">
      <c r="A69" s="65">
        <f t="shared" si="19"/>
        <v>51</v>
      </c>
      <c r="B69" s="66" t="s">
        <v>1387</v>
      </c>
      <c r="C69" s="65" t="s">
        <v>220</v>
      </c>
      <c r="D69" s="70">
        <v>1</v>
      </c>
      <c r="E69" s="171">
        <v>393.86059272</v>
      </c>
      <c r="F69" s="288">
        <f t="shared" si="17"/>
        <v>393.86</v>
      </c>
      <c r="G69" s="288">
        <f t="shared" si="18"/>
        <v>472.63</v>
      </c>
      <c r="H69"/>
      <c r="J69" s="438"/>
      <c r="K69" s="438">
        <f t="shared" si="0"/>
        <v>0</v>
      </c>
    </row>
    <row r="70" spans="1:11" ht="27.6" x14ac:dyDescent="0.3">
      <c r="A70" s="65">
        <f t="shared" si="19"/>
        <v>52</v>
      </c>
      <c r="B70" s="66" t="s">
        <v>1391</v>
      </c>
      <c r="C70" s="65" t="s">
        <v>220</v>
      </c>
      <c r="D70" s="70">
        <v>2</v>
      </c>
      <c r="E70" s="171">
        <v>6860.8804679999994</v>
      </c>
      <c r="F70" s="288">
        <f t="shared" si="17"/>
        <v>13721.76</v>
      </c>
      <c r="G70" s="288">
        <f t="shared" si="18"/>
        <v>16466.11</v>
      </c>
      <c r="H70"/>
      <c r="J70" s="438"/>
      <c r="K70" s="438">
        <f t="shared" ref="K70:K86" si="20">E70*J70*1.2</f>
        <v>0</v>
      </c>
    </row>
    <row r="71" spans="1:11" ht="27.6" x14ac:dyDescent="0.3">
      <c r="A71" s="65">
        <f t="shared" si="19"/>
        <v>53</v>
      </c>
      <c r="B71" s="66" t="s">
        <v>1392</v>
      </c>
      <c r="C71" s="65" t="s">
        <v>220</v>
      </c>
      <c r="D71" s="70">
        <v>2</v>
      </c>
      <c r="E71" s="171">
        <v>1516.05864</v>
      </c>
      <c r="F71" s="288">
        <f t="shared" si="17"/>
        <v>3032.12</v>
      </c>
      <c r="G71" s="288">
        <f t="shared" si="18"/>
        <v>3638.54</v>
      </c>
      <c r="H71"/>
      <c r="J71" s="438"/>
      <c r="K71" s="438">
        <f t="shared" si="20"/>
        <v>0</v>
      </c>
    </row>
    <row r="72" spans="1:11" ht="15.6" x14ac:dyDescent="0.3">
      <c r="A72" s="65">
        <f t="shared" si="19"/>
        <v>54</v>
      </c>
      <c r="B72" s="66" t="s">
        <v>1387</v>
      </c>
      <c r="C72" s="65" t="s">
        <v>220</v>
      </c>
      <c r="D72" s="70">
        <v>2</v>
      </c>
      <c r="E72" s="171">
        <v>393.86059272</v>
      </c>
      <c r="F72" s="288">
        <f t="shared" si="17"/>
        <v>787.72</v>
      </c>
      <c r="G72" s="288">
        <f t="shared" si="18"/>
        <v>945.26</v>
      </c>
      <c r="H72"/>
      <c r="J72" s="438"/>
      <c r="K72" s="438">
        <f t="shared" si="20"/>
        <v>0</v>
      </c>
    </row>
    <row r="73" spans="1:11" ht="15.6" x14ac:dyDescent="0.3">
      <c r="A73" s="65">
        <f t="shared" si="19"/>
        <v>55</v>
      </c>
      <c r="B73" s="66" t="s">
        <v>1393</v>
      </c>
      <c r="C73" s="65" t="s">
        <v>220</v>
      </c>
      <c r="D73" s="70">
        <v>1</v>
      </c>
      <c r="E73" s="171">
        <v>886.75128000000007</v>
      </c>
      <c r="F73" s="288">
        <f t="shared" si="17"/>
        <v>886.75</v>
      </c>
      <c r="G73" s="288">
        <f t="shared" si="18"/>
        <v>1064.0999999999999</v>
      </c>
      <c r="H73" s="209"/>
      <c r="J73" s="438"/>
      <c r="K73" s="438">
        <f t="shared" si="20"/>
        <v>0</v>
      </c>
    </row>
    <row r="74" spans="1:11" ht="15.6" x14ac:dyDescent="0.3">
      <c r="A74" s="65"/>
      <c r="B74" s="72" t="s">
        <v>1394</v>
      </c>
      <c r="C74" s="65"/>
      <c r="D74" s="67"/>
      <c r="E74" s="171">
        <v>0</v>
      </c>
      <c r="F74" s="288"/>
      <c r="G74" s="288"/>
      <c r="H74"/>
      <c r="J74" s="438"/>
      <c r="K74" s="438">
        <f t="shared" si="20"/>
        <v>0</v>
      </c>
    </row>
    <row r="75" spans="1:11" ht="15.6" x14ac:dyDescent="0.3">
      <c r="A75" s="65">
        <f>A73+1</f>
        <v>56</v>
      </c>
      <c r="B75" s="66" t="s">
        <v>1395</v>
      </c>
      <c r="C75" s="65" t="s">
        <v>220</v>
      </c>
      <c r="D75" s="70">
        <v>2</v>
      </c>
      <c r="E75" s="171">
        <v>2186.8430760000001</v>
      </c>
      <c r="F75" s="288">
        <f t="shared" ref="F75:F88" si="21">ROUND(E75*D75,2)</f>
        <v>4373.6899999999996</v>
      </c>
      <c r="G75" s="288">
        <f t="shared" ref="G75:G88" si="22">ROUND(F75*1.2,2)</f>
        <v>5248.43</v>
      </c>
      <c r="J75" s="438"/>
      <c r="K75" s="438">
        <f t="shared" si="20"/>
        <v>0</v>
      </c>
    </row>
    <row r="76" spans="1:11" ht="15.6" x14ac:dyDescent="0.3">
      <c r="A76" s="65">
        <f>A75+1</f>
        <v>57</v>
      </c>
      <c r="B76" s="66" t="s">
        <v>1622</v>
      </c>
      <c r="C76" s="65" t="s">
        <v>220</v>
      </c>
      <c r="D76" s="70">
        <v>1</v>
      </c>
      <c r="E76" s="171">
        <v>6636.3321599999999</v>
      </c>
      <c r="F76" s="288">
        <f t="shared" si="21"/>
        <v>6636.33</v>
      </c>
      <c r="G76" s="288">
        <f t="shared" si="22"/>
        <v>7963.6</v>
      </c>
      <c r="H76"/>
      <c r="J76" s="438"/>
      <c r="K76" s="438">
        <f t="shared" si="20"/>
        <v>0</v>
      </c>
    </row>
    <row r="77" spans="1:11" ht="15.6" x14ac:dyDescent="0.3">
      <c r="A77" s="65">
        <f>A76+1</f>
        <v>58</v>
      </c>
      <c r="B77" s="66" t="s">
        <v>1396</v>
      </c>
      <c r="C77" s="65" t="s">
        <v>220</v>
      </c>
      <c r="D77" s="70">
        <v>1</v>
      </c>
      <c r="E77" s="171">
        <v>6134.3165159999999</v>
      </c>
      <c r="F77" s="288">
        <f t="shared" si="21"/>
        <v>6134.32</v>
      </c>
      <c r="G77" s="288">
        <f t="shared" si="22"/>
        <v>7361.18</v>
      </c>
      <c r="H77"/>
      <c r="J77" s="438"/>
      <c r="K77" s="438">
        <f t="shared" si="20"/>
        <v>0</v>
      </c>
    </row>
    <row r="78" spans="1:11" ht="15.6" x14ac:dyDescent="0.3">
      <c r="A78" s="65">
        <f t="shared" ref="A78:A88" si="23">A77+1</f>
        <v>59</v>
      </c>
      <c r="B78" s="66" t="s">
        <v>1397</v>
      </c>
      <c r="C78" s="65" t="s">
        <v>220</v>
      </c>
      <c r="D78" s="70">
        <v>1</v>
      </c>
      <c r="E78" s="171">
        <v>2972.0470319999999</v>
      </c>
      <c r="F78" s="288">
        <f t="shared" si="21"/>
        <v>2972.05</v>
      </c>
      <c r="G78" s="288">
        <f t="shared" si="22"/>
        <v>3566.46</v>
      </c>
      <c r="H78"/>
      <c r="J78" s="438"/>
      <c r="K78" s="438">
        <f t="shared" si="20"/>
        <v>0</v>
      </c>
    </row>
    <row r="79" spans="1:11" ht="15.6" x14ac:dyDescent="0.3">
      <c r="A79" s="65">
        <f t="shared" si="23"/>
        <v>60</v>
      </c>
      <c r="B79" s="66" t="s">
        <v>1398</v>
      </c>
      <c r="C79" s="65" t="s">
        <v>220</v>
      </c>
      <c r="D79" s="70">
        <v>1</v>
      </c>
      <c r="E79" s="171">
        <v>8105.1927479999995</v>
      </c>
      <c r="F79" s="288">
        <f t="shared" si="21"/>
        <v>8105.19</v>
      </c>
      <c r="G79" s="288">
        <f t="shared" si="22"/>
        <v>9726.23</v>
      </c>
      <c r="H79"/>
      <c r="J79" s="438"/>
      <c r="K79" s="438">
        <f t="shared" si="20"/>
        <v>0</v>
      </c>
    </row>
    <row r="80" spans="1:11" ht="15.6" x14ac:dyDescent="0.3">
      <c r="A80" s="65">
        <f t="shared" si="23"/>
        <v>61</v>
      </c>
      <c r="B80" s="66" t="s">
        <v>1399</v>
      </c>
      <c r="C80" s="65" t="s">
        <v>220</v>
      </c>
      <c r="D80" s="70">
        <v>1</v>
      </c>
      <c r="E80" s="171">
        <v>2972.0470319999999</v>
      </c>
      <c r="F80" s="288">
        <f t="shared" si="21"/>
        <v>2972.05</v>
      </c>
      <c r="G80" s="288">
        <f t="shared" si="22"/>
        <v>3566.46</v>
      </c>
      <c r="H80"/>
      <c r="J80" s="438"/>
      <c r="K80" s="438">
        <f t="shared" si="20"/>
        <v>0</v>
      </c>
    </row>
    <row r="81" spans="1:11" ht="15.6" x14ac:dyDescent="0.3">
      <c r="A81" s="65">
        <f t="shared" si="23"/>
        <v>62</v>
      </c>
      <c r="B81" s="66" t="s">
        <v>1400</v>
      </c>
      <c r="C81" s="65" t="s">
        <v>220</v>
      </c>
      <c r="D81" s="70">
        <v>3</v>
      </c>
      <c r="E81" s="171">
        <v>429.07319999999999</v>
      </c>
      <c r="F81" s="288">
        <f t="shared" si="21"/>
        <v>1287.22</v>
      </c>
      <c r="G81" s="288">
        <f t="shared" si="22"/>
        <v>1544.66</v>
      </c>
      <c r="H81" s="209"/>
      <c r="J81" s="438"/>
      <c r="K81" s="438">
        <f t="shared" si="20"/>
        <v>0</v>
      </c>
    </row>
    <row r="82" spans="1:11" ht="15.6" x14ac:dyDescent="0.3">
      <c r="A82" s="65">
        <f t="shared" si="23"/>
        <v>63</v>
      </c>
      <c r="B82" s="66" t="s">
        <v>1401</v>
      </c>
      <c r="C82" s="65" t="s">
        <v>220</v>
      </c>
      <c r="D82" s="70">
        <v>1</v>
      </c>
      <c r="E82" s="171">
        <v>4592.5134839999992</v>
      </c>
      <c r="F82" s="288">
        <f t="shared" si="21"/>
        <v>4592.51</v>
      </c>
      <c r="G82" s="288">
        <f t="shared" si="22"/>
        <v>5511.01</v>
      </c>
      <c r="H82" s="270"/>
      <c r="J82" s="438"/>
      <c r="K82" s="438">
        <f t="shared" si="20"/>
        <v>0</v>
      </c>
    </row>
    <row r="83" spans="1:11" ht="15.6" x14ac:dyDescent="0.3">
      <c r="A83" s="65">
        <f t="shared" si="23"/>
        <v>64</v>
      </c>
      <c r="B83" s="66" t="s">
        <v>983</v>
      </c>
      <c r="C83" s="65" t="s">
        <v>193</v>
      </c>
      <c r="D83" s="67">
        <v>0.18</v>
      </c>
      <c r="E83" s="171">
        <v>1973.7367200000001</v>
      </c>
      <c r="F83" s="288">
        <f t="shared" si="21"/>
        <v>355.27</v>
      </c>
      <c r="G83" s="288">
        <f t="shared" si="22"/>
        <v>426.32</v>
      </c>
      <c r="H83"/>
      <c r="J83" s="438"/>
      <c r="K83" s="438">
        <f t="shared" si="20"/>
        <v>0</v>
      </c>
    </row>
    <row r="84" spans="1:11" ht="15.6" x14ac:dyDescent="0.3">
      <c r="A84" s="65">
        <f t="shared" si="23"/>
        <v>65</v>
      </c>
      <c r="B84" s="66" t="s">
        <v>1402</v>
      </c>
      <c r="C84" s="65" t="s">
        <v>193</v>
      </c>
      <c r="D84" s="67">
        <v>0.17</v>
      </c>
      <c r="E84" s="171">
        <v>9927.5759999999991</v>
      </c>
      <c r="F84" s="288">
        <f t="shared" si="21"/>
        <v>1687.69</v>
      </c>
      <c r="G84" s="288">
        <f t="shared" si="22"/>
        <v>2025.23</v>
      </c>
      <c r="H84"/>
      <c r="J84" s="438"/>
      <c r="K84" s="438">
        <f t="shared" si="20"/>
        <v>0</v>
      </c>
    </row>
    <row r="85" spans="1:11" ht="15.6" x14ac:dyDescent="0.3">
      <c r="A85" s="65">
        <f t="shared" si="23"/>
        <v>66</v>
      </c>
      <c r="B85" s="66" t="s">
        <v>1403</v>
      </c>
      <c r="C85" s="65" t="s">
        <v>193</v>
      </c>
      <c r="D85" s="67">
        <v>0.05</v>
      </c>
      <c r="E85" s="171">
        <v>9927.5810479200009</v>
      </c>
      <c r="F85" s="288">
        <f t="shared" si="21"/>
        <v>496.38</v>
      </c>
      <c r="G85" s="288">
        <f t="shared" si="22"/>
        <v>595.66</v>
      </c>
      <c r="H85"/>
      <c r="J85" s="438"/>
      <c r="K85" s="438">
        <f t="shared" si="20"/>
        <v>0</v>
      </c>
    </row>
    <row r="86" spans="1:11" ht="15.6" x14ac:dyDescent="0.3">
      <c r="A86" s="65">
        <f t="shared" si="23"/>
        <v>67</v>
      </c>
      <c r="B86" s="66" t="s">
        <v>1404</v>
      </c>
      <c r="C86" s="285" t="s">
        <v>431</v>
      </c>
      <c r="D86" s="67">
        <v>20.09</v>
      </c>
      <c r="E86" s="171">
        <v>193.08294000000001</v>
      </c>
      <c r="F86" s="288">
        <f t="shared" si="21"/>
        <v>3879.04</v>
      </c>
      <c r="G86" s="288">
        <f t="shared" si="22"/>
        <v>4654.8500000000004</v>
      </c>
      <c r="H86" s="209"/>
      <c r="J86" s="438"/>
      <c r="K86" s="438">
        <f t="shared" si="20"/>
        <v>0</v>
      </c>
    </row>
    <row r="87" spans="1:11" ht="15.6" x14ac:dyDescent="0.3">
      <c r="A87" s="65">
        <f t="shared" si="23"/>
        <v>68</v>
      </c>
      <c r="B87" s="66" t="s">
        <v>1405</v>
      </c>
      <c r="C87" s="65" t="s">
        <v>220</v>
      </c>
      <c r="D87" s="67">
        <v>2</v>
      </c>
      <c r="E87" s="171">
        <v>9518.2738200000003</v>
      </c>
      <c r="F87" s="288">
        <f t="shared" si="21"/>
        <v>19036.55</v>
      </c>
      <c r="G87" s="288">
        <f t="shared" si="22"/>
        <v>22843.86</v>
      </c>
      <c r="H87"/>
      <c r="J87" s="438"/>
      <c r="K87" s="438">
        <f t="shared" ref="K87:K88" si="24">E87*J87*1.2</f>
        <v>0</v>
      </c>
    </row>
    <row r="88" spans="1:11" ht="27.6" x14ac:dyDescent="0.3">
      <c r="A88" s="65">
        <f t="shared" si="23"/>
        <v>69</v>
      </c>
      <c r="B88" s="66" t="s">
        <v>958</v>
      </c>
      <c r="C88" s="65" t="s">
        <v>194</v>
      </c>
      <c r="D88" s="67">
        <v>12.6</v>
      </c>
      <c r="E88" s="171">
        <v>895.43286108000018</v>
      </c>
      <c r="F88" s="288">
        <f t="shared" si="21"/>
        <v>11282.45</v>
      </c>
      <c r="G88" s="288">
        <f t="shared" si="22"/>
        <v>13538.94</v>
      </c>
      <c r="H88"/>
      <c r="J88" s="438"/>
      <c r="K88" s="438">
        <f t="shared" si="24"/>
        <v>0</v>
      </c>
    </row>
    <row r="89" spans="1:11" x14ac:dyDescent="0.3">
      <c r="A89" s="533" t="s">
        <v>721</v>
      </c>
      <c r="B89" s="534"/>
      <c r="C89" s="534"/>
      <c r="D89" s="534"/>
      <c r="E89" s="535"/>
      <c r="F89" s="157">
        <f>SUM(F7:F88)</f>
        <v>2176950.2999999993</v>
      </c>
      <c r="G89" s="320">
        <f>SUM(G7:G88)</f>
        <v>2612340.3499999996</v>
      </c>
      <c r="J89" s="438"/>
      <c r="K89" s="436">
        <f>SUM(K5:K88)</f>
        <v>0</v>
      </c>
    </row>
  </sheetData>
  <autoFilter ref="A1:G89" xr:uid="{00000000-0001-0000-1300-000000000000}"/>
  <mergeCells count="11">
    <mergeCell ref="J1:J3"/>
    <mergeCell ref="K1:K3"/>
    <mergeCell ref="F1:F3"/>
    <mergeCell ref="G1:G3"/>
    <mergeCell ref="E1:E3"/>
    <mergeCell ref="A89:E89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0.79998168889431442"/>
  </sheetPr>
  <dimension ref="A1:L99"/>
  <sheetViews>
    <sheetView zoomScaleNormal="100" zoomScaleSheetLayoutView="80" workbookViewId="0">
      <selection activeCell="K99" sqref="K99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6.6640625" customWidth="1"/>
    <col min="10" max="11" width="17" style="440" customWidth="1"/>
  </cols>
  <sheetData>
    <row r="1" spans="1:12" ht="14.55" customHeight="1" x14ac:dyDescent="0.3">
      <c r="A1" s="539" t="s">
        <v>226</v>
      </c>
      <c r="B1" s="542" t="s">
        <v>201</v>
      </c>
      <c r="C1" s="545" t="s">
        <v>230</v>
      </c>
      <c r="D1" s="545" t="s">
        <v>202</v>
      </c>
      <c r="E1" s="632" t="s">
        <v>231</v>
      </c>
      <c r="F1" s="632" t="s">
        <v>410</v>
      </c>
      <c r="G1" s="632" t="s">
        <v>409</v>
      </c>
      <c r="J1" s="536" t="s">
        <v>1657</v>
      </c>
      <c r="K1" s="536" t="s">
        <v>1658</v>
      </c>
    </row>
    <row r="2" spans="1:12" ht="14.55" customHeight="1" x14ac:dyDescent="0.3">
      <c r="A2" s="540"/>
      <c r="B2" s="543"/>
      <c r="C2" s="545"/>
      <c r="D2" s="545"/>
      <c r="E2" s="632"/>
      <c r="F2" s="632"/>
      <c r="G2" s="632"/>
      <c r="J2" s="536"/>
      <c r="K2" s="536"/>
      <c r="L2" s="381"/>
    </row>
    <row r="3" spans="1:12" ht="27.6" customHeight="1" x14ac:dyDescent="0.3">
      <c r="A3" s="541"/>
      <c r="B3" s="544"/>
      <c r="C3" s="545"/>
      <c r="D3" s="545"/>
      <c r="E3" s="583"/>
      <c r="F3" s="583"/>
      <c r="G3" s="583"/>
      <c r="J3" s="536"/>
      <c r="K3" s="536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7"/>
      <c r="K4" s="437"/>
      <c r="L4" s="381"/>
    </row>
    <row r="5" spans="1:12" ht="20.25" customHeight="1" x14ac:dyDescent="0.3">
      <c r="A5" s="173"/>
      <c r="B5" s="537" t="s">
        <v>1350</v>
      </c>
      <c r="C5" s="538"/>
      <c r="D5" s="538"/>
      <c r="E5" s="174"/>
      <c r="F5" s="175"/>
      <c r="G5" s="176"/>
      <c r="J5" s="438"/>
      <c r="K5" s="438">
        <f>E5*J5*1.2</f>
        <v>0</v>
      </c>
    </row>
    <row r="6" spans="1:12" ht="20.25" customHeight="1" x14ac:dyDescent="0.3">
      <c r="A6" s="65"/>
      <c r="B6" s="72" t="s">
        <v>1352</v>
      </c>
      <c r="C6" s="65"/>
      <c r="D6" s="70"/>
      <c r="E6" s="171"/>
      <c r="F6" s="101"/>
      <c r="G6" s="101"/>
      <c r="J6" s="438"/>
      <c r="K6" s="438">
        <f t="shared" ref="K6:K69" si="0">E6*J6*1.2</f>
        <v>0</v>
      </c>
    </row>
    <row r="7" spans="1:12" ht="15.6" x14ac:dyDescent="0.3">
      <c r="A7" s="65">
        <f>A6+1</f>
        <v>1</v>
      </c>
      <c r="B7" s="66" t="s">
        <v>1406</v>
      </c>
      <c r="C7" s="65" t="s">
        <v>220</v>
      </c>
      <c r="D7" s="70">
        <v>22</v>
      </c>
      <c r="E7" s="171">
        <v>2873.9571000000001</v>
      </c>
      <c r="F7" s="288">
        <f>ROUND(E7*D7,2)</f>
        <v>63227.06</v>
      </c>
      <c r="G7" s="288">
        <f t="shared" ref="G7" si="1">ROUND(F7*1.2,2)</f>
        <v>75872.47</v>
      </c>
      <c r="J7" s="438"/>
      <c r="K7" s="438">
        <f t="shared" si="0"/>
        <v>0</v>
      </c>
    </row>
    <row r="8" spans="1:12" ht="15.6" x14ac:dyDescent="0.3">
      <c r="A8" s="65"/>
      <c r="B8" s="72" t="s">
        <v>1354</v>
      </c>
      <c r="C8" s="73"/>
      <c r="D8" s="70"/>
      <c r="E8" s="171">
        <v>0</v>
      </c>
      <c r="F8" s="288"/>
      <c r="G8" s="288"/>
      <c r="J8" s="438"/>
      <c r="K8" s="438">
        <f t="shared" si="0"/>
        <v>0</v>
      </c>
    </row>
    <row r="9" spans="1:12" ht="15.6" x14ac:dyDescent="0.3">
      <c r="A9" s="65"/>
      <c r="B9" s="72" t="s">
        <v>1355</v>
      </c>
      <c r="C9" s="65"/>
      <c r="D9" s="67"/>
      <c r="E9" s="171">
        <v>0</v>
      </c>
      <c r="F9" s="288"/>
      <c r="G9" s="288"/>
      <c r="J9" s="438"/>
      <c r="K9" s="438">
        <f t="shared" si="0"/>
        <v>0</v>
      </c>
    </row>
    <row r="10" spans="1:12" ht="15.6" x14ac:dyDescent="0.3">
      <c r="A10" s="65">
        <f>A7+1</f>
        <v>2</v>
      </c>
      <c r="B10" s="66" t="s">
        <v>1407</v>
      </c>
      <c r="C10" s="65" t="s">
        <v>193</v>
      </c>
      <c r="D10" s="67">
        <v>6.76</v>
      </c>
      <c r="E10" s="171">
        <v>7049.5719000000008</v>
      </c>
      <c r="F10" s="288">
        <f t="shared" ref="F10:F19" si="2">ROUND(E10*D10,2)</f>
        <v>47655.11</v>
      </c>
      <c r="G10" s="288">
        <f t="shared" ref="G10:G19" si="3">ROUND(F10*1.2,2)</f>
        <v>57186.13</v>
      </c>
      <c r="J10" s="438"/>
      <c r="K10" s="438">
        <f t="shared" si="0"/>
        <v>0</v>
      </c>
    </row>
    <row r="11" spans="1:12" ht="15.6" x14ac:dyDescent="0.3">
      <c r="A11" s="65">
        <f>A10+1</f>
        <v>3</v>
      </c>
      <c r="B11" s="66" t="s">
        <v>1006</v>
      </c>
      <c r="C11" s="65" t="s">
        <v>193</v>
      </c>
      <c r="D11" s="67">
        <v>2.68</v>
      </c>
      <c r="E11" s="171">
        <v>5928.3420000000006</v>
      </c>
      <c r="F11" s="288">
        <f t="shared" si="2"/>
        <v>15887.96</v>
      </c>
      <c r="G11" s="288">
        <f t="shared" si="3"/>
        <v>19065.55</v>
      </c>
      <c r="J11" s="438"/>
      <c r="K11" s="438">
        <f t="shared" si="0"/>
        <v>0</v>
      </c>
    </row>
    <row r="12" spans="1:12" ht="15.6" x14ac:dyDescent="0.3">
      <c r="A12" s="65">
        <f t="shared" ref="A12:A19" si="4">A11+1</f>
        <v>4</v>
      </c>
      <c r="B12" s="66" t="s">
        <v>1408</v>
      </c>
      <c r="C12" s="73" t="s">
        <v>239</v>
      </c>
      <c r="D12" s="67">
        <v>0.47</v>
      </c>
      <c r="E12" s="171">
        <v>109545.45</v>
      </c>
      <c r="F12" s="288">
        <f t="shared" si="2"/>
        <v>51486.36</v>
      </c>
      <c r="G12" s="288">
        <f t="shared" si="3"/>
        <v>61783.63</v>
      </c>
      <c r="J12" s="438"/>
      <c r="K12" s="438">
        <f t="shared" si="0"/>
        <v>0</v>
      </c>
    </row>
    <row r="13" spans="1:12" ht="15.6" x14ac:dyDescent="0.3">
      <c r="A13" s="65">
        <f t="shared" si="4"/>
        <v>5</v>
      </c>
      <c r="B13" s="66" t="s">
        <v>1409</v>
      </c>
      <c r="C13" s="73" t="s">
        <v>239</v>
      </c>
      <c r="D13" s="67">
        <v>0.1</v>
      </c>
      <c r="E13" s="171">
        <v>109545.45</v>
      </c>
      <c r="F13" s="288">
        <f t="shared" si="2"/>
        <v>10954.55</v>
      </c>
      <c r="G13" s="288">
        <f t="shared" si="3"/>
        <v>13145.46</v>
      </c>
      <c r="J13" s="438"/>
      <c r="K13" s="438">
        <f t="shared" si="0"/>
        <v>0</v>
      </c>
    </row>
    <row r="14" spans="1:12" ht="15.6" x14ac:dyDescent="0.3">
      <c r="A14" s="65">
        <f t="shared" si="4"/>
        <v>6</v>
      </c>
      <c r="B14" s="66" t="s">
        <v>1410</v>
      </c>
      <c r="C14" s="65" t="s">
        <v>239</v>
      </c>
      <c r="D14" s="67">
        <v>0.16</v>
      </c>
      <c r="E14" s="171">
        <v>109545.45</v>
      </c>
      <c r="F14" s="288">
        <f t="shared" si="2"/>
        <v>17527.27</v>
      </c>
      <c r="G14" s="288">
        <f t="shared" si="3"/>
        <v>21032.720000000001</v>
      </c>
      <c r="J14" s="438"/>
      <c r="K14" s="438">
        <f t="shared" si="0"/>
        <v>0</v>
      </c>
    </row>
    <row r="15" spans="1:12" ht="15.6" x14ac:dyDescent="0.3">
      <c r="A15" s="65">
        <f t="shared" si="4"/>
        <v>7</v>
      </c>
      <c r="B15" s="66" t="s">
        <v>1411</v>
      </c>
      <c r="C15" s="65" t="s">
        <v>254</v>
      </c>
      <c r="D15" s="67">
        <f>34.4*2</f>
        <v>68.8</v>
      </c>
      <c r="E15" s="171">
        <v>96.657750000000007</v>
      </c>
      <c r="F15" s="288">
        <f t="shared" si="2"/>
        <v>6650.05</v>
      </c>
      <c r="G15" s="288">
        <f t="shared" si="3"/>
        <v>7980.06</v>
      </c>
      <c r="J15" s="438"/>
      <c r="K15" s="438">
        <f t="shared" si="0"/>
        <v>0</v>
      </c>
    </row>
    <row r="16" spans="1:12" ht="15.6" x14ac:dyDescent="0.3">
      <c r="A16" s="65">
        <f t="shared" si="4"/>
        <v>8</v>
      </c>
      <c r="B16" s="66" t="s">
        <v>1412</v>
      </c>
      <c r="C16" s="65" t="s">
        <v>254</v>
      </c>
      <c r="D16" s="67">
        <f>6*3.3</f>
        <v>19.799999999999997</v>
      </c>
      <c r="E16" s="171">
        <v>1933.155</v>
      </c>
      <c r="F16" s="288">
        <f t="shared" si="2"/>
        <v>38276.47</v>
      </c>
      <c r="G16" s="288">
        <f t="shared" si="3"/>
        <v>45931.76</v>
      </c>
      <c r="J16" s="438"/>
      <c r="K16" s="438">
        <f t="shared" si="0"/>
        <v>0</v>
      </c>
    </row>
    <row r="17" spans="1:11" ht="15.6" x14ac:dyDescent="0.3">
      <c r="A17" s="65">
        <f t="shared" si="4"/>
        <v>9</v>
      </c>
      <c r="B17" s="66" t="s">
        <v>388</v>
      </c>
      <c r="C17" s="65" t="s">
        <v>254</v>
      </c>
      <c r="D17" s="67">
        <v>26.2</v>
      </c>
      <c r="E17" s="171">
        <v>402.09624000000002</v>
      </c>
      <c r="F17" s="288">
        <f t="shared" si="2"/>
        <v>10534.92</v>
      </c>
      <c r="G17" s="288">
        <f t="shared" si="3"/>
        <v>12641.9</v>
      </c>
      <c r="J17" s="438"/>
      <c r="K17" s="438">
        <f t="shared" si="0"/>
        <v>0</v>
      </c>
    </row>
    <row r="18" spans="1:11" ht="15.6" x14ac:dyDescent="0.3">
      <c r="A18" s="65">
        <f t="shared" si="4"/>
        <v>10</v>
      </c>
      <c r="B18" s="66" t="s">
        <v>1413</v>
      </c>
      <c r="C18" s="65" t="s">
        <v>387</v>
      </c>
      <c r="D18" s="67">
        <f>13.3*20/16</f>
        <v>16.625</v>
      </c>
      <c r="E18" s="171">
        <v>322.1925</v>
      </c>
      <c r="F18" s="288">
        <f t="shared" si="2"/>
        <v>5356.45</v>
      </c>
      <c r="G18" s="288">
        <f t="shared" si="3"/>
        <v>6427.74</v>
      </c>
      <c r="J18" s="438"/>
      <c r="K18" s="438">
        <f t="shared" si="0"/>
        <v>0</v>
      </c>
    </row>
    <row r="19" spans="1:11" ht="15.6" x14ac:dyDescent="0.3">
      <c r="A19" s="65">
        <f t="shared" si="4"/>
        <v>11</v>
      </c>
      <c r="B19" s="66" t="s">
        <v>1414</v>
      </c>
      <c r="C19" s="65" t="s">
        <v>193</v>
      </c>
      <c r="D19" s="67">
        <v>0.7</v>
      </c>
      <c r="E19" s="171">
        <v>0</v>
      </c>
      <c r="F19" s="288">
        <f t="shared" si="2"/>
        <v>0</v>
      </c>
      <c r="G19" s="288">
        <f t="shared" si="3"/>
        <v>0</v>
      </c>
      <c r="J19" s="438"/>
      <c r="K19" s="438">
        <f t="shared" si="0"/>
        <v>0</v>
      </c>
    </row>
    <row r="20" spans="1:11" ht="15.6" x14ac:dyDescent="0.3">
      <c r="A20" s="65"/>
      <c r="B20" s="72" t="s">
        <v>1016</v>
      </c>
      <c r="C20" s="65"/>
      <c r="D20" s="67"/>
      <c r="E20" s="171">
        <v>0</v>
      </c>
      <c r="F20" s="288"/>
      <c r="G20" s="288"/>
      <c r="J20" s="438"/>
      <c r="K20" s="438">
        <f t="shared" si="0"/>
        <v>0</v>
      </c>
    </row>
    <row r="21" spans="1:11" ht="15.6" x14ac:dyDescent="0.3">
      <c r="A21" s="65">
        <f>A19+1</f>
        <v>12</v>
      </c>
      <c r="B21" s="66" t="s">
        <v>1415</v>
      </c>
      <c r="C21" s="65" t="s">
        <v>193</v>
      </c>
      <c r="D21" s="67">
        <v>0.39</v>
      </c>
      <c r="E21" s="171">
        <v>7049.5719000000008</v>
      </c>
      <c r="F21" s="288">
        <f>ROUND(E21*D21,2)</f>
        <v>2749.33</v>
      </c>
      <c r="G21" s="288">
        <f t="shared" ref="G21:G24" si="5">ROUND(F21*1.2,2)</f>
        <v>3299.2</v>
      </c>
      <c r="J21" s="438"/>
      <c r="K21" s="438">
        <f t="shared" si="0"/>
        <v>0</v>
      </c>
    </row>
    <row r="22" spans="1:11" ht="15.6" x14ac:dyDescent="0.3">
      <c r="A22" s="65">
        <f>A21+1</f>
        <v>13</v>
      </c>
      <c r="B22" s="66" t="s">
        <v>1410</v>
      </c>
      <c r="C22" s="65" t="s">
        <v>239</v>
      </c>
      <c r="D22" s="75">
        <v>3.2000000000000001E-2</v>
      </c>
      <c r="E22" s="171">
        <v>109545.45</v>
      </c>
      <c r="F22" s="288">
        <f>ROUND(E22*D22,2)</f>
        <v>3505.45</v>
      </c>
      <c r="G22" s="288">
        <f t="shared" si="5"/>
        <v>4206.54</v>
      </c>
      <c r="J22" s="438"/>
      <c r="K22" s="438">
        <f t="shared" si="0"/>
        <v>0</v>
      </c>
    </row>
    <row r="23" spans="1:11" ht="15.6" x14ac:dyDescent="0.3">
      <c r="A23" s="65">
        <f>A22+1</f>
        <v>14</v>
      </c>
      <c r="B23" s="66" t="s">
        <v>388</v>
      </c>
      <c r="C23" s="65" t="s">
        <v>254</v>
      </c>
      <c r="D23" s="67">
        <v>1.9</v>
      </c>
      <c r="E23" s="171">
        <v>402.09624000000002</v>
      </c>
      <c r="F23" s="288">
        <f>ROUND(E23*D23,2)</f>
        <v>763.98</v>
      </c>
      <c r="G23" s="288">
        <f t="shared" si="5"/>
        <v>916.78</v>
      </c>
      <c r="J23" s="438"/>
      <c r="K23" s="438">
        <f t="shared" si="0"/>
        <v>0</v>
      </c>
    </row>
    <row r="24" spans="1:11" ht="15.6" x14ac:dyDescent="0.3">
      <c r="A24" s="65">
        <f>A23+1</f>
        <v>15</v>
      </c>
      <c r="B24" s="66" t="s">
        <v>1413</v>
      </c>
      <c r="C24" s="65" t="s">
        <v>387</v>
      </c>
      <c r="D24" s="67">
        <f>1*20/16</f>
        <v>1.25</v>
      </c>
      <c r="E24" s="171">
        <v>322.1925</v>
      </c>
      <c r="F24" s="288">
        <f>ROUND(E24*D24,2)</f>
        <v>402.74</v>
      </c>
      <c r="G24" s="288">
        <f t="shared" si="5"/>
        <v>483.29</v>
      </c>
      <c r="J24" s="438"/>
      <c r="K24" s="438">
        <f t="shared" si="0"/>
        <v>0</v>
      </c>
    </row>
    <row r="25" spans="1:11" ht="19.5" customHeight="1" x14ac:dyDescent="0.3">
      <c r="A25" s="65"/>
      <c r="B25" s="72" t="s">
        <v>1017</v>
      </c>
      <c r="C25" s="65"/>
      <c r="D25" s="67"/>
      <c r="E25" s="171">
        <v>0</v>
      </c>
      <c r="F25" s="288"/>
      <c r="G25" s="288"/>
      <c r="J25" s="438"/>
      <c r="K25" s="438">
        <f t="shared" si="0"/>
        <v>0</v>
      </c>
    </row>
    <row r="26" spans="1:11" ht="15.6" x14ac:dyDescent="0.3">
      <c r="A26" s="65">
        <f>A24+1</f>
        <v>16</v>
      </c>
      <c r="B26" s="66" t="s">
        <v>1415</v>
      </c>
      <c r="C26" s="65" t="s">
        <v>193</v>
      </c>
      <c r="D26" s="67">
        <v>0.35</v>
      </c>
      <c r="E26" s="171">
        <v>7049.5719000000008</v>
      </c>
      <c r="F26" s="288">
        <f>ROUND(E26*D26,2)</f>
        <v>2467.35</v>
      </c>
      <c r="G26" s="288">
        <f t="shared" ref="G26:G29" si="6">ROUND(F26*1.2,2)</f>
        <v>2960.82</v>
      </c>
      <c r="J26" s="438"/>
      <c r="K26" s="438">
        <f t="shared" si="0"/>
        <v>0</v>
      </c>
    </row>
    <row r="27" spans="1:11" ht="15.6" x14ac:dyDescent="0.3">
      <c r="A27" s="65">
        <f>A26+1</f>
        <v>17</v>
      </c>
      <c r="B27" s="66" t="s">
        <v>1410</v>
      </c>
      <c r="C27" s="65" t="s">
        <v>239</v>
      </c>
      <c r="D27" s="75">
        <v>2.8000000000000001E-2</v>
      </c>
      <c r="E27" s="171">
        <v>109545.45</v>
      </c>
      <c r="F27" s="288">
        <f>ROUND(E27*D27,2)</f>
        <v>3067.27</v>
      </c>
      <c r="G27" s="288">
        <f t="shared" si="6"/>
        <v>3680.72</v>
      </c>
      <c r="J27" s="438"/>
      <c r="K27" s="438">
        <f t="shared" si="0"/>
        <v>0</v>
      </c>
    </row>
    <row r="28" spans="1:11" ht="15.6" x14ac:dyDescent="0.3">
      <c r="A28" s="65">
        <f>A27+1</f>
        <v>18</v>
      </c>
      <c r="B28" s="66" t="s">
        <v>388</v>
      </c>
      <c r="C28" s="65" t="s">
        <v>254</v>
      </c>
      <c r="D28" s="67">
        <v>1.7</v>
      </c>
      <c r="E28" s="171">
        <v>402.09624000000002</v>
      </c>
      <c r="F28" s="288">
        <f>ROUND(E28*D28,2)</f>
        <v>683.56</v>
      </c>
      <c r="G28" s="288">
        <f t="shared" si="6"/>
        <v>820.27</v>
      </c>
      <c r="J28" s="438"/>
      <c r="K28" s="438">
        <f t="shared" si="0"/>
        <v>0</v>
      </c>
    </row>
    <row r="29" spans="1:11" ht="15.6" x14ac:dyDescent="0.3">
      <c r="A29" s="65">
        <f>A28+1</f>
        <v>19</v>
      </c>
      <c r="B29" s="66" t="s">
        <v>1413</v>
      </c>
      <c r="C29" s="65" t="s">
        <v>387</v>
      </c>
      <c r="D29" s="67">
        <f>0.9*20/16</f>
        <v>1.125</v>
      </c>
      <c r="E29" s="171">
        <v>322.1925</v>
      </c>
      <c r="F29" s="288">
        <f>ROUND(E29*D29,2)</f>
        <v>362.47</v>
      </c>
      <c r="G29" s="288">
        <f t="shared" si="6"/>
        <v>434.96</v>
      </c>
      <c r="J29" s="438"/>
      <c r="K29" s="438">
        <f t="shared" si="0"/>
        <v>0</v>
      </c>
    </row>
    <row r="30" spans="1:11" ht="19.5" customHeight="1" x14ac:dyDescent="0.3">
      <c r="A30" s="65"/>
      <c r="B30" s="72" t="s">
        <v>1362</v>
      </c>
      <c r="C30" s="65"/>
      <c r="D30" s="67"/>
      <c r="E30" s="171">
        <v>0</v>
      </c>
      <c r="F30" s="288"/>
      <c r="G30" s="288"/>
      <c r="J30" s="438"/>
      <c r="K30" s="438">
        <f t="shared" si="0"/>
        <v>0</v>
      </c>
    </row>
    <row r="31" spans="1:11" ht="15.6" x14ac:dyDescent="0.3">
      <c r="A31" s="65">
        <f>A29+1</f>
        <v>20</v>
      </c>
      <c r="B31" s="66" t="s">
        <v>1407</v>
      </c>
      <c r="C31" s="65" t="s">
        <v>193</v>
      </c>
      <c r="D31" s="67">
        <v>0.3</v>
      </c>
      <c r="E31" s="171">
        <v>7049.5719000000008</v>
      </c>
      <c r="F31" s="288">
        <f>ROUND(E31*D31,2)</f>
        <v>2114.87</v>
      </c>
      <c r="G31" s="288">
        <f t="shared" ref="G31:G35" si="7">ROUND(F31*1.2,2)</f>
        <v>2537.84</v>
      </c>
      <c r="J31" s="438"/>
      <c r="K31" s="438">
        <f t="shared" si="0"/>
        <v>0</v>
      </c>
    </row>
    <row r="32" spans="1:11" ht="15.6" x14ac:dyDescent="0.3">
      <c r="A32" s="65">
        <f>A31+1</f>
        <v>21</v>
      </c>
      <c r="B32" s="66" t="s">
        <v>1408</v>
      </c>
      <c r="C32" s="65" t="s">
        <v>239</v>
      </c>
      <c r="D32" s="67">
        <v>0.02</v>
      </c>
      <c r="E32" s="171">
        <v>109545.45</v>
      </c>
      <c r="F32" s="288">
        <f>ROUND(E32*D32,2)</f>
        <v>2190.91</v>
      </c>
      <c r="G32" s="288">
        <f t="shared" si="7"/>
        <v>2629.09</v>
      </c>
      <c r="J32" s="438"/>
      <c r="K32" s="438">
        <f t="shared" si="0"/>
        <v>0</v>
      </c>
    </row>
    <row r="33" spans="1:11" ht="15.6" x14ac:dyDescent="0.3">
      <c r="A33" s="65">
        <f t="shared" ref="A33:A35" si="8">A32+1</f>
        <v>22</v>
      </c>
      <c r="B33" s="66" t="s">
        <v>1410</v>
      </c>
      <c r="C33" s="65" t="s">
        <v>239</v>
      </c>
      <c r="D33" s="67">
        <v>0.01</v>
      </c>
      <c r="E33" s="171">
        <v>109545.45</v>
      </c>
      <c r="F33" s="288">
        <f>ROUND(E33*D33,2)</f>
        <v>1095.45</v>
      </c>
      <c r="G33" s="288">
        <f t="shared" si="7"/>
        <v>1314.54</v>
      </c>
      <c r="J33" s="438"/>
      <c r="K33" s="438">
        <f t="shared" si="0"/>
        <v>0</v>
      </c>
    </row>
    <row r="34" spans="1:11" ht="15.6" x14ac:dyDescent="0.3">
      <c r="A34" s="65">
        <f t="shared" si="8"/>
        <v>23</v>
      </c>
      <c r="B34" s="66" t="s">
        <v>1416</v>
      </c>
      <c r="C34" s="65" t="s">
        <v>239</v>
      </c>
      <c r="D34" s="67">
        <v>0.01</v>
      </c>
      <c r="E34" s="171">
        <v>96657.75</v>
      </c>
      <c r="F34" s="288">
        <f>ROUND(E34*D34,2)</f>
        <v>966.58</v>
      </c>
      <c r="G34" s="288">
        <f t="shared" si="7"/>
        <v>1159.9000000000001</v>
      </c>
      <c r="J34" s="438"/>
      <c r="K34" s="438">
        <f t="shared" si="0"/>
        <v>0</v>
      </c>
    </row>
    <row r="35" spans="1:11" ht="15.6" x14ac:dyDescent="0.3">
      <c r="A35" s="65">
        <f t="shared" si="8"/>
        <v>24</v>
      </c>
      <c r="B35" s="66" t="s">
        <v>1417</v>
      </c>
      <c r="C35" s="65" t="s">
        <v>220</v>
      </c>
      <c r="D35" s="70">
        <v>4</v>
      </c>
      <c r="E35" s="171">
        <v>0</v>
      </c>
      <c r="F35" s="288">
        <f>ROUND(E35*D35,2)</f>
        <v>0</v>
      </c>
      <c r="G35" s="288">
        <f t="shared" si="7"/>
        <v>0</v>
      </c>
      <c r="J35" s="438"/>
      <c r="K35" s="438">
        <f t="shared" si="0"/>
        <v>0</v>
      </c>
    </row>
    <row r="36" spans="1:11" ht="15.6" x14ac:dyDescent="0.3">
      <c r="A36" s="65"/>
      <c r="B36" s="72" t="s">
        <v>1365</v>
      </c>
      <c r="C36" s="65"/>
      <c r="D36" s="67"/>
      <c r="E36" s="171">
        <v>0</v>
      </c>
      <c r="F36" s="288"/>
      <c r="G36" s="288"/>
      <c r="J36" s="438"/>
      <c r="K36" s="438">
        <f t="shared" si="0"/>
        <v>0</v>
      </c>
    </row>
    <row r="37" spans="1:11" ht="15.6" x14ac:dyDescent="0.3">
      <c r="A37" s="65">
        <f>A35+1</f>
        <v>25</v>
      </c>
      <c r="B37" s="66" t="s">
        <v>1418</v>
      </c>
      <c r="C37" s="65" t="s">
        <v>254</v>
      </c>
      <c r="D37" s="71">
        <v>232.2</v>
      </c>
      <c r="E37" s="171">
        <v>0</v>
      </c>
      <c r="F37" s="288">
        <f t="shared" ref="F37:F45" si="9">ROUND(E37*D37,2)</f>
        <v>0</v>
      </c>
      <c r="G37" s="288">
        <f t="shared" ref="G37:G45" si="10">ROUND(F37*1.2,2)</f>
        <v>0</v>
      </c>
      <c r="J37" s="438"/>
      <c r="K37" s="438">
        <f t="shared" si="0"/>
        <v>0</v>
      </c>
    </row>
    <row r="38" spans="1:11" ht="15.6" x14ac:dyDescent="0.3">
      <c r="A38" s="65">
        <f>A37+1</f>
        <v>26</v>
      </c>
      <c r="B38" s="66" t="s">
        <v>1416</v>
      </c>
      <c r="C38" s="65" t="s">
        <v>254</v>
      </c>
      <c r="D38" s="67">
        <f>5.3*2</f>
        <v>10.6</v>
      </c>
      <c r="E38" s="171">
        <v>96.657750000000007</v>
      </c>
      <c r="F38" s="288">
        <f t="shared" si="9"/>
        <v>1024.57</v>
      </c>
      <c r="G38" s="288">
        <f t="shared" si="10"/>
        <v>1229.48</v>
      </c>
      <c r="J38" s="438"/>
      <c r="K38" s="438">
        <f t="shared" si="0"/>
        <v>0</v>
      </c>
    </row>
    <row r="39" spans="1:11" ht="15.6" x14ac:dyDescent="0.3">
      <c r="A39" s="65">
        <f>A38+1</f>
        <v>27</v>
      </c>
      <c r="B39" s="66" t="s">
        <v>402</v>
      </c>
      <c r="C39" s="65" t="s">
        <v>254</v>
      </c>
      <c r="D39" s="71">
        <v>1.1000000000000001</v>
      </c>
      <c r="E39" s="171">
        <v>1773.3475200000003</v>
      </c>
      <c r="F39" s="288">
        <f t="shared" si="9"/>
        <v>1950.68</v>
      </c>
      <c r="G39" s="288">
        <f t="shared" si="10"/>
        <v>2340.8200000000002</v>
      </c>
      <c r="J39" s="438"/>
      <c r="K39" s="438">
        <f t="shared" si="0"/>
        <v>0</v>
      </c>
    </row>
    <row r="40" spans="1:11" ht="15.6" x14ac:dyDescent="0.3">
      <c r="A40" s="65">
        <f t="shared" ref="A40" si="11">A39+1</f>
        <v>28</v>
      </c>
      <c r="B40" s="66" t="s">
        <v>403</v>
      </c>
      <c r="C40" s="65" t="s">
        <v>254</v>
      </c>
      <c r="D40" s="71">
        <v>0.2</v>
      </c>
      <c r="E40" s="171">
        <v>1956.3528600000004</v>
      </c>
      <c r="F40" s="288">
        <f t="shared" si="9"/>
        <v>391.27</v>
      </c>
      <c r="G40" s="288">
        <f t="shared" si="10"/>
        <v>469.52</v>
      </c>
      <c r="J40" s="438"/>
      <c r="K40" s="438">
        <f t="shared" si="0"/>
        <v>0</v>
      </c>
    </row>
    <row r="41" spans="1:11" ht="15.6" x14ac:dyDescent="0.3">
      <c r="A41" s="65">
        <f>A40+1</f>
        <v>29</v>
      </c>
      <c r="B41" s="66" t="s">
        <v>1415</v>
      </c>
      <c r="C41" s="65" t="s">
        <v>193</v>
      </c>
      <c r="D41" s="67">
        <v>0.35</v>
      </c>
      <c r="E41" s="171">
        <v>7049.5719000000008</v>
      </c>
      <c r="F41" s="288">
        <f t="shared" si="9"/>
        <v>2467.35</v>
      </c>
      <c r="G41" s="288">
        <f t="shared" si="10"/>
        <v>2960.82</v>
      </c>
      <c r="J41" s="438"/>
      <c r="K41" s="438">
        <f t="shared" si="0"/>
        <v>0</v>
      </c>
    </row>
    <row r="42" spans="1:11" ht="15.6" x14ac:dyDescent="0.3">
      <c r="A42" s="65">
        <f>A41+1</f>
        <v>30</v>
      </c>
      <c r="B42" s="66" t="s">
        <v>1419</v>
      </c>
      <c r="C42" s="65" t="s">
        <v>254</v>
      </c>
      <c r="D42" s="67">
        <f>0.82*2</f>
        <v>1.64</v>
      </c>
      <c r="E42" s="171">
        <v>163.67379</v>
      </c>
      <c r="F42" s="288">
        <f t="shared" si="9"/>
        <v>268.43</v>
      </c>
      <c r="G42" s="288">
        <f t="shared" si="10"/>
        <v>322.12</v>
      </c>
      <c r="J42" s="438"/>
      <c r="K42" s="438">
        <f t="shared" si="0"/>
        <v>0</v>
      </c>
    </row>
    <row r="43" spans="1:11" ht="15.6" x14ac:dyDescent="0.3">
      <c r="A43" s="65">
        <f t="shared" ref="A43:A45" si="12">A42+1</f>
        <v>31</v>
      </c>
      <c r="B43" s="66" t="s">
        <v>1006</v>
      </c>
      <c r="C43" s="65" t="s">
        <v>193</v>
      </c>
      <c r="D43" s="67">
        <v>7.0000000000000007E-2</v>
      </c>
      <c r="E43" s="171">
        <v>5928.3420000000006</v>
      </c>
      <c r="F43" s="288">
        <f t="shared" si="9"/>
        <v>414.98</v>
      </c>
      <c r="G43" s="288">
        <f t="shared" si="10"/>
        <v>497.98</v>
      </c>
      <c r="J43" s="438"/>
      <c r="K43" s="438">
        <f t="shared" si="0"/>
        <v>0</v>
      </c>
    </row>
    <row r="44" spans="1:11" ht="15.6" x14ac:dyDescent="0.3">
      <c r="A44" s="65">
        <f t="shared" si="12"/>
        <v>32</v>
      </c>
      <c r="B44" s="66" t="s">
        <v>388</v>
      </c>
      <c r="C44" s="65" t="s">
        <v>254</v>
      </c>
      <c r="D44" s="67">
        <v>0.7</v>
      </c>
      <c r="E44" s="171">
        <v>402.09624000000002</v>
      </c>
      <c r="F44" s="288">
        <f t="shared" si="9"/>
        <v>281.47000000000003</v>
      </c>
      <c r="G44" s="288">
        <f t="shared" si="10"/>
        <v>337.76</v>
      </c>
      <c r="J44" s="438"/>
      <c r="K44" s="438">
        <f t="shared" si="0"/>
        <v>0</v>
      </c>
    </row>
    <row r="45" spans="1:11" ht="15.6" x14ac:dyDescent="0.3">
      <c r="A45" s="65">
        <f t="shared" si="12"/>
        <v>33</v>
      </c>
      <c r="B45" s="66" t="s">
        <v>1413</v>
      </c>
      <c r="C45" s="65" t="s">
        <v>387</v>
      </c>
      <c r="D45" s="67">
        <f>0.4*20/16</f>
        <v>0.5</v>
      </c>
      <c r="E45" s="171">
        <v>322.1925</v>
      </c>
      <c r="F45" s="288">
        <f t="shared" si="9"/>
        <v>161.1</v>
      </c>
      <c r="G45" s="288">
        <f t="shared" si="10"/>
        <v>193.32</v>
      </c>
      <c r="J45" s="438"/>
      <c r="K45" s="438">
        <f t="shared" si="0"/>
        <v>0</v>
      </c>
    </row>
    <row r="46" spans="1:11" ht="15.6" x14ac:dyDescent="0.3">
      <c r="A46" s="65"/>
      <c r="B46" s="72" t="s">
        <v>1371</v>
      </c>
      <c r="C46" s="65"/>
      <c r="D46" s="67"/>
      <c r="E46" s="171">
        <v>0</v>
      </c>
      <c r="F46" s="288"/>
      <c r="G46" s="288"/>
      <c r="J46" s="438"/>
      <c r="K46" s="438">
        <f t="shared" si="0"/>
        <v>0</v>
      </c>
    </row>
    <row r="47" spans="1:11" ht="15.6" x14ac:dyDescent="0.3">
      <c r="A47" s="65">
        <f>A45+1</f>
        <v>34</v>
      </c>
      <c r="B47" s="66" t="s">
        <v>1420</v>
      </c>
      <c r="C47" s="65" t="s">
        <v>194</v>
      </c>
      <c r="D47" s="67">
        <v>57.2</v>
      </c>
      <c r="E47" s="171">
        <v>3966.8340600000001</v>
      </c>
      <c r="F47" s="288">
        <f t="shared" ref="F47:F57" si="13">ROUND(E47*D47,2)</f>
        <v>226902.91</v>
      </c>
      <c r="G47" s="288">
        <f t="shared" ref="G47:G57" si="14">ROUND(F47*1.2,2)</f>
        <v>272283.49</v>
      </c>
      <c r="J47" s="438"/>
      <c r="K47" s="438">
        <f t="shared" si="0"/>
        <v>0</v>
      </c>
    </row>
    <row r="48" spans="1:11" ht="27.6" x14ac:dyDescent="0.3">
      <c r="A48" s="65">
        <f>A47+1</f>
        <v>35</v>
      </c>
      <c r="B48" s="66" t="s">
        <v>1421</v>
      </c>
      <c r="C48" s="65" t="s">
        <v>220</v>
      </c>
      <c r="D48" s="70">
        <v>28</v>
      </c>
      <c r="E48" s="171">
        <v>2345.5614</v>
      </c>
      <c r="F48" s="288">
        <f t="shared" si="13"/>
        <v>65675.72</v>
      </c>
      <c r="G48" s="288">
        <f t="shared" si="14"/>
        <v>78810.86</v>
      </c>
      <c r="J48" s="438"/>
      <c r="K48" s="438">
        <f t="shared" si="0"/>
        <v>0</v>
      </c>
    </row>
    <row r="49" spans="1:11" ht="15.6" x14ac:dyDescent="0.3">
      <c r="A49" s="65">
        <f>A48+1</f>
        <v>36</v>
      </c>
      <c r="B49" s="66" t="s">
        <v>1422</v>
      </c>
      <c r="C49" s="65" t="s">
        <v>220</v>
      </c>
      <c r="D49" s="70">
        <v>9</v>
      </c>
      <c r="E49" s="171">
        <v>9781.7643000000007</v>
      </c>
      <c r="F49" s="288">
        <f t="shared" si="13"/>
        <v>88035.88</v>
      </c>
      <c r="G49" s="288">
        <f t="shared" si="14"/>
        <v>105643.06</v>
      </c>
      <c r="J49" s="438"/>
      <c r="K49" s="438">
        <f t="shared" si="0"/>
        <v>0</v>
      </c>
    </row>
    <row r="50" spans="1:11" ht="15.6" x14ac:dyDescent="0.3">
      <c r="A50" s="65">
        <f t="shared" ref="A50:A57" si="15">A49+1</f>
        <v>37</v>
      </c>
      <c r="B50" s="66" t="s">
        <v>1423</v>
      </c>
      <c r="C50" s="65" t="s">
        <v>194</v>
      </c>
      <c r="D50" s="70">
        <v>4</v>
      </c>
      <c r="E50" s="171">
        <v>1054.2138599999998</v>
      </c>
      <c r="F50" s="288">
        <f t="shared" si="13"/>
        <v>4216.8599999999997</v>
      </c>
      <c r="G50" s="288">
        <f t="shared" si="14"/>
        <v>5060.2299999999996</v>
      </c>
      <c r="J50" s="438"/>
      <c r="K50" s="438">
        <f t="shared" si="0"/>
        <v>0</v>
      </c>
    </row>
    <row r="51" spans="1:11" ht="15.6" x14ac:dyDescent="0.3">
      <c r="A51" s="65">
        <f t="shared" si="15"/>
        <v>38</v>
      </c>
      <c r="B51" s="66" t="s">
        <v>1424</v>
      </c>
      <c r="C51" s="65" t="s">
        <v>254</v>
      </c>
      <c r="D51" s="67">
        <v>0.5</v>
      </c>
      <c r="E51" s="171">
        <v>2448.663</v>
      </c>
      <c r="F51" s="288">
        <f t="shared" si="13"/>
        <v>1224.33</v>
      </c>
      <c r="G51" s="288">
        <f t="shared" si="14"/>
        <v>1469.2</v>
      </c>
      <c r="J51" s="438"/>
      <c r="K51" s="438">
        <f t="shared" si="0"/>
        <v>0</v>
      </c>
    </row>
    <row r="52" spans="1:11" ht="15.6" x14ac:dyDescent="0.3">
      <c r="A52" s="65">
        <f t="shared" si="15"/>
        <v>39</v>
      </c>
      <c r="B52" s="66" t="s">
        <v>1425</v>
      </c>
      <c r="C52" s="65" t="s">
        <v>217</v>
      </c>
      <c r="D52" s="70">
        <v>8</v>
      </c>
      <c r="E52" s="171">
        <v>8660.5344000000005</v>
      </c>
      <c r="F52" s="288">
        <f t="shared" si="13"/>
        <v>69284.28</v>
      </c>
      <c r="G52" s="288">
        <f t="shared" si="14"/>
        <v>83141.14</v>
      </c>
      <c r="J52" s="438"/>
      <c r="K52" s="438">
        <f t="shared" si="0"/>
        <v>0</v>
      </c>
    </row>
    <row r="53" spans="1:11" ht="15.6" x14ac:dyDescent="0.3">
      <c r="A53" s="65">
        <f t="shared" si="15"/>
        <v>40</v>
      </c>
      <c r="B53" s="66" t="s">
        <v>1426</v>
      </c>
      <c r="C53" s="65" t="s">
        <v>220</v>
      </c>
      <c r="D53" s="70">
        <v>2</v>
      </c>
      <c r="E53" s="171">
        <v>41240.639999999999</v>
      </c>
      <c r="F53" s="288">
        <f t="shared" si="13"/>
        <v>82481.279999999999</v>
      </c>
      <c r="G53" s="288">
        <f t="shared" si="14"/>
        <v>98977.54</v>
      </c>
      <c r="J53" s="438"/>
      <c r="K53" s="438">
        <f t="shared" si="0"/>
        <v>0</v>
      </c>
    </row>
    <row r="54" spans="1:11" ht="15.6" x14ac:dyDescent="0.3">
      <c r="A54" s="65">
        <f t="shared" si="15"/>
        <v>41</v>
      </c>
      <c r="B54" s="66" t="s">
        <v>1379</v>
      </c>
      <c r="C54" s="65" t="s">
        <v>220</v>
      </c>
      <c r="D54" s="70">
        <v>4</v>
      </c>
      <c r="E54" s="171">
        <v>4124.0640000000003</v>
      </c>
      <c r="F54" s="288">
        <f t="shared" si="13"/>
        <v>16496.259999999998</v>
      </c>
      <c r="G54" s="288">
        <f t="shared" si="14"/>
        <v>19795.509999999998</v>
      </c>
      <c r="J54" s="438"/>
      <c r="K54" s="438">
        <f t="shared" si="0"/>
        <v>0</v>
      </c>
    </row>
    <row r="55" spans="1:11" ht="15.6" x14ac:dyDescent="0.3">
      <c r="A55" s="65">
        <f t="shared" si="15"/>
        <v>42</v>
      </c>
      <c r="B55" s="66" t="s">
        <v>1380</v>
      </c>
      <c r="C55" s="65" t="s">
        <v>220</v>
      </c>
      <c r="D55" s="70">
        <v>4</v>
      </c>
      <c r="E55" s="171">
        <v>5283.9570000000003</v>
      </c>
      <c r="F55" s="288">
        <f t="shared" si="13"/>
        <v>21135.83</v>
      </c>
      <c r="G55" s="288">
        <f t="shared" si="14"/>
        <v>25363</v>
      </c>
      <c r="J55" s="438"/>
      <c r="K55" s="438">
        <f t="shared" si="0"/>
        <v>0</v>
      </c>
    </row>
    <row r="56" spans="1:11" ht="15.6" x14ac:dyDescent="0.3">
      <c r="A56" s="65">
        <f t="shared" si="15"/>
        <v>43</v>
      </c>
      <c r="B56" s="66" t="s">
        <v>1427</v>
      </c>
      <c r="C56" s="65" t="s">
        <v>194</v>
      </c>
      <c r="D56" s="71">
        <v>1.6</v>
      </c>
      <c r="E56" s="171">
        <v>618.6096</v>
      </c>
      <c r="F56" s="288">
        <f t="shared" si="13"/>
        <v>989.78</v>
      </c>
      <c r="G56" s="288">
        <f t="shared" si="14"/>
        <v>1187.74</v>
      </c>
      <c r="J56" s="438"/>
      <c r="K56" s="438">
        <f t="shared" si="0"/>
        <v>0</v>
      </c>
    </row>
    <row r="57" spans="1:11" ht="15.6" x14ac:dyDescent="0.3">
      <c r="A57" s="65">
        <f t="shared" si="15"/>
        <v>44</v>
      </c>
      <c r="B57" s="66" t="s">
        <v>1428</v>
      </c>
      <c r="C57" s="65" t="s">
        <v>220</v>
      </c>
      <c r="D57" s="70">
        <v>2</v>
      </c>
      <c r="E57" s="171">
        <v>27064.170000000002</v>
      </c>
      <c r="F57" s="288">
        <f t="shared" si="13"/>
        <v>54128.34</v>
      </c>
      <c r="G57" s="288">
        <f t="shared" si="14"/>
        <v>64954.01</v>
      </c>
      <c r="J57" s="438"/>
      <c r="K57" s="438">
        <f t="shared" si="0"/>
        <v>0</v>
      </c>
    </row>
    <row r="58" spans="1:11" ht="20.25" customHeight="1" x14ac:dyDescent="0.3">
      <c r="A58" s="65"/>
      <c r="B58" s="72" t="s">
        <v>1429</v>
      </c>
      <c r="C58" s="65"/>
      <c r="D58" s="67"/>
      <c r="E58" s="171">
        <v>0</v>
      </c>
      <c r="F58" s="288"/>
      <c r="G58" s="288"/>
      <c r="J58" s="438"/>
      <c r="K58" s="438">
        <f t="shared" si="0"/>
        <v>0</v>
      </c>
    </row>
    <row r="59" spans="1:11" ht="15.6" x14ac:dyDescent="0.3">
      <c r="A59" s="65">
        <f>A55+1</f>
        <v>43</v>
      </c>
      <c r="B59" s="66" t="s">
        <v>1430</v>
      </c>
      <c r="C59" s="65" t="s">
        <v>220</v>
      </c>
      <c r="D59" s="67">
        <v>4</v>
      </c>
      <c r="E59" s="171">
        <v>2095.5400199999999</v>
      </c>
      <c r="F59" s="288">
        <f t="shared" ref="F59:F67" si="16">ROUND(E59*D59,2)</f>
        <v>8382.16</v>
      </c>
      <c r="G59" s="288">
        <f t="shared" ref="G59:G67" si="17">ROUND(F59*1.2,2)</f>
        <v>10058.59</v>
      </c>
      <c r="J59" s="438"/>
      <c r="K59" s="438">
        <f t="shared" si="0"/>
        <v>0</v>
      </c>
    </row>
    <row r="60" spans="1:11" ht="15.6" x14ac:dyDescent="0.3">
      <c r="A60" s="65">
        <f>A59+1</f>
        <v>44</v>
      </c>
      <c r="B60" s="66" t="s">
        <v>1431</v>
      </c>
      <c r="C60" s="65" t="s">
        <v>220</v>
      </c>
      <c r="D60" s="67">
        <f>2*4</f>
        <v>8</v>
      </c>
      <c r="E60" s="171">
        <v>162.38502</v>
      </c>
      <c r="F60" s="288">
        <f t="shared" si="16"/>
        <v>1299.08</v>
      </c>
      <c r="G60" s="288">
        <f t="shared" si="17"/>
        <v>1558.9</v>
      </c>
      <c r="J60" s="438"/>
      <c r="K60" s="438">
        <f t="shared" si="0"/>
        <v>0</v>
      </c>
    </row>
    <row r="61" spans="1:11" ht="15.6" x14ac:dyDescent="0.3">
      <c r="A61" s="65">
        <f>A60+1</f>
        <v>45</v>
      </c>
      <c r="B61" s="66" t="s">
        <v>1432</v>
      </c>
      <c r="C61" s="65" t="s">
        <v>220</v>
      </c>
      <c r="D61" s="67">
        <v>4</v>
      </c>
      <c r="E61" s="171">
        <v>2080.0747799999999</v>
      </c>
      <c r="F61" s="288">
        <f t="shared" si="16"/>
        <v>8320.2999999999993</v>
      </c>
      <c r="G61" s="288">
        <f t="shared" si="17"/>
        <v>9984.36</v>
      </c>
      <c r="J61" s="438"/>
      <c r="K61" s="438">
        <f t="shared" si="0"/>
        <v>0</v>
      </c>
    </row>
    <row r="62" spans="1:11" ht="15.6" x14ac:dyDescent="0.3">
      <c r="A62" s="65">
        <f t="shared" ref="A62:A67" si="18">A61+1</f>
        <v>46</v>
      </c>
      <c r="B62" s="66" t="s">
        <v>1433</v>
      </c>
      <c r="C62" s="65" t="s">
        <v>220</v>
      </c>
      <c r="D62" s="67">
        <v>4</v>
      </c>
      <c r="E62" s="171">
        <v>402.09624000000002</v>
      </c>
      <c r="F62" s="288">
        <f t="shared" si="16"/>
        <v>1608.38</v>
      </c>
      <c r="G62" s="288">
        <f t="shared" si="17"/>
        <v>1930.06</v>
      </c>
      <c r="J62" s="438"/>
      <c r="K62" s="438">
        <f t="shared" si="0"/>
        <v>0</v>
      </c>
    </row>
    <row r="63" spans="1:11" ht="15.6" x14ac:dyDescent="0.3">
      <c r="A63" s="65">
        <f t="shared" si="18"/>
        <v>47</v>
      </c>
      <c r="B63" s="66" t="s">
        <v>1434</v>
      </c>
      <c r="C63" s="65" t="s">
        <v>194</v>
      </c>
      <c r="D63" s="67">
        <v>0.2</v>
      </c>
      <c r="E63" s="171">
        <v>618.6096</v>
      </c>
      <c r="F63" s="288">
        <f t="shared" si="16"/>
        <v>123.72</v>
      </c>
      <c r="G63" s="288">
        <f t="shared" si="17"/>
        <v>148.46</v>
      </c>
      <c r="J63" s="438"/>
      <c r="K63" s="438">
        <f t="shared" si="0"/>
        <v>0</v>
      </c>
    </row>
    <row r="64" spans="1:11" ht="15.6" x14ac:dyDescent="0.3">
      <c r="A64" s="65">
        <f t="shared" si="18"/>
        <v>48</v>
      </c>
      <c r="B64" s="66" t="s">
        <v>1435</v>
      </c>
      <c r="C64" s="65" t="s">
        <v>254</v>
      </c>
      <c r="D64" s="67">
        <f>2*0.137</f>
        <v>0.27400000000000002</v>
      </c>
      <c r="E64" s="171">
        <v>163.67379</v>
      </c>
      <c r="F64" s="288">
        <f t="shared" si="16"/>
        <v>44.85</v>
      </c>
      <c r="G64" s="288">
        <f t="shared" si="17"/>
        <v>53.82</v>
      </c>
      <c r="J64" s="438"/>
      <c r="K64" s="438">
        <f t="shared" si="0"/>
        <v>0</v>
      </c>
    </row>
    <row r="65" spans="1:11" ht="15.6" x14ac:dyDescent="0.3">
      <c r="A65" s="65">
        <f t="shared" si="18"/>
        <v>49</v>
      </c>
      <c r="B65" s="66" t="s">
        <v>1436</v>
      </c>
      <c r="C65" s="65" t="s">
        <v>254</v>
      </c>
      <c r="D65" s="67">
        <f>2*0.032</f>
        <v>6.4000000000000001E-2</v>
      </c>
      <c r="E65" s="171">
        <v>189.44919000000002</v>
      </c>
      <c r="F65" s="288">
        <f t="shared" si="16"/>
        <v>12.12</v>
      </c>
      <c r="G65" s="288">
        <f t="shared" si="17"/>
        <v>14.54</v>
      </c>
      <c r="J65" s="438"/>
      <c r="K65" s="438">
        <f t="shared" si="0"/>
        <v>0</v>
      </c>
    </row>
    <row r="66" spans="1:11" ht="15.6" x14ac:dyDescent="0.3">
      <c r="A66" s="65">
        <f t="shared" si="18"/>
        <v>50</v>
      </c>
      <c r="B66" s="66" t="s">
        <v>1437</v>
      </c>
      <c r="C66" s="65" t="s">
        <v>254</v>
      </c>
      <c r="D66" s="67">
        <f>2*0.013</f>
        <v>2.5999999999999999E-2</v>
      </c>
      <c r="E66" s="171">
        <v>253.88768999999999</v>
      </c>
      <c r="F66" s="288">
        <f t="shared" si="16"/>
        <v>6.6</v>
      </c>
      <c r="G66" s="288">
        <f t="shared" si="17"/>
        <v>7.92</v>
      </c>
      <c r="J66" s="438"/>
      <c r="K66" s="438">
        <f t="shared" si="0"/>
        <v>0</v>
      </c>
    </row>
    <row r="67" spans="1:11" ht="15.6" x14ac:dyDescent="0.3">
      <c r="A67" s="65">
        <f t="shared" si="18"/>
        <v>51</v>
      </c>
      <c r="B67" s="66" t="s">
        <v>1438</v>
      </c>
      <c r="C67" s="65" t="s">
        <v>254</v>
      </c>
      <c r="D67" s="67">
        <f>2*0.013</f>
        <v>2.5999999999999999E-2</v>
      </c>
      <c r="E67" s="171">
        <v>253.88768999999999</v>
      </c>
      <c r="F67" s="288">
        <f t="shared" si="16"/>
        <v>6.6</v>
      </c>
      <c r="G67" s="288">
        <f t="shared" si="17"/>
        <v>7.92</v>
      </c>
      <c r="J67" s="438"/>
      <c r="K67" s="438">
        <f t="shared" si="0"/>
        <v>0</v>
      </c>
    </row>
    <row r="68" spans="1:11" ht="23.25" customHeight="1" x14ac:dyDescent="0.3">
      <c r="A68" s="65"/>
      <c r="B68" s="72" t="s">
        <v>1382</v>
      </c>
      <c r="C68" s="65"/>
      <c r="D68" s="67"/>
      <c r="E68" s="171">
        <v>0</v>
      </c>
      <c r="F68" s="288"/>
      <c r="G68" s="288"/>
      <c r="J68" s="438"/>
      <c r="K68" s="438">
        <f t="shared" si="0"/>
        <v>0</v>
      </c>
    </row>
    <row r="69" spans="1:11" ht="27.6" x14ac:dyDescent="0.3">
      <c r="A69" s="65">
        <f>A67+1</f>
        <v>52</v>
      </c>
      <c r="B69" s="66" t="s">
        <v>1439</v>
      </c>
      <c r="C69" s="65" t="s">
        <v>220</v>
      </c>
      <c r="D69" s="70">
        <v>1</v>
      </c>
      <c r="E69" s="171">
        <v>31046.469300000001</v>
      </c>
      <c r="F69" s="288">
        <f t="shared" ref="F69:F82" si="19">ROUND(E69*D69,2)</f>
        <v>31046.47</v>
      </c>
      <c r="G69" s="288">
        <f t="shared" ref="G69:G82" si="20">ROUND(F69*1.2,2)</f>
        <v>37255.760000000002</v>
      </c>
      <c r="J69" s="438"/>
      <c r="K69" s="438">
        <f t="shared" si="0"/>
        <v>0</v>
      </c>
    </row>
    <row r="70" spans="1:11" ht="15.6" x14ac:dyDescent="0.3">
      <c r="A70" s="65">
        <f>A69+1</f>
        <v>53</v>
      </c>
      <c r="B70" s="66" t="s">
        <v>1440</v>
      </c>
      <c r="C70" s="65" t="s">
        <v>194</v>
      </c>
      <c r="D70" s="67">
        <v>1.29</v>
      </c>
      <c r="E70" s="171">
        <v>3966.8340600000001</v>
      </c>
      <c r="F70" s="288">
        <f t="shared" si="19"/>
        <v>5117.22</v>
      </c>
      <c r="G70" s="288">
        <f t="shared" si="20"/>
        <v>6140.66</v>
      </c>
      <c r="J70" s="438"/>
      <c r="K70" s="438">
        <f t="shared" ref="K70:K88" si="21">E70*J70*1.2</f>
        <v>0</v>
      </c>
    </row>
    <row r="71" spans="1:11" ht="15.6" x14ac:dyDescent="0.3">
      <c r="A71" s="65">
        <f t="shared" ref="A71:A82" si="22">A70+1</f>
        <v>54</v>
      </c>
      <c r="B71" s="66" t="s">
        <v>1441</v>
      </c>
      <c r="C71" s="65" t="s">
        <v>194</v>
      </c>
      <c r="D71" s="67">
        <v>1.39</v>
      </c>
      <c r="E71" s="171">
        <v>2165.1336000000001</v>
      </c>
      <c r="F71" s="288">
        <f t="shared" si="19"/>
        <v>3009.54</v>
      </c>
      <c r="G71" s="288">
        <f t="shared" si="20"/>
        <v>3611.45</v>
      </c>
      <c r="J71" s="438"/>
      <c r="K71" s="438">
        <f t="shared" si="21"/>
        <v>0</v>
      </c>
    </row>
    <row r="72" spans="1:11" ht="15.6" x14ac:dyDescent="0.3">
      <c r="A72" s="65">
        <f t="shared" si="22"/>
        <v>55</v>
      </c>
      <c r="B72" s="66" t="s">
        <v>1442</v>
      </c>
      <c r="C72" s="65" t="s">
        <v>220</v>
      </c>
      <c r="D72" s="70">
        <v>1</v>
      </c>
      <c r="E72" s="171">
        <v>1984.7058000000002</v>
      </c>
      <c r="F72" s="288">
        <f t="shared" si="19"/>
        <v>1984.71</v>
      </c>
      <c r="G72" s="288">
        <f t="shared" si="20"/>
        <v>2381.65</v>
      </c>
      <c r="J72" s="438"/>
      <c r="K72" s="438">
        <f t="shared" si="21"/>
        <v>0</v>
      </c>
    </row>
    <row r="73" spans="1:11" ht="15.6" x14ac:dyDescent="0.3">
      <c r="A73" s="65">
        <f t="shared" si="22"/>
        <v>56</v>
      </c>
      <c r="B73" s="66" t="s">
        <v>1443</v>
      </c>
      <c r="C73" s="65" t="s">
        <v>220</v>
      </c>
      <c r="D73" s="70">
        <v>1</v>
      </c>
      <c r="E73" s="171">
        <v>6998.0211000000008</v>
      </c>
      <c r="F73" s="288">
        <f t="shared" si="19"/>
        <v>6998.02</v>
      </c>
      <c r="G73" s="288">
        <f t="shared" si="20"/>
        <v>8397.6200000000008</v>
      </c>
      <c r="J73" s="438"/>
      <c r="K73" s="438">
        <f t="shared" si="21"/>
        <v>0</v>
      </c>
    </row>
    <row r="74" spans="1:11" ht="27.6" x14ac:dyDescent="0.3">
      <c r="A74" s="65">
        <f t="shared" si="22"/>
        <v>57</v>
      </c>
      <c r="B74" s="66" t="s">
        <v>1444</v>
      </c>
      <c r="C74" s="65" t="s">
        <v>220</v>
      </c>
      <c r="D74" s="70">
        <v>1</v>
      </c>
      <c r="E74" s="171">
        <v>33533.795400000003</v>
      </c>
      <c r="F74" s="288">
        <f t="shared" si="19"/>
        <v>33533.800000000003</v>
      </c>
      <c r="G74" s="288">
        <f t="shared" si="20"/>
        <v>40240.559999999998</v>
      </c>
      <c r="J74" s="438"/>
      <c r="K74" s="438">
        <f t="shared" si="21"/>
        <v>0</v>
      </c>
    </row>
    <row r="75" spans="1:11" ht="15.6" x14ac:dyDescent="0.3">
      <c r="A75" s="65">
        <f t="shared" si="22"/>
        <v>58</v>
      </c>
      <c r="B75" s="66" t="s">
        <v>1445</v>
      </c>
      <c r="C75" s="65" t="s">
        <v>194</v>
      </c>
      <c r="D75" s="67">
        <v>1.29</v>
      </c>
      <c r="E75" s="171">
        <v>3966.8340600000001</v>
      </c>
      <c r="F75" s="288">
        <f t="shared" si="19"/>
        <v>5117.22</v>
      </c>
      <c r="G75" s="288">
        <f t="shared" si="20"/>
        <v>6140.66</v>
      </c>
      <c r="J75" s="438"/>
      <c r="K75" s="438">
        <f t="shared" si="21"/>
        <v>0</v>
      </c>
    </row>
    <row r="76" spans="1:11" ht="15.6" x14ac:dyDescent="0.3">
      <c r="A76" s="65">
        <f t="shared" si="22"/>
        <v>59</v>
      </c>
      <c r="B76" s="66" t="s">
        <v>1446</v>
      </c>
      <c r="C76" s="65" t="s">
        <v>194</v>
      </c>
      <c r="D76" s="67">
        <v>1.07</v>
      </c>
      <c r="E76" s="171">
        <v>2165.1336000000001</v>
      </c>
      <c r="F76" s="288">
        <f t="shared" si="19"/>
        <v>2316.69</v>
      </c>
      <c r="G76" s="288">
        <f t="shared" si="20"/>
        <v>2780.03</v>
      </c>
      <c r="J76" s="438"/>
      <c r="K76" s="438">
        <f t="shared" si="21"/>
        <v>0</v>
      </c>
    </row>
    <row r="77" spans="1:11" ht="15.6" x14ac:dyDescent="0.3">
      <c r="A77" s="65">
        <f t="shared" si="22"/>
        <v>60</v>
      </c>
      <c r="B77" s="66" t="s">
        <v>1442</v>
      </c>
      <c r="C77" s="65" t="s">
        <v>220</v>
      </c>
      <c r="D77" s="70">
        <v>1</v>
      </c>
      <c r="E77" s="171">
        <v>1984.7058000000002</v>
      </c>
      <c r="F77" s="288">
        <f t="shared" si="19"/>
        <v>1984.71</v>
      </c>
      <c r="G77" s="288">
        <f t="shared" si="20"/>
        <v>2381.65</v>
      </c>
      <c r="J77" s="438"/>
      <c r="K77" s="438">
        <f t="shared" si="21"/>
        <v>0</v>
      </c>
    </row>
    <row r="78" spans="1:11" ht="15.6" x14ac:dyDescent="0.3">
      <c r="A78" s="65">
        <f t="shared" si="22"/>
        <v>61</v>
      </c>
      <c r="B78" s="66" t="s">
        <v>1443</v>
      </c>
      <c r="C78" s="65" t="s">
        <v>220</v>
      </c>
      <c r="D78" s="70">
        <v>1</v>
      </c>
      <c r="E78" s="171">
        <v>6998.0211000000008</v>
      </c>
      <c r="F78" s="288">
        <f t="shared" si="19"/>
        <v>6998.02</v>
      </c>
      <c r="G78" s="288">
        <f t="shared" si="20"/>
        <v>8397.6200000000008</v>
      </c>
      <c r="J78" s="438"/>
      <c r="K78" s="438">
        <f t="shared" si="21"/>
        <v>0</v>
      </c>
    </row>
    <row r="79" spans="1:11" ht="15.6" x14ac:dyDescent="0.3">
      <c r="A79" s="65">
        <f t="shared" si="22"/>
        <v>62</v>
      </c>
      <c r="B79" s="66" t="s">
        <v>1447</v>
      </c>
      <c r="C79" s="65" t="s">
        <v>220</v>
      </c>
      <c r="D79" s="70">
        <v>2</v>
      </c>
      <c r="E79" s="171">
        <v>25131.014999999999</v>
      </c>
      <c r="F79" s="288">
        <f t="shared" si="19"/>
        <v>50262.03</v>
      </c>
      <c r="G79" s="288">
        <f t="shared" si="20"/>
        <v>60314.44</v>
      </c>
      <c r="J79" s="438"/>
      <c r="K79" s="438">
        <f t="shared" si="21"/>
        <v>0</v>
      </c>
    </row>
    <row r="80" spans="1:11" ht="27.6" x14ac:dyDescent="0.3">
      <c r="A80" s="65">
        <f t="shared" si="22"/>
        <v>63</v>
      </c>
      <c r="B80" s="66" t="s">
        <v>1448</v>
      </c>
      <c r="C80" s="65" t="s">
        <v>220</v>
      </c>
      <c r="D80" s="70">
        <v>2</v>
      </c>
      <c r="E80" s="171">
        <v>1897.06944</v>
      </c>
      <c r="F80" s="288">
        <f t="shared" si="19"/>
        <v>3794.14</v>
      </c>
      <c r="G80" s="288">
        <f t="shared" si="20"/>
        <v>4552.97</v>
      </c>
      <c r="J80" s="438"/>
      <c r="K80" s="438">
        <f t="shared" si="21"/>
        <v>0</v>
      </c>
    </row>
    <row r="81" spans="1:11" ht="15.6" x14ac:dyDescent="0.3">
      <c r="A81" s="65">
        <f t="shared" si="22"/>
        <v>64</v>
      </c>
      <c r="B81" s="66" t="s">
        <v>1443</v>
      </c>
      <c r="C81" s="65" t="s">
        <v>220</v>
      </c>
      <c r="D81" s="70">
        <v>2</v>
      </c>
      <c r="E81" s="171">
        <v>6998.0211000000008</v>
      </c>
      <c r="F81" s="288">
        <f t="shared" si="19"/>
        <v>13996.04</v>
      </c>
      <c r="G81" s="288">
        <f t="shared" si="20"/>
        <v>16795.25</v>
      </c>
      <c r="J81" s="438"/>
      <c r="K81" s="438">
        <f t="shared" si="21"/>
        <v>0</v>
      </c>
    </row>
    <row r="82" spans="1:11" ht="15.6" x14ac:dyDescent="0.3">
      <c r="A82" s="65">
        <f t="shared" si="22"/>
        <v>65</v>
      </c>
      <c r="B82" s="66" t="s">
        <v>1449</v>
      </c>
      <c r="C82" s="65" t="s">
        <v>220</v>
      </c>
      <c r="D82" s="70">
        <v>1</v>
      </c>
      <c r="E82" s="171">
        <v>12971.47005</v>
      </c>
      <c r="F82" s="288">
        <f t="shared" si="19"/>
        <v>12971.47</v>
      </c>
      <c r="G82" s="288">
        <f t="shared" si="20"/>
        <v>15565.76</v>
      </c>
      <c r="J82" s="438"/>
      <c r="K82" s="438">
        <f t="shared" si="21"/>
        <v>0</v>
      </c>
    </row>
    <row r="83" spans="1:11" ht="15.6" x14ac:dyDescent="0.3">
      <c r="A83" s="65"/>
      <c r="B83" s="72" t="s">
        <v>1394</v>
      </c>
      <c r="C83" s="65"/>
      <c r="D83" s="67"/>
      <c r="E83" s="171">
        <v>0</v>
      </c>
      <c r="F83" s="288"/>
      <c r="G83" s="288"/>
      <c r="J83" s="438"/>
      <c r="K83" s="438">
        <f t="shared" si="21"/>
        <v>0</v>
      </c>
    </row>
    <row r="84" spans="1:11" ht="15.6" x14ac:dyDescent="0.3">
      <c r="A84" s="65">
        <f>A82+1</f>
        <v>66</v>
      </c>
      <c r="B84" s="66" t="s">
        <v>1450</v>
      </c>
      <c r="C84" s="65" t="s">
        <v>220</v>
      </c>
      <c r="D84" s="70">
        <v>2</v>
      </c>
      <c r="E84" s="171">
        <v>2474.4384</v>
      </c>
      <c r="F84" s="288">
        <f t="shared" ref="F84:F98" si="23">ROUND(E84*D84,2)</f>
        <v>4948.88</v>
      </c>
      <c r="G84" s="288">
        <f t="shared" ref="G84:G98" si="24">ROUND(F84*1.2,2)</f>
        <v>5938.66</v>
      </c>
      <c r="J84" s="438"/>
      <c r="K84" s="438">
        <f t="shared" si="21"/>
        <v>0</v>
      </c>
    </row>
    <row r="85" spans="1:11" ht="15.6" x14ac:dyDescent="0.3">
      <c r="A85" s="65">
        <f>A84+1</f>
        <v>67</v>
      </c>
      <c r="B85" s="66" t="s">
        <v>1451</v>
      </c>
      <c r="C85" s="65" t="s">
        <v>220</v>
      </c>
      <c r="D85" s="70">
        <v>1</v>
      </c>
      <c r="E85" s="171">
        <v>5412.8340000000007</v>
      </c>
      <c r="F85" s="288">
        <f t="shared" si="23"/>
        <v>5412.83</v>
      </c>
      <c r="G85" s="288">
        <f t="shared" si="24"/>
        <v>6495.4</v>
      </c>
      <c r="J85" s="438"/>
      <c r="K85" s="438">
        <f t="shared" si="21"/>
        <v>0</v>
      </c>
    </row>
    <row r="86" spans="1:11" ht="15.6" x14ac:dyDescent="0.3">
      <c r="A86" s="65">
        <f>A85+1</f>
        <v>68</v>
      </c>
      <c r="B86" s="66" t="s">
        <v>1452</v>
      </c>
      <c r="C86" s="65" t="s">
        <v>220</v>
      </c>
      <c r="D86" s="70">
        <v>1</v>
      </c>
      <c r="E86" s="171">
        <v>3672.9945000000002</v>
      </c>
      <c r="F86" s="288">
        <f t="shared" si="23"/>
        <v>3672.99</v>
      </c>
      <c r="G86" s="288">
        <f t="shared" si="24"/>
        <v>4407.59</v>
      </c>
      <c r="J86" s="438"/>
      <c r="K86" s="438">
        <f t="shared" si="21"/>
        <v>0</v>
      </c>
    </row>
    <row r="87" spans="1:11" ht="15.6" x14ac:dyDescent="0.3">
      <c r="A87" s="65">
        <f t="shared" ref="A87:A98" si="25">A86+1</f>
        <v>69</v>
      </c>
      <c r="B87" s="66" t="s">
        <v>1453</v>
      </c>
      <c r="C87" s="65" t="s">
        <v>220</v>
      </c>
      <c r="D87" s="70">
        <v>1</v>
      </c>
      <c r="E87" s="171">
        <v>3389.4651000000003</v>
      </c>
      <c r="F87" s="288">
        <f t="shared" si="23"/>
        <v>3389.47</v>
      </c>
      <c r="G87" s="288">
        <f t="shared" si="24"/>
        <v>4067.36</v>
      </c>
      <c r="J87" s="438"/>
      <c r="K87" s="438">
        <f t="shared" si="21"/>
        <v>0</v>
      </c>
    </row>
    <row r="88" spans="1:11" ht="15.6" x14ac:dyDescent="0.3">
      <c r="A88" s="65">
        <f t="shared" si="25"/>
        <v>70</v>
      </c>
      <c r="B88" s="66" t="s">
        <v>1454</v>
      </c>
      <c r="C88" s="65" t="s">
        <v>220</v>
      </c>
      <c r="D88" s="70">
        <v>1</v>
      </c>
      <c r="E88" s="171">
        <v>7513.5291000000007</v>
      </c>
      <c r="F88" s="288">
        <f t="shared" si="23"/>
        <v>7513.53</v>
      </c>
      <c r="G88" s="288">
        <f t="shared" si="24"/>
        <v>9016.24</v>
      </c>
      <c r="J88" s="438"/>
      <c r="K88" s="438">
        <f t="shared" si="21"/>
        <v>0</v>
      </c>
    </row>
    <row r="89" spans="1:11" ht="15.6" x14ac:dyDescent="0.3">
      <c r="A89" s="65">
        <f t="shared" si="25"/>
        <v>71</v>
      </c>
      <c r="B89" s="66" t="s">
        <v>1455</v>
      </c>
      <c r="C89" s="65" t="s">
        <v>220</v>
      </c>
      <c r="D89" s="70">
        <v>1</v>
      </c>
      <c r="E89" s="171">
        <v>11727.807000000001</v>
      </c>
      <c r="F89" s="288">
        <f t="shared" si="23"/>
        <v>11727.81</v>
      </c>
      <c r="G89" s="288">
        <f t="shared" si="24"/>
        <v>14073.37</v>
      </c>
      <c r="J89" s="438"/>
      <c r="K89" s="438">
        <f t="shared" ref="K89:K98" si="26">E89*J89*1.2</f>
        <v>0</v>
      </c>
    </row>
    <row r="90" spans="1:11" ht="15.6" x14ac:dyDescent="0.3">
      <c r="A90" s="65">
        <f t="shared" si="25"/>
        <v>72</v>
      </c>
      <c r="B90" s="66" t="s">
        <v>1456</v>
      </c>
      <c r="C90" s="65" t="s">
        <v>220</v>
      </c>
      <c r="D90" s="70">
        <v>3</v>
      </c>
      <c r="E90" s="171">
        <v>541.28340000000003</v>
      </c>
      <c r="F90" s="288">
        <f t="shared" si="23"/>
        <v>1623.85</v>
      </c>
      <c r="G90" s="288">
        <f t="shared" si="24"/>
        <v>1948.62</v>
      </c>
      <c r="J90" s="438"/>
      <c r="K90" s="438">
        <f t="shared" si="26"/>
        <v>0</v>
      </c>
    </row>
    <row r="91" spans="1:11" ht="15.6" x14ac:dyDescent="0.3">
      <c r="A91" s="65">
        <f t="shared" si="25"/>
        <v>73</v>
      </c>
      <c r="B91" s="66" t="s">
        <v>1457</v>
      </c>
      <c r="C91" s="65" t="s">
        <v>220</v>
      </c>
      <c r="D91" s="70">
        <v>1</v>
      </c>
      <c r="E91" s="171">
        <v>7345.9890000000005</v>
      </c>
      <c r="F91" s="288">
        <f t="shared" si="23"/>
        <v>7345.99</v>
      </c>
      <c r="G91" s="288">
        <f t="shared" si="24"/>
        <v>8815.19</v>
      </c>
      <c r="J91" s="438"/>
      <c r="K91" s="438">
        <f t="shared" si="26"/>
        <v>0</v>
      </c>
    </row>
    <row r="92" spans="1:11" ht="15.6" x14ac:dyDescent="0.3">
      <c r="A92" s="65">
        <f t="shared" si="25"/>
        <v>74</v>
      </c>
      <c r="B92" s="66" t="s">
        <v>1458</v>
      </c>
      <c r="C92" s="65" t="s">
        <v>193</v>
      </c>
      <c r="D92" s="67">
        <v>0.18</v>
      </c>
      <c r="E92" s="171">
        <v>2706.4170000000004</v>
      </c>
      <c r="F92" s="288">
        <f t="shared" si="23"/>
        <v>487.16</v>
      </c>
      <c r="G92" s="288">
        <f t="shared" si="24"/>
        <v>584.59</v>
      </c>
      <c r="J92" s="438"/>
      <c r="K92" s="438">
        <f t="shared" si="26"/>
        <v>0</v>
      </c>
    </row>
    <row r="93" spans="1:11" ht="15.6" x14ac:dyDescent="0.3">
      <c r="A93" s="65">
        <f t="shared" si="25"/>
        <v>75</v>
      </c>
      <c r="B93" s="66" t="s">
        <v>1402</v>
      </c>
      <c r="C93" s="65" t="s">
        <v>193</v>
      </c>
      <c r="D93" s="67">
        <v>0.17</v>
      </c>
      <c r="E93" s="171">
        <v>7732.62</v>
      </c>
      <c r="F93" s="288">
        <f t="shared" si="23"/>
        <v>1314.55</v>
      </c>
      <c r="G93" s="288">
        <f t="shared" si="24"/>
        <v>1577.46</v>
      </c>
      <c r="J93" s="438"/>
      <c r="K93" s="438">
        <f t="shared" si="26"/>
        <v>0</v>
      </c>
    </row>
    <row r="94" spans="1:11" ht="15.6" x14ac:dyDescent="0.3">
      <c r="A94" s="65">
        <f t="shared" si="25"/>
        <v>76</v>
      </c>
      <c r="B94" s="66" t="s">
        <v>1403</v>
      </c>
      <c r="C94" s="65" t="s">
        <v>193</v>
      </c>
      <c r="D94" s="67">
        <v>0.05</v>
      </c>
      <c r="E94" s="171">
        <v>6443.85</v>
      </c>
      <c r="F94" s="288">
        <f t="shared" si="23"/>
        <v>322.19</v>
      </c>
      <c r="G94" s="288">
        <f t="shared" si="24"/>
        <v>386.63</v>
      </c>
      <c r="J94" s="438"/>
      <c r="K94" s="438">
        <f t="shared" si="26"/>
        <v>0</v>
      </c>
    </row>
    <row r="95" spans="1:11" ht="15.6" x14ac:dyDescent="0.3">
      <c r="A95" s="65">
        <f t="shared" si="25"/>
        <v>77</v>
      </c>
      <c r="B95" s="66" t="s">
        <v>1625</v>
      </c>
      <c r="C95" s="285" t="s">
        <v>254</v>
      </c>
      <c r="D95" s="67">
        <v>20.09</v>
      </c>
      <c r="E95" s="171">
        <v>41.240640000000006</v>
      </c>
      <c r="F95" s="288">
        <f t="shared" si="23"/>
        <v>828.52</v>
      </c>
      <c r="G95" s="288">
        <f t="shared" si="24"/>
        <v>994.22</v>
      </c>
      <c r="J95" s="438"/>
      <c r="K95" s="438">
        <f t="shared" si="26"/>
        <v>0</v>
      </c>
    </row>
    <row r="96" spans="1:11" ht="15.6" x14ac:dyDescent="0.3">
      <c r="A96" s="65">
        <f t="shared" si="25"/>
        <v>78</v>
      </c>
      <c r="B96" s="66" t="s">
        <v>1459</v>
      </c>
      <c r="C96" s="65" t="s">
        <v>220</v>
      </c>
      <c r="D96" s="67">
        <v>2</v>
      </c>
      <c r="E96" s="171">
        <v>1288.77</v>
      </c>
      <c r="F96" s="288">
        <f t="shared" si="23"/>
        <v>2577.54</v>
      </c>
      <c r="G96" s="288">
        <f t="shared" si="24"/>
        <v>3093.05</v>
      </c>
      <c r="J96" s="438"/>
      <c r="K96" s="438">
        <f t="shared" si="26"/>
        <v>0</v>
      </c>
    </row>
    <row r="97" spans="1:11" ht="15.6" x14ac:dyDescent="0.3">
      <c r="A97" s="65">
        <f t="shared" si="25"/>
        <v>79</v>
      </c>
      <c r="B97" s="66" t="s">
        <v>1460</v>
      </c>
      <c r="C97" s="65" t="s">
        <v>194</v>
      </c>
      <c r="D97" s="67">
        <v>12.6</v>
      </c>
      <c r="E97" s="171">
        <v>33.508020000000002</v>
      </c>
      <c r="F97" s="288">
        <f t="shared" si="23"/>
        <v>422.2</v>
      </c>
      <c r="G97" s="288">
        <f t="shared" si="24"/>
        <v>506.64</v>
      </c>
      <c r="J97" s="438"/>
      <c r="K97" s="438">
        <f t="shared" si="26"/>
        <v>0</v>
      </c>
    </row>
    <row r="98" spans="1:11" ht="27.6" x14ac:dyDescent="0.3">
      <c r="A98" s="65">
        <f t="shared" si="25"/>
        <v>80</v>
      </c>
      <c r="B98" s="66" t="s">
        <v>407</v>
      </c>
      <c r="C98" s="65" t="s">
        <v>243</v>
      </c>
      <c r="D98" s="70">
        <v>1</v>
      </c>
      <c r="E98" s="171">
        <v>154652.4</v>
      </c>
      <c r="F98" s="288">
        <f t="shared" si="23"/>
        <v>154652.4</v>
      </c>
      <c r="G98" s="288">
        <f t="shared" si="24"/>
        <v>185582.88</v>
      </c>
      <c r="J98" s="438"/>
      <c r="K98" s="438">
        <f t="shared" si="26"/>
        <v>0</v>
      </c>
    </row>
    <row r="99" spans="1:11" ht="22.5" customHeight="1" x14ac:dyDescent="0.3">
      <c r="A99" s="552" t="s">
        <v>408</v>
      </c>
      <c r="B99" s="552"/>
      <c r="C99" s="552"/>
      <c r="D99" s="552"/>
      <c r="E99" s="552"/>
      <c r="F99" s="82">
        <f>SUM(F6:F98)</f>
        <v>1330631.2799999993</v>
      </c>
      <c r="G99" s="82">
        <f>SUM(G6:G98)</f>
        <v>1596757.52</v>
      </c>
      <c r="J99" s="438"/>
      <c r="K99" s="436">
        <f>SUM(K5:K98)</f>
        <v>0</v>
      </c>
    </row>
  </sheetData>
  <mergeCells count="11">
    <mergeCell ref="J1:J3"/>
    <mergeCell ref="K1:K3"/>
    <mergeCell ref="F1:F3"/>
    <mergeCell ref="G1:G3"/>
    <mergeCell ref="A99:E99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0.79998168889431442"/>
  </sheetPr>
  <dimension ref="A1:L103"/>
  <sheetViews>
    <sheetView zoomScaleNormal="100" zoomScaleSheetLayoutView="80" workbookViewId="0">
      <selection activeCell="E104" sqref="E104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3.33203125" style="52" customWidth="1"/>
    <col min="10" max="11" width="17" style="440" customWidth="1"/>
  </cols>
  <sheetData>
    <row r="1" spans="1:12" ht="14.55" customHeight="1" x14ac:dyDescent="0.3">
      <c r="A1" s="539" t="s">
        <v>226</v>
      </c>
      <c r="B1" s="542" t="s">
        <v>201</v>
      </c>
      <c r="C1" s="545" t="s">
        <v>230</v>
      </c>
      <c r="D1" s="545" t="s">
        <v>202</v>
      </c>
      <c r="E1" s="545" t="s">
        <v>441</v>
      </c>
      <c r="F1" s="545" t="s">
        <v>433</v>
      </c>
      <c r="G1" s="545" t="s">
        <v>409</v>
      </c>
      <c r="J1" s="536" t="s">
        <v>1657</v>
      </c>
      <c r="K1" s="536" t="s">
        <v>1658</v>
      </c>
    </row>
    <row r="2" spans="1:12" ht="14.55" customHeight="1" x14ac:dyDescent="0.3">
      <c r="A2" s="540"/>
      <c r="B2" s="543"/>
      <c r="C2" s="545"/>
      <c r="D2" s="545"/>
      <c r="E2" s="545"/>
      <c r="F2" s="545"/>
      <c r="G2" s="545"/>
      <c r="J2" s="536"/>
      <c r="K2" s="536"/>
      <c r="L2" s="381"/>
    </row>
    <row r="3" spans="1:12" ht="55.95" customHeight="1" x14ac:dyDescent="0.3">
      <c r="A3" s="541"/>
      <c r="B3" s="544"/>
      <c r="C3" s="545"/>
      <c r="D3" s="545"/>
      <c r="E3" s="545"/>
      <c r="F3" s="545"/>
      <c r="G3" s="545"/>
      <c r="J3" s="536"/>
      <c r="K3" s="536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  <c r="J4" s="437"/>
      <c r="K4" s="437"/>
      <c r="L4" s="381"/>
    </row>
    <row r="5" spans="1:12" ht="20.25" customHeight="1" x14ac:dyDescent="0.3">
      <c r="A5" s="173"/>
      <c r="B5" s="537" t="s">
        <v>1461</v>
      </c>
      <c r="C5" s="538"/>
      <c r="D5" s="538"/>
      <c r="E5" s="174"/>
      <c r="F5" s="175"/>
      <c r="G5" s="183"/>
      <c r="J5" s="438"/>
      <c r="K5" s="438">
        <f>E5*J5*1.2</f>
        <v>0</v>
      </c>
    </row>
    <row r="6" spans="1:12" ht="19.5" customHeight="1" x14ac:dyDescent="0.3">
      <c r="A6" s="273"/>
      <c r="B6" s="61" t="s">
        <v>1462</v>
      </c>
      <c r="C6" s="62"/>
      <c r="D6" s="62"/>
      <c r="E6" s="63"/>
      <c r="F6" s="64"/>
      <c r="G6" s="127"/>
      <c r="J6" s="438"/>
      <c r="K6" s="438">
        <f t="shared" ref="K6:K69" si="0">E6*J6*1.2</f>
        <v>0</v>
      </c>
    </row>
    <row r="7" spans="1:12" ht="15.6" x14ac:dyDescent="0.3">
      <c r="A7" s="323">
        <v>1</v>
      </c>
      <c r="B7" s="324" t="s">
        <v>443</v>
      </c>
      <c r="C7" s="323" t="s">
        <v>193</v>
      </c>
      <c r="D7" s="382">
        <v>156.5</v>
      </c>
      <c r="E7" s="295">
        <v>464.82929999999999</v>
      </c>
      <c r="F7" s="288">
        <f t="shared" ref="F7:F14" si="1">ROUND(E7*D7,2)</f>
        <v>72745.789999999994</v>
      </c>
      <c r="G7" s="288">
        <f t="shared" ref="G7:G14" si="2">ROUND(F7*1.2,2)</f>
        <v>87294.95</v>
      </c>
      <c r="J7" s="438"/>
      <c r="K7" s="438">
        <f t="shared" si="0"/>
        <v>0</v>
      </c>
    </row>
    <row r="8" spans="1:12" ht="18.75" customHeight="1" x14ac:dyDescent="0.3">
      <c r="A8" s="323">
        <f>A7+1</f>
        <v>2</v>
      </c>
      <c r="B8" s="324" t="s">
        <v>444</v>
      </c>
      <c r="C8" s="400" t="s">
        <v>193</v>
      </c>
      <c r="D8" s="382">
        <v>4.7</v>
      </c>
      <c r="E8" s="295">
        <v>2541.5435879999995</v>
      </c>
      <c r="F8" s="288">
        <f t="shared" si="1"/>
        <v>11945.25</v>
      </c>
      <c r="G8" s="288">
        <f t="shared" si="2"/>
        <v>14334.3</v>
      </c>
      <c r="J8" s="438"/>
      <c r="K8" s="438">
        <f t="shared" si="0"/>
        <v>0</v>
      </c>
    </row>
    <row r="9" spans="1:12" ht="18.75" customHeight="1" x14ac:dyDescent="0.3">
      <c r="A9" s="323">
        <f>A8+1</f>
        <v>3</v>
      </c>
      <c r="B9" s="324" t="s">
        <v>1463</v>
      </c>
      <c r="C9" s="323" t="s">
        <v>239</v>
      </c>
      <c r="D9" s="325">
        <v>107.74</v>
      </c>
      <c r="E9" s="295">
        <v>0</v>
      </c>
      <c r="F9" s="288">
        <f t="shared" si="1"/>
        <v>0</v>
      </c>
      <c r="G9" s="288">
        <f t="shared" si="2"/>
        <v>0</v>
      </c>
      <c r="H9" s="270" t="s">
        <v>1620</v>
      </c>
      <c r="J9" s="438"/>
      <c r="K9" s="438">
        <f t="shared" si="0"/>
        <v>0</v>
      </c>
    </row>
    <row r="10" spans="1:12" ht="18" customHeight="1" x14ac:dyDescent="0.3">
      <c r="A10" s="323">
        <f>A9+1</f>
        <v>4</v>
      </c>
      <c r="B10" s="324" t="s">
        <v>449</v>
      </c>
      <c r="C10" s="323" t="s">
        <v>193</v>
      </c>
      <c r="D10" s="382">
        <v>93.6</v>
      </c>
      <c r="E10" s="295">
        <v>464.82929999999999</v>
      </c>
      <c r="F10" s="288">
        <f t="shared" si="1"/>
        <v>43508.02</v>
      </c>
      <c r="G10" s="288">
        <f t="shared" si="2"/>
        <v>52209.62</v>
      </c>
      <c r="J10" s="438"/>
      <c r="K10" s="438">
        <f t="shared" si="0"/>
        <v>0</v>
      </c>
    </row>
    <row r="11" spans="1:12" ht="18" customHeight="1" x14ac:dyDescent="0.3">
      <c r="A11" s="323">
        <f t="shared" ref="A11:A14" si="3">A10+1</f>
        <v>5</v>
      </c>
      <c r="B11" s="324" t="s">
        <v>451</v>
      </c>
      <c r="C11" s="323" t="s">
        <v>193</v>
      </c>
      <c r="D11" s="327">
        <v>93.6</v>
      </c>
      <c r="E11" s="295">
        <v>283.188312</v>
      </c>
      <c r="F11" s="288">
        <f t="shared" si="1"/>
        <v>26506.43</v>
      </c>
      <c r="G11" s="288">
        <f t="shared" si="2"/>
        <v>31807.72</v>
      </c>
      <c r="J11" s="438"/>
      <c r="K11" s="438">
        <f t="shared" si="0"/>
        <v>0</v>
      </c>
    </row>
    <row r="12" spans="1:12" ht="15.6" x14ac:dyDescent="0.3">
      <c r="A12" s="323">
        <f t="shared" si="3"/>
        <v>6</v>
      </c>
      <c r="B12" s="324" t="s">
        <v>450</v>
      </c>
      <c r="C12" s="323" t="s">
        <v>193</v>
      </c>
      <c r="D12" s="382">
        <v>23.4</v>
      </c>
      <c r="E12" s="295">
        <v>1285.789356</v>
      </c>
      <c r="F12" s="288">
        <f t="shared" si="1"/>
        <v>30087.47</v>
      </c>
      <c r="G12" s="288">
        <f t="shared" si="2"/>
        <v>36104.959999999999</v>
      </c>
      <c r="J12" s="438"/>
      <c r="K12" s="438">
        <f t="shared" si="0"/>
        <v>0</v>
      </c>
    </row>
    <row r="13" spans="1:12" s="52" customFormat="1" ht="15.6" x14ac:dyDescent="0.3">
      <c r="A13" s="323">
        <f t="shared" si="3"/>
        <v>7</v>
      </c>
      <c r="B13" s="324" t="s">
        <v>518</v>
      </c>
      <c r="C13" s="323" t="s">
        <v>239</v>
      </c>
      <c r="D13" s="382">
        <v>65.400000000000006</v>
      </c>
      <c r="E13" s="295">
        <v>464.82929999999999</v>
      </c>
      <c r="F13" s="288">
        <f t="shared" si="1"/>
        <v>30399.84</v>
      </c>
      <c r="G13" s="288">
        <f t="shared" si="2"/>
        <v>36479.81</v>
      </c>
      <c r="J13" s="438"/>
      <c r="K13" s="438">
        <f t="shared" si="0"/>
        <v>0</v>
      </c>
    </row>
    <row r="14" spans="1:12" s="52" customFormat="1" ht="15.6" x14ac:dyDescent="0.3">
      <c r="A14" s="456">
        <f t="shared" si="3"/>
        <v>8</v>
      </c>
      <c r="B14" s="324" t="s">
        <v>503</v>
      </c>
      <c r="C14" s="323" t="s">
        <v>239</v>
      </c>
      <c r="D14" s="382">
        <v>65.400000000000006</v>
      </c>
      <c r="E14" s="295">
        <f>'искл-свод'!B2</f>
        <v>1361.6</v>
      </c>
      <c r="F14" s="288">
        <f t="shared" si="1"/>
        <v>89048.639999999999</v>
      </c>
      <c r="G14" s="288">
        <f t="shared" si="2"/>
        <v>106858.37</v>
      </c>
      <c r="J14" s="438"/>
      <c r="K14" s="438">
        <f t="shared" si="0"/>
        <v>0</v>
      </c>
    </row>
    <row r="15" spans="1:12" ht="24" customHeight="1" x14ac:dyDescent="0.3">
      <c r="A15" s="323"/>
      <c r="B15" s="383" t="s">
        <v>1352</v>
      </c>
      <c r="C15" s="323"/>
      <c r="D15" s="327"/>
      <c r="E15" s="295">
        <v>0</v>
      </c>
      <c r="F15" s="288"/>
      <c r="G15" s="288"/>
      <c r="J15" s="438"/>
      <c r="K15" s="438">
        <f t="shared" si="0"/>
        <v>0</v>
      </c>
    </row>
    <row r="16" spans="1:12" ht="27.6" x14ac:dyDescent="0.3">
      <c r="A16" s="323">
        <f>A14+1</f>
        <v>9</v>
      </c>
      <c r="B16" s="324" t="s">
        <v>1464</v>
      </c>
      <c r="C16" s="323" t="s">
        <v>193</v>
      </c>
      <c r="D16" s="382">
        <v>7.2</v>
      </c>
      <c r="E16" s="295">
        <v>20109.230640000002</v>
      </c>
      <c r="F16" s="288">
        <f>ROUND(E16*D16,2)</f>
        <v>144786.46</v>
      </c>
      <c r="G16" s="288">
        <f t="shared" ref="G16" si="4">ROUND(F16*1.2,2)</f>
        <v>173743.75</v>
      </c>
      <c r="J16" s="438"/>
      <c r="K16" s="438">
        <f t="shared" si="0"/>
        <v>0</v>
      </c>
    </row>
    <row r="17" spans="1:11" ht="19.5" customHeight="1" x14ac:dyDescent="0.3">
      <c r="A17" s="323"/>
      <c r="B17" s="383" t="s">
        <v>1355</v>
      </c>
      <c r="C17" s="323"/>
      <c r="D17" s="327"/>
      <c r="E17" s="295">
        <v>0</v>
      </c>
      <c r="F17" s="288"/>
      <c r="G17" s="288"/>
      <c r="J17" s="438"/>
      <c r="K17" s="438">
        <f t="shared" si="0"/>
        <v>0</v>
      </c>
    </row>
    <row r="18" spans="1:11" ht="22.5" customHeight="1" x14ac:dyDescent="0.3">
      <c r="A18" s="323">
        <f>A16+1</f>
        <v>10</v>
      </c>
      <c r="B18" s="324" t="s">
        <v>1356</v>
      </c>
      <c r="C18" s="323" t="s">
        <v>193</v>
      </c>
      <c r="D18" s="325">
        <v>3.68</v>
      </c>
      <c r="E18" s="295">
        <v>19512.132374879999</v>
      </c>
      <c r="F18" s="288">
        <f t="shared" ref="F18:F26" si="5">ROUND(E18*D18,2)</f>
        <v>71804.649999999994</v>
      </c>
      <c r="G18" s="288">
        <f t="shared" ref="G18:G26" si="6">ROUND(F18*1.2,2)</f>
        <v>86165.58</v>
      </c>
      <c r="J18" s="438"/>
      <c r="K18" s="438">
        <f t="shared" si="0"/>
        <v>0</v>
      </c>
    </row>
    <row r="19" spans="1:11" ht="22.5" customHeight="1" x14ac:dyDescent="0.3">
      <c r="A19" s="323">
        <f>A18+1</f>
        <v>11</v>
      </c>
      <c r="B19" s="324" t="s">
        <v>1357</v>
      </c>
      <c r="C19" s="323" t="s">
        <v>193</v>
      </c>
      <c r="D19" s="325">
        <v>2.3199999999999998</v>
      </c>
      <c r="E19" s="295">
        <v>19512.132374879999</v>
      </c>
      <c r="F19" s="288">
        <f t="shared" si="5"/>
        <v>45268.15</v>
      </c>
      <c r="G19" s="288">
        <f t="shared" si="6"/>
        <v>54321.78</v>
      </c>
      <c r="J19" s="438"/>
      <c r="K19" s="438">
        <f t="shared" si="0"/>
        <v>0</v>
      </c>
    </row>
    <row r="20" spans="1:11" ht="27.6" x14ac:dyDescent="0.3">
      <c r="A20" s="323">
        <f>A19+1</f>
        <v>12</v>
      </c>
      <c r="B20" s="324" t="s">
        <v>1358</v>
      </c>
      <c r="C20" s="323" t="s">
        <v>193</v>
      </c>
      <c r="D20" s="325">
        <v>1.77</v>
      </c>
      <c r="E20" s="295">
        <v>9931.2567749999998</v>
      </c>
      <c r="F20" s="288">
        <f t="shared" si="5"/>
        <v>17578.32</v>
      </c>
      <c r="G20" s="288">
        <f t="shared" si="6"/>
        <v>21093.98</v>
      </c>
      <c r="J20" s="438"/>
      <c r="K20" s="438">
        <f t="shared" si="0"/>
        <v>0</v>
      </c>
    </row>
    <row r="21" spans="1:11" ht="27.6" x14ac:dyDescent="0.3">
      <c r="A21" s="323">
        <f t="shared" ref="A21:A23" si="7">A20+1</f>
        <v>13</v>
      </c>
      <c r="B21" s="324" t="s">
        <v>1465</v>
      </c>
      <c r="C21" s="323" t="s">
        <v>193</v>
      </c>
      <c r="D21" s="325">
        <v>2.0099999999999998</v>
      </c>
      <c r="E21" s="295">
        <v>1973.7367200000001</v>
      </c>
      <c r="F21" s="288">
        <f t="shared" si="5"/>
        <v>3967.21</v>
      </c>
      <c r="G21" s="288">
        <f t="shared" si="6"/>
        <v>4760.6499999999996</v>
      </c>
      <c r="J21" s="438"/>
      <c r="K21" s="438">
        <f t="shared" si="0"/>
        <v>0</v>
      </c>
    </row>
    <row r="22" spans="1:11" ht="27.6" x14ac:dyDescent="0.3">
      <c r="A22" s="323">
        <f t="shared" si="7"/>
        <v>14</v>
      </c>
      <c r="B22" s="324" t="s">
        <v>1466</v>
      </c>
      <c r="C22" s="323" t="s">
        <v>193</v>
      </c>
      <c r="D22" s="325">
        <v>7.5</v>
      </c>
      <c r="E22" s="295">
        <v>1973.7367200000001</v>
      </c>
      <c r="F22" s="288">
        <f t="shared" si="5"/>
        <v>14803.03</v>
      </c>
      <c r="G22" s="288">
        <f t="shared" si="6"/>
        <v>17763.64</v>
      </c>
      <c r="J22" s="438"/>
      <c r="K22" s="438">
        <f t="shared" si="0"/>
        <v>0</v>
      </c>
    </row>
    <row r="23" spans="1:11" ht="15.6" x14ac:dyDescent="0.3">
      <c r="A23" s="323">
        <f t="shared" si="7"/>
        <v>15</v>
      </c>
      <c r="B23" s="324" t="s">
        <v>1619</v>
      </c>
      <c r="C23" s="323" t="s">
        <v>220</v>
      </c>
      <c r="D23" s="327">
        <v>4</v>
      </c>
      <c r="E23" s="295">
        <v>15861.048398999999</v>
      </c>
      <c r="F23" s="288">
        <f t="shared" si="5"/>
        <v>63444.19</v>
      </c>
      <c r="G23" s="288">
        <f t="shared" si="6"/>
        <v>76133.03</v>
      </c>
      <c r="J23" s="438"/>
      <c r="K23" s="438">
        <f t="shared" si="0"/>
        <v>0</v>
      </c>
    </row>
    <row r="24" spans="1:11" ht="27.6" x14ac:dyDescent="0.3">
      <c r="A24" s="323">
        <f>A23+1</f>
        <v>16</v>
      </c>
      <c r="B24" s="324" t="s">
        <v>1359</v>
      </c>
      <c r="C24" s="323" t="s">
        <v>431</v>
      </c>
      <c r="D24" s="325">
        <v>34.200000000000003</v>
      </c>
      <c r="E24" s="295">
        <v>217.397088</v>
      </c>
      <c r="F24" s="288">
        <f t="shared" si="5"/>
        <v>7434.98</v>
      </c>
      <c r="G24" s="288">
        <f t="shared" si="6"/>
        <v>8921.98</v>
      </c>
      <c r="J24" s="438"/>
      <c r="K24" s="438">
        <f t="shared" si="0"/>
        <v>0</v>
      </c>
    </row>
    <row r="25" spans="1:11" ht="27.6" x14ac:dyDescent="0.3">
      <c r="A25" s="323">
        <f t="shared" ref="A25:A26" si="8">A24+1</f>
        <v>17</v>
      </c>
      <c r="B25" s="324" t="s">
        <v>1360</v>
      </c>
      <c r="C25" s="323" t="s">
        <v>431</v>
      </c>
      <c r="D25" s="325">
        <v>34.200000000000003</v>
      </c>
      <c r="E25" s="295">
        <v>451.29919176000004</v>
      </c>
      <c r="F25" s="288">
        <f t="shared" si="5"/>
        <v>15434.43</v>
      </c>
      <c r="G25" s="288">
        <f t="shared" si="6"/>
        <v>18521.32</v>
      </c>
      <c r="J25" s="438"/>
      <c r="K25" s="438">
        <f t="shared" si="0"/>
        <v>0</v>
      </c>
    </row>
    <row r="26" spans="1:11" ht="20.25" customHeight="1" x14ac:dyDescent="0.3">
      <c r="A26" s="323">
        <f t="shared" si="8"/>
        <v>18</v>
      </c>
      <c r="B26" s="324" t="s">
        <v>1361</v>
      </c>
      <c r="C26" s="323" t="s">
        <v>193</v>
      </c>
      <c r="D26" s="325">
        <v>0.48</v>
      </c>
      <c r="E26" s="295">
        <v>9930.1840919999995</v>
      </c>
      <c r="F26" s="288">
        <f t="shared" si="5"/>
        <v>4766.49</v>
      </c>
      <c r="G26" s="288">
        <f t="shared" si="6"/>
        <v>5719.79</v>
      </c>
      <c r="H26" s="270"/>
      <c r="J26" s="438"/>
      <c r="K26" s="438">
        <f t="shared" si="0"/>
        <v>0</v>
      </c>
    </row>
    <row r="27" spans="1:11" ht="19.5" customHeight="1" x14ac:dyDescent="0.3">
      <c r="A27" s="412"/>
      <c r="B27" s="383" t="s">
        <v>1467</v>
      </c>
      <c r="C27" s="395"/>
      <c r="D27" s="395"/>
      <c r="E27" s="295">
        <v>0</v>
      </c>
      <c r="F27" s="397"/>
      <c r="G27" s="384"/>
      <c r="J27" s="438"/>
      <c r="K27" s="438">
        <f t="shared" si="0"/>
        <v>0</v>
      </c>
    </row>
    <row r="28" spans="1:11" ht="15.6" x14ac:dyDescent="0.3">
      <c r="A28" s="323">
        <f>A26+1</f>
        <v>19</v>
      </c>
      <c r="B28" s="324" t="s">
        <v>443</v>
      </c>
      <c r="C28" s="323" t="s">
        <v>193</v>
      </c>
      <c r="D28" s="325">
        <v>115.28</v>
      </c>
      <c r="E28" s="295">
        <v>464.82929999999999</v>
      </c>
      <c r="F28" s="288">
        <f t="shared" ref="F28:F35" si="9">ROUND(E28*D28,2)</f>
        <v>53585.52</v>
      </c>
      <c r="G28" s="288">
        <f t="shared" ref="G28:G35" si="10">ROUND(F28*1.2,2)</f>
        <v>64302.62</v>
      </c>
      <c r="J28" s="438"/>
      <c r="K28" s="438">
        <f t="shared" si="0"/>
        <v>0</v>
      </c>
    </row>
    <row r="29" spans="1:11" ht="18.75" customHeight="1" x14ac:dyDescent="0.3">
      <c r="A29" s="323">
        <f>A28+1</f>
        <v>20</v>
      </c>
      <c r="B29" s="324" t="s">
        <v>444</v>
      </c>
      <c r="C29" s="400" t="s">
        <v>193</v>
      </c>
      <c r="D29" s="325">
        <v>3.46</v>
      </c>
      <c r="E29" s="295">
        <v>2541.5435879999995</v>
      </c>
      <c r="F29" s="288">
        <f t="shared" si="9"/>
        <v>8793.74</v>
      </c>
      <c r="G29" s="288">
        <f t="shared" si="10"/>
        <v>10552.49</v>
      </c>
      <c r="J29" s="438"/>
      <c r="K29" s="438">
        <f t="shared" si="0"/>
        <v>0</v>
      </c>
    </row>
    <row r="30" spans="1:11" ht="18.75" customHeight="1" x14ac:dyDescent="0.3">
      <c r="A30" s="323">
        <f>A29+1</f>
        <v>21</v>
      </c>
      <c r="B30" s="324" t="s">
        <v>1468</v>
      </c>
      <c r="C30" s="400" t="s">
        <v>239</v>
      </c>
      <c r="D30" s="325">
        <v>127.9</v>
      </c>
      <c r="E30" s="295">
        <v>0</v>
      </c>
      <c r="F30" s="288">
        <f t="shared" si="9"/>
        <v>0</v>
      </c>
      <c r="G30" s="288">
        <f t="shared" si="10"/>
        <v>0</v>
      </c>
      <c r="H30" s="270" t="s">
        <v>1620</v>
      </c>
      <c r="J30" s="438"/>
      <c r="K30" s="438">
        <f t="shared" si="0"/>
        <v>0</v>
      </c>
    </row>
    <row r="31" spans="1:11" ht="18" customHeight="1" x14ac:dyDescent="0.3">
      <c r="A31" s="323">
        <f>A29+1</f>
        <v>21</v>
      </c>
      <c r="B31" s="324" t="s">
        <v>449</v>
      </c>
      <c r="C31" s="323" t="s">
        <v>193</v>
      </c>
      <c r="D31" s="382">
        <v>82.5</v>
      </c>
      <c r="E31" s="295">
        <v>464.82929999999999</v>
      </c>
      <c r="F31" s="288">
        <f t="shared" si="9"/>
        <v>38348.42</v>
      </c>
      <c r="G31" s="288">
        <f t="shared" si="10"/>
        <v>46018.1</v>
      </c>
      <c r="J31" s="438"/>
      <c r="K31" s="438">
        <f t="shared" si="0"/>
        <v>0</v>
      </c>
    </row>
    <row r="32" spans="1:11" ht="18" customHeight="1" x14ac:dyDescent="0.3">
      <c r="A32" s="323">
        <f t="shared" ref="A32:A35" si="11">A31+1</f>
        <v>22</v>
      </c>
      <c r="B32" s="324" t="s">
        <v>451</v>
      </c>
      <c r="C32" s="323" t="s">
        <v>193</v>
      </c>
      <c r="D32" s="382">
        <v>82.5</v>
      </c>
      <c r="E32" s="295">
        <v>283.188312</v>
      </c>
      <c r="F32" s="288">
        <f t="shared" si="9"/>
        <v>23363.040000000001</v>
      </c>
      <c r="G32" s="288">
        <f t="shared" si="10"/>
        <v>28035.65</v>
      </c>
      <c r="J32" s="438"/>
      <c r="K32" s="438">
        <f t="shared" si="0"/>
        <v>0</v>
      </c>
    </row>
    <row r="33" spans="1:11" ht="15.6" x14ac:dyDescent="0.3">
      <c r="A33" s="323">
        <f t="shared" si="11"/>
        <v>23</v>
      </c>
      <c r="B33" s="324" t="s">
        <v>450</v>
      </c>
      <c r="C33" s="323" t="s">
        <v>193</v>
      </c>
      <c r="D33" s="382">
        <v>20.51</v>
      </c>
      <c r="E33" s="295">
        <v>1285.789356</v>
      </c>
      <c r="F33" s="288">
        <f t="shared" si="9"/>
        <v>26371.54</v>
      </c>
      <c r="G33" s="288">
        <f t="shared" si="10"/>
        <v>31645.85</v>
      </c>
      <c r="J33" s="438"/>
      <c r="K33" s="438">
        <f t="shared" si="0"/>
        <v>0</v>
      </c>
    </row>
    <row r="34" spans="1:11" s="52" customFormat="1" ht="15.6" x14ac:dyDescent="0.3">
      <c r="A34" s="323">
        <f t="shared" si="11"/>
        <v>24</v>
      </c>
      <c r="B34" s="324" t="s">
        <v>518</v>
      </c>
      <c r="C34" s="323" t="s">
        <v>239</v>
      </c>
      <c r="D34" s="325">
        <v>23.95</v>
      </c>
      <c r="E34" s="295">
        <v>464.82929999999999</v>
      </c>
      <c r="F34" s="288">
        <f t="shared" si="9"/>
        <v>11132.66</v>
      </c>
      <c r="G34" s="288">
        <f t="shared" si="10"/>
        <v>13359.19</v>
      </c>
      <c r="J34" s="438"/>
      <c r="K34" s="438">
        <f t="shared" si="0"/>
        <v>0</v>
      </c>
    </row>
    <row r="35" spans="1:11" s="52" customFormat="1" ht="15.6" x14ac:dyDescent="0.3">
      <c r="A35" s="456">
        <f t="shared" si="11"/>
        <v>25</v>
      </c>
      <c r="B35" s="324" t="s">
        <v>503</v>
      </c>
      <c r="C35" s="323" t="s">
        <v>239</v>
      </c>
      <c r="D35" s="325">
        <v>23.95</v>
      </c>
      <c r="E35" s="295">
        <f>'искл-свод'!B2</f>
        <v>1361.6</v>
      </c>
      <c r="F35" s="288">
        <f t="shared" si="9"/>
        <v>32610.32</v>
      </c>
      <c r="G35" s="288">
        <f t="shared" si="10"/>
        <v>39132.379999999997</v>
      </c>
      <c r="J35" s="438"/>
      <c r="K35" s="438">
        <f t="shared" si="0"/>
        <v>0</v>
      </c>
    </row>
    <row r="36" spans="1:11" ht="24" customHeight="1" x14ac:dyDescent="0.3">
      <c r="A36" s="323"/>
      <c r="B36" s="383" t="s">
        <v>1352</v>
      </c>
      <c r="C36" s="323"/>
      <c r="D36" s="327"/>
      <c r="E36" s="295">
        <v>0</v>
      </c>
      <c r="F36" s="288"/>
      <c r="G36" s="288"/>
      <c r="J36" s="438"/>
      <c r="K36" s="438">
        <f t="shared" si="0"/>
        <v>0</v>
      </c>
    </row>
    <row r="37" spans="1:11" ht="27.6" x14ac:dyDescent="0.3">
      <c r="A37" s="323">
        <f>A35+1</f>
        <v>26</v>
      </c>
      <c r="B37" s="324" t="s">
        <v>1469</v>
      </c>
      <c r="C37" s="323" t="s">
        <v>193</v>
      </c>
      <c r="D37" s="325">
        <v>5.85</v>
      </c>
      <c r="E37" s="295">
        <v>20109.230640000002</v>
      </c>
      <c r="F37" s="288">
        <f>ROUND(E37*D37,2)</f>
        <v>117639</v>
      </c>
      <c r="G37" s="288">
        <f t="shared" ref="G37" si="12">ROUND(F37*1.2,2)</f>
        <v>141166.79999999999</v>
      </c>
      <c r="J37" s="438"/>
      <c r="K37" s="438">
        <f t="shared" si="0"/>
        <v>0</v>
      </c>
    </row>
    <row r="38" spans="1:11" ht="19.5" customHeight="1" x14ac:dyDescent="0.3">
      <c r="A38" s="323"/>
      <c r="B38" s="383" t="s">
        <v>1355</v>
      </c>
      <c r="C38" s="323"/>
      <c r="D38" s="327"/>
      <c r="E38" s="295">
        <v>0</v>
      </c>
      <c r="F38" s="288"/>
      <c r="G38" s="288"/>
      <c r="J38" s="438"/>
      <c r="K38" s="438">
        <f t="shared" si="0"/>
        <v>0</v>
      </c>
    </row>
    <row r="39" spans="1:11" ht="22.5" customHeight="1" x14ac:dyDescent="0.3">
      <c r="A39" s="323">
        <f>A37+1</f>
        <v>27</v>
      </c>
      <c r="B39" s="324" t="s">
        <v>1356</v>
      </c>
      <c r="C39" s="323" t="s">
        <v>193</v>
      </c>
      <c r="D39" s="325">
        <v>2.58</v>
      </c>
      <c r="E39" s="295">
        <v>19512.132374879999</v>
      </c>
      <c r="F39" s="288">
        <f t="shared" ref="F39:F47" si="13">ROUND(E39*D39,2)</f>
        <v>50341.3</v>
      </c>
      <c r="G39" s="288">
        <f t="shared" ref="G39:G47" si="14">ROUND(F39*1.2,2)</f>
        <v>60409.56</v>
      </c>
      <c r="J39" s="438"/>
      <c r="K39" s="438">
        <f t="shared" si="0"/>
        <v>0</v>
      </c>
    </row>
    <row r="40" spans="1:11" ht="22.5" customHeight="1" x14ac:dyDescent="0.3">
      <c r="A40" s="323">
        <f>A39+1</f>
        <v>28</v>
      </c>
      <c r="B40" s="324" t="s">
        <v>1357</v>
      </c>
      <c r="C40" s="323" t="s">
        <v>193</v>
      </c>
      <c r="D40" s="325">
        <v>1.93</v>
      </c>
      <c r="E40" s="295">
        <v>19512.132374879999</v>
      </c>
      <c r="F40" s="288">
        <f t="shared" si="13"/>
        <v>37658.42</v>
      </c>
      <c r="G40" s="288">
        <f t="shared" si="14"/>
        <v>45190.1</v>
      </c>
      <c r="J40" s="438"/>
      <c r="K40" s="438">
        <f t="shared" si="0"/>
        <v>0</v>
      </c>
    </row>
    <row r="41" spans="1:11" ht="27.6" x14ac:dyDescent="0.3">
      <c r="A41" s="323">
        <f>A40+1</f>
        <v>29</v>
      </c>
      <c r="B41" s="324" t="s">
        <v>1358</v>
      </c>
      <c r="C41" s="323" t="s">
        <v>193</v>
      </c>
      <c r="D41" s="325">
        <v>1.5</v>
      </c>
      <c r="E41" s="295">
        <v>9931.2567749999998</v>
      </c>
      <c r="F41" s="288">
        <f t="shared" si="13"/>
        <v>14896.89</v>
      </c>
      <c r="G41" s="288">
        <f t="shared" si="14"/>
        <v>17876.27</v>
      </c>
      <c r="J41" s="438"/>
      <c r="K41" s="438">
        <f t="shared" si="0"/>
        <v>0</v>
      </c>
    </row>
    <row r="42" spans="1:11" ht="27.6" x14ac:dyDescent="0.3">
      <c r="A42" s="323">
        <f t="shared" ref="A42:A44" si="15">A41+1</f>
        <v>30</v>
      </c>
      <c r="B42" s="324" t="s">
        <v>1465</v>
      </c>
      <c r="C42" s="323" t="s">
        <v>193</v>
      </c>
      <c r="D42" s="325">
        <v>1.7</v>
      </c>
      <c r="E42" s="295">
        <v>1973.7367200000001</v>
      </c>
      <c r="F42" s="288">
        <f t="shared" si="13"/>
        <v>3355.35</v>
      </c>
      <c r="G42" s="288">
        <f t="shared" si="14"/>
        <v>4026.42</v>
      </c>
      <c r="J42" s="438"/>
      <c r="K42" s="438">
        <f t="shared" si="0"/>
        <v>0</v>
      </c>
    </row>
    <row r="43" spans="1:11" ht="27.6" x14ac:dyDescent="0.3">
      <c r="A43" s="323">
        <f t="shared" si="15"/>
        <v>31</v>
      </c>
      <c r="B43" s="324" t="s">
        <v>1466</v>
      </c>
      <c r="C43" s="323" t="s">
        <v>193</v>
      </c>
      <c r="D43" s="325">
        <v>5.7</v>
      </c>
      <c r="E43" s="295">
        <v>1973.7367200000001</v>
      </c>
      <c r="F43" s="288">
        <f t="shared" si="13"/>
        <v>11250.3</v>
      </c>
      <c r="G43" s="288">
        <f t="shared" si="14"/>
        <v>13500.36</v>
      </c>
      <c r="J43" s="438"/>
      <c r="K43" s="438">
        <f t="shared" si="0"/>
        <v>0</v>
      </c>
    </row>
    <row r="44" spans="1:11" ht="15.6" x14ac:dyDescent="0.3">
      <c r="A44" s="323">
        <f t="shared" si="15"/>
        <v>32</v>
      </c>
      <c r="B44" s="324" t="s">
        <v>1619</v>
      </c>
      <c r="C44" s="323" t="s">
        <v>220</v>
      </c>
      <c r="D44" s="327">
        <v>4</v>
      </c>
      <c r="E44" s="295">
        <v>15861.048398999999</v>
      </c>
      <c r="F44" s="288">
        <f t="shared" si="13"/>
        <v>63444.19</v>
      </c>
      <c r="G44" s="288">
        <f t="shared" si="14"/>
        <v>76133.03</v>
      </c>
      <c r="J44" s="438"/>
      <c r="K44" s="438">
        <f t="shared" si="0"/>
        <v>0</v>
      </c>
    </row>
    <row r="45" spans="1:11" ht="27.6" x14ac:dyDescent="0.3">
      <c r="A45" s="323">
        <f>A44+1</f>
        <v>33</v>
      </c>
      <c r="B45" s="324" t="s">
        <v>1359</v>
      </c>
      <c r="C45" s="323" t="s">
        <v>431</v>
      </c>
      <c r="D45" s="325">
        <v>29.2</v>
      </c>
      <c r="E45" s="295">
        <v>217.397088</v>
      </c>
      <c r="F45" s="288">
        <f t="shared" si="13"/>
        <v>6347.99</v>
      </c>
      <c r="G45" s="288">
        <f t="shared" si="14"/>
        <v>7617.59</v>
      </c>
      <c r="J45" s="438"/>
      <c r="K45" s="438">
        <f t="shared" si="0"/>
        <v>0</v>
      </c>
    </row>
    <row r="46" spans="1:11" ht="27.6" x14ac:dyDescent="0.3">
      <c r="A46" s="323">
        <f t="shared" ref="A46:A47" si="16">A45+1</f>
        <v>34</v>
      </c>
      <c r="B46" s="324" t="s">
        <v>1360</v>
      </c>
      <c r="C46" s="323" t="s">
        <v>431</v>
      </c>
      <c r="D46" s="325">
        <v>29.2</v>
      </c>
      <c r="E46" s="295">
        <v>451.29919176000004</v>
      </c>
      <c r="F46" s="288">
        <f t="shared" si="13"/>
        <v>13177.94</v>
      </c>
      <c r="G46" s="288">
        <f t="shared" si="14"/>
        <v>15813.53</v>
      </c>
      <c r="J46" s="438"/>
      <c r="K46" s="438">
        <f t="shared" si="0"/>
        <v>0</v>
      </c>
    </row>
    <row r="47" spans="1:11" ht="20.25" customHeight="1" x14ac:dyDescent="0.3">
      <c r="A47" s="323">
        <f t="shared" si="16"/>
        <v>35</v>
      </c>
      <c r="B47" s="324" t="s">
        <v>1361</v>
      </c>
      <c r="C47" s="323" t="s">
        <v>193</v>
      </c>
      <c r="D47" s="325">
        <v>0.41</v>
      </c>
      <c r="E47" s="295">
        <v>9930.1840919999995</v>
      </c>
      <c r="F47" s="288">
        <f t="shared" si="13"/>
        <v>4071.38</v>
      </c>
      <c r="G47" s="288">
        <f t="shared" si="14"/>
        <v>4885.66</v>
      </c>
      <c r="H47" s="270"/>
      <c r="J47" s="438"/>
      <c r="K47" s="438">
        <f t="shared" si="0"/>
        <v>0</v>
      </c>
    </row>
    <row r="48" spans="1:11" ht="30.75" customHeight="1" x14ac:dyDescent="0.3">
      <c r="A48" s="323"/>
      <c r="B48" s="411" t="s">
        <v>1470</v>
      </c>
      <c r="C48" s="323"/>
      <c r="D48" s="325"/>
      <c r="E48" s="295">
        <v>0</v>
      </c>
      <c r="F48" s="288"/>
      <c r="G48" s="288"/>
      <c r="J48" s="438"/>
      <c r="K48" s="438">
        <f t="shared" si="0"/>
        <v>0</v>
      </c>
    </row>
    <row r="49" spans="1:11" ht="15.6" x14ac:dyDescent="0.3">
      <c r="A49" s="323">
        <f>A47+1</f>
        <v>36</v>
      </c>
      <c r="B49" s="324" t="s">
        <v>443</v>
      </c>
      <c r="C49" s="323" t="s">
        <v>193</v>
      </c>
      <c r="D49" s="325">
        <v>626.9</v>
      </c>
      <c r="E49" s="295">
        <v>464.82929999999999</v>
      </c>
      <c r="F49" s="288">
        <f t="shared" ref="F49:F56" si="17">ROUND(E49*D49,2)</f>
        <v>291401.49</v>
      </c>
      <c r="G49" s="288">
        <f t="shared" ref="G49:G56" si="18">ROUND(F49*1.2,2)</f>
        <v>349681.79</v>
      </c>
      <c r="J49" s="438"/>
      <c r="K49" s="438">
        <f t="shared" si="0"/>
        <v>0</v>
      </c>
    </row>
    <row r="50" spans="1:11" ht="18.75" customHeight="1" x14ac:dyDescent="0.3">
      <c r="A50" s="323">
        <f>A49+1</f>
        <v>37</v>
      </c>
      <c r="B50" s="324" t="s">
        <v>444</v>
      </c>
      <c r="C50" s="400" t="s">
        <v>193</v>
      </c>
      <c r="D50" s="325">
        <v>18.8</v>
      </c>
      <c r="E50" s="295">
        <v>2541.5435879999995</v>
      </c>
      <c r="F50" s="288">
        <f t="shared" si="17"/>
        <v>47781.02</v>
      </c>
      <c r="G50" s="288">
        <f t="shared" si="18"/>
        <v>57337.22</v>
      </c>
      <c r="J50" s="438"/>
      <c r="K50" s="438">
        <f t="shared" si="0"/>
        <v>0</v>
      </c>
    </row>
    <row r="51" spans="1:11" ht="18.75" customHeight="1" x14ac:dyDescent="0.3">
      <c r="A51" s="323">
        <f>A50+1</f>
        <v>38</v>
      </c>
      <c r="B51" s="324" t="s">
        <v>1471</v>
      </c>
      <c r="C51" s="400" t="s">
        <v>239</v>
      </c>
      <c r="D51" s="325">
        <v>693.2</v>
      </c>
      <c r="E51" s="295">
        <v>0</v>
      </c>
      <c r="F51" s="288">
        <f t="shared" si="17"/>
        <v>0</v>
      </c>
      <c r="G51" s="288">
        <f t="shared" si="18"/>
        <v>0</v>
      </c>
      <c r="H51" s="270" t="s">
        <v>1620</v>
      </c>
      <c r="J51" s="438"/>
      <c r="K51" s="438">
        <f t="shared" si="0"/>
        <v>0</v>
      </c>
    </row>
    <row r="52" spans="1:11" ht="18" customHeight="1" x14ac:dyDescent="0.3">
      <c r="A52" s="323">
        <f>A50+1</f>
        <v>38</v>
      </c>
      <c r="B52" s="324" t="s">
        <v>1472</v>
      </c>
      <c r="C52" s="323" t="s">
        <v>193</v>
      </c>
      <c r="D52" s="382">
        <v>374.7</v>
      </c>
      <c r="E52" s="295">
        <v>464.82929999999999</v>
      </c>
      <c r="F52" s="288">
        <f t="shared" si="17"/>
        <v>174171.54</v>
      </c>
      <c r="G52" s="288">
        <f t="shared" si="18"/>
        <v>209005.85</v>
      </c>
      <c r="J52" s="438"/>
      <c r="K52" s="438">
        <f t="shared" si="0"/>
        <v>0</v>
      </c>
    </row>
    <row r="53" spans="1:11" ht="18" customHeight="1" x14ac:dyDescent="0.3">
      <c r="A53" s="323">
        <f t="shared" ref="A53:A56" si="19">A52+1</f>
        <v>39</v>
      </c>
      <c r="B53" s="324" t="s">
        <v>451</v>
      </c>
      <c r="C53" s="323" t="s">
        <v>193</v>
      </c>
      <c r="D53" s="382">
        <v>374.7</v>
      </c>
      <c r="E53" s="295">
        <v>283.188312</v>
      </c>
      <c r="F53" s="288">
        <f t="shared" si="17"/>
        <v>106110.66</v>
      </c>
      <c r="G53" s="288">
        <f t="shared" si="18"/>
        <v>127332.79</v>
      </c>
      <c r="J53" s="438"/>
      <c r="K53" s="438">
        <f t="shared" si="0"/>
        <v>0</v>
      </c>
    </row>
    <row r="54" spans="1:11" ht="15.6" x14ac:dyDescent="0.3">
      <c r="A54" s="323">
        <f t="shared" si="19"/>
        <v>40</v>
      </c>
      <c r="B54" s="324" t="s">
        <v>450</v>
      </c>
      <c r="C54" s="323" t="s">
        <v>193</v>
      </c>
      <c r="D54" s="382">
        <v>93.7</v>
      </c>
      <c r="E54" s="295">
        <v>1285.789356</v>
      </c>
      <c r="F54" s="288">
        <f t="shared" si="17"/>
        <v>120478.46</v>
      </c>
      <c r="G54" s="288">
        <f t="shared" si="18"/>
        <v>144574.15</v>
      </c>
      <c r="J54" s="438"/>
      <c r="K54" s="438">
        <f t="shared" si="0"/>
        <v>0</v>
      </c>
    </row>
    <row r="55" spans="1:11" s="52" customFormat="1" ht="15.6" x14ac:dyDescent="0.3">
      <c r="A55" s="323">
        <f t="shared" si="19"/>
        <v>41</v>
      </c>
      <c r="B55" s="324" t="s">
        <v>518</v>
      </c>
      <c r="C55" s="323" t="s">
        <v>239</v>
      </c>
      <c r="D55" s="325">
        <v>262.60000000000002</v>
      </c>
      <c r="E55" s="295">
        <v>464.82929999999999</v>
      </c>
      <c r="F55" s="288">
        <f t="shared" si="17"/>
        <v>122064.17</v>
      </c>
      <c r="G55" s="288">
        <f t="shared" si="18"/>
        <v>146477</v>
      </c>
      <c r="J55" s="438"/>
      <c r="K55" s="438">
        <f t="shared" si="0"/>
        <v>0</v>
      </c>
    </row>
    <row r="56" spans="1:11" s="52" customFormat="1" ht="15.6" x14ac:dyDescent="0.3">
      <c r="A56" s="456">
        <f t="shared" si="19"/>
        <v>42</v>
      </c>
      <c r="B56" s="324" t="s">
        <v>503</v>
      </c>
      <c r="C56" s="323" t="s">
        <v>239</v>
      </c>
      <c r="D56" s="325">
        <v>262.60000000000002</v>
      </c>
      <c r="E56" s="295">
        <f>'искл-свод'!B2</f>
        <v>1361.6</v>
      </c>
      <c r="F56" s="288">
        <f t="shared" si="17"/>
        <v>357556.16</v>
      </c>
      <c r="G56" s="288">
        <f t="shared" si="18"/>
        <v>429067.39</v>
      </c>
      <c r="J56" s="438"/>
      <c r="K56" s="438">
        <f t="shared" si="0"/>
        <v>0</v>
      </c>
    </row>
    <row r="57" spans="1:11" ht="19.5" customHeight="1" x14ac:dyDescent="0.3">
      <c r="A57" s="323"/>
      <c r="B57" s="383" t="s">
        <v>1473</v>
      </c>
      <c r="C57" s="323"/>
      <c r="D57" s="327"/>
      <c r="E57" s="295">
        <v>0</v>
      </c>
      <c r="F57" s="288"/>
      <c r="G57" s="288"/>
      <c r="J57" s="438"/>
      <c r="K57" s="438">
        <f t="shared" si="0"/>
        <v>0</v>
      </c>
    </row>
    <row r="58" spans="1:11" ht="22.5" customHeight="1" x14ac:dyDescent="0.3">
      <c r="A58" s="323">
        <f>A56+1</f>
        <v>43</v>
      </c>
      <c r="B58" s="324" t="s">
        <v>1474</v>
      </c>
      <c r="C58" s="323" t="s">
        <v>193</v>
      </c>
      <c r="D58" s="325">
        <v>2.5499999999999998</v>
      </c>
      <c r="E58" s="295">
        <v>19512.132374879999</v>
      </c>
      <c r="F58" s="288">
        <f>ROUND(E58*D58,2)</f>
        <v>49755.94</v>
      </c>
      <c r="G58" s="288">
        <f t="shared" ref="G58:G62" si="20">ROUND(F58*1.2,2)</f>
        <v>59707.13</v>
      </c>
      <c r="J58" s="438"/>
      <c r="K58" s="438">
        <f t="shared" si="0"/>
        <v>0</v>
      </c>
    </row>
    <row r="59" spans="1:11" ht="27.6" x14ac:dyDescent="0.3">
      <c r="A59" s="323">
        <f>A58+1</f>
        <v>44</v>
      </c>
      <c r="B59" s="324" t="s">
        <v>1358</v>
      </c>
      <c r="C59" s="323" t="s">
        <v>193</v>
      </c>
      <c r="D59" s="325">
        <v>1.46</v>
      </c>
      <c r="E59" s="295">
        <v>9931.2567749999998</v>
      </c>
      <c r="F59" s="288">
        <f>ROUND(E59*D59,2)</f>
        <v>14499.63</v>
      </c>
      <c r="G59" s="288">
        <f t="shared" si="20"/>
        <v>17399.560000000001</v>
      </c>
      <c r="J59" s="438"/>
      <c r="K59" s="438">
        <f t="shared" si="0"/>
        <v>0</v>
      </c>
    </row>
    <row r="60" spans="1:11" ht="27.6" x14ac:dyDescent="0.3">
      <c r="A60" s="323">
        <f t="shared" ref="A60" si="21">A59+1</f>
        <v>45</v>
      </c>
      <c r="B60" s="324" t="s">
        <v>1465</v>
      </c>
      <c r="C60" s="323" t="s">
        <v>193</v>
      </c>
      <c r="D60" s="325">
        <v>1.64</v>
      </c>
      <c r="E60" s="295">
        <v>1973.7367200000001</v>
      </c>
      <c r="F60" s="288">
        <f>ROUND(E60*D60,2)</f>
        <v>3236.93</v>
      </c>
      <c r="G60" s="288">
        <f t="shared" si="20"/>
        <v>3884.32</v>
      </c>
      <c r="J60" s="438"/>
      <c r="K60" s="438">
        <f t="shared" si="0"/>
        <v>0</v>
      </c>
    </row>
    <row r="61" spans="1:11" ht="27.6" x14ac:dyDescent="0.3">
      <c r="A61" s="323">
        <f>A60+1</f>
        <v>46</v>
      </c>
      <c r="B61" s="324" t="s">
        <v>1475</v>
      </c>
      <c r="C61" s="323" t="s">
        <v>431</v>
      </c>
      <c r="D61" s="325">
        <v>16.899999999999999</v>
      </c>
      <c r="E61" s="295">
        <v>217.397088</v>
      </c>
      <c r="F61" s="288">
        <f>ROUND(E61*D61,2)</f>
        <v>3674.01</v>
      </c>
      <c r="G61" s="288">
        <f t="shared" si="20"/>
        <v>4408.8100000000004</v>
      </c>
      <c r="J61" s="438"/>
      <c r="K61" s="438">
        <f t="shared" si="0"/>
        <v>0</v>
      </c>
    </row>
    <row r="62" spans="1:11" ht="27.6" x14ac:dyDescent="0.3">
      <c r="A62" s="323">
        <f t="shared" ref="A62" si="22">A61+1</f>
        <v>47</v>
      </c>
      <c r="B62" s="324" t="s">
        <v>1476</v>
      </c>
      <c r="C62" s="323" t="s">
        <v>431</v>
      </c>
      <c r="D62" s="325">
        <v>16.899999999999999</v>
      </c>
      <c r="E62" s="295">
        <v>451.29919176000004</v>
      </c>
      <c r="F62" s="288">
        <f>ROUND(E62*D62,2)</f>
        <v>7626.96</v>
      </c>
      <c r="G62" s="288">
        <f t="shared" si="20"/>
        <v>9152.35</v>
      </c>
      <c r="J62" s="438"/>
      <c r="K62" s="438">
        <f t="shared" si="0"/>
        <v>0</v>
      </c>
    </row>
    <row r="63" spans="1:11" ht="19.5" customHeight="1" x14ac:dyDescent="0.3">
      <c r="A63" s="323"/>
      <c r="B63" s="383" t="s">
        <v>1477</v>
      </c>
      <c r="C63" s="323"/>
      <c r="D63" s="327"/>
      <c r="E63" s="295">
        <v>0</v>
      </c>
      <c r="F63" s="288"/>
      <c r="G63" s="288"/>
      <c r="J63" s="438"/>
      <c r="K63" s="438">
        <f t="shared" si="0"/>
        <v>0</v>
      </c>
    </row>
    <row r="64" spans="1:11" ht="22.5" customHeight="1" x14ac:dyDescent="0.3">
      <c r="A64" s="323">
        <f>A62+1</f>
        <v>48</v>
      </c>
      <c r="B64" s="324" t="s">
        <v>1474</v>
      </c>
      <c r="C64" s="323" t="s">
        <v>193</v>
      </c>
      <c r="D64" s="325">
        <v>2.93</v>
      </c>
      <c r="E64" s="295">
        <v>19512.132374879999</v>
      </c>
      <c r="F64" s="288">
        <f>ROUND(E64*D64,2)</f>
        <v>57170.55</v>
      </c>
      <c r="G64" s="288">
        <f t="shared" ref="G64:G68" si="23">ROUND(F64*1.2,2)</f>
        <v>68604.66</v>
      </c>
      <c r="J64" s="438"/>
      <c r="K64" s="438">
        <f t="shared" si="0"/>
        <v>0</v>
      </c>
    </row>
    <row r="65" spans="1:11" ht="27.6" x14ac:dyDescent="0.3">
      <c r="A65" s="323">
        <f>A64+1</f>
        <v>49</v>
      </c>
      <c r="B65" s="324" t="s">
        <v>1358</v>
      </c>
      <c r="C65" s="323" t="s">
        <v>193</v>
      </c>
      <c r="D65" s="325">
        <v>1.67</v>
      </c>
      <c r="E65" s="295">
        <v>9931.2567749999998</v>
      </c>
      <c r="F65" s="288">
        <f>ROUND(E65*D65,2)</f>
        <v>16585.2</v>
      </c>
      <c r="G65" s="288">
        <f t="shared" si="23"/>
        <v>19902.240000000002</v>
      </c>
      <c r="J65" s="438"/>
      <c r="K65" s="438">
        <f t="shared" si="0"/>
        <v>0</v>
      </c>
    </row>
    <row r="66" spans="1:11" ht="27.6" x14ac:dyDescent="0.3">
      <c r="A66" s="323">
        <f t="shared" ref="A66" si="24">A65+1</f>
        <v>50</v>
      </c>
      <c r="B66" s="324" t="s">
        <v>1465</v>
      </c>
      <c r="C66" s="323" t="s">
        <v>193</v>
      </c>
      <c r="D66" s="325">
        <v>1.88</v>
      </c>
      <c r="E66" s="295">
        <v>1973.7367200000001</v>
      </c>
      <c r="F66" s="288">
        <f>ROUND(E66*D66,2)</f>
        <v>3710.63</v>
      </c>
      <c r="G66" s="288">
        <f t="shared" si="23"/>
        <v>4452.76</v>
      </c>
      <c r="J66" s="438"/>
      <c r="K66" s="438">
        <f t="shared" si="0"/>
        <v>0</v>
      </c>
    </row>
    <row r="67" spans="1:11" ht="27.6" x14ac:dyDescent="0.3">
      <c r="A67" s="323">
        <f>A66+1</f>
        <v>51</v>
      </c>
      <c r="B67" s="324" t="s">
        <v>1475</v>
      </c>
      <c r="C67" s="323" t="s">
        <v>431</v>
      </c>
      <c r="D67" s="325">
        <v>19.399999999999999</v>
      </c>
      <c r="E67" s="295">
        <v>217.397088</v>
      </c>
      <c r="F67" s="288">
        <f>ROUND(E67*D67,2)</f>
        <v>4217.5</v>
      </c>
      <c r="G67" s="288">
        <f t="shared" si="23"/>
        <v>5061</v>
      </c>
      <c r="J67" s="438"/>
      <c r="K67" s="438">
        <f t="shared" si="0"/>
        <v>0</v>
      </c>
    </row>
    <row r="68" spans="1:11" ht="27.6" x14ac:dyDescent="0.3">
      <c r="A68" s="323">
        <f t="shared" ref="A68" si="25">A67+1</f>
        <v>52</v>
      </c>
      <c r="B68" s="324" t="s">
        <v>1476</v>
      </c>
      <c r="C68" s="323" t="s">
        <v>431</v>
      </c>
      <c r="D68" s="325">
        <v>19.399999999999999</v>
      </c>
      <c r="E68" s="295">
        <v>451.29919176000004</v>
      </c>
      <c r="F68" s="288">
        <f>ROUND(E68*D68,2)</f>
        <v>8755.2000000000007</v>
      </c>
      <c r="G68" s="288">
        <f t="shared" si="23"/>
        <v>10506.24</v>
      </c>
      <c r="J68" s="438"/>
      <c r="K68" s="438">
        <f t="shared" si="0"/>
        <v>0</v>
      </c>
    </row>
    <row r="69" spans="1:11" ht="19.5" customHeight="1" x14ac:dyDescent="0.3">
      <c r="A69" s="323"/>
      <c r="B69" s="383" t="s">
        <v>1478</v>
      </c>
      <c r="C69" s="323"/>
      <c r="D69" s="327"/>
      <c r="E69" s="295">
        <v>0</v>
      </c>
      <c r="F69" s="288"/>
      <c r="G69" s="288"/>
      <c r="J69" s="438"/>
      <c r="K69" s="438">
        <f t="shared" si="0"/>
        <v>0</v>
      </c>
    </row>
    <row r="70" spans="1:11" ht="22.5" customHeight="1" x14ac:dyDescent="0.3">
      <c r="A70" s="323">
        <f>A68+1</f>
        <v>53</v>
      </c>
      <c r="B70" s="324" t="s">
        <v>1474</v>
      </c>
      <c r="C70" s="323" t="s">
        <v>193</v>
      </c>
      <c r="D70" s="325">
        <v>1.68</v>
      </c>
      <c r="E70" s="295">
        <v>19512.132374879999</v>
      </c>
      <c r="F70" s="288">
        <f>ROUND(E70*D70,2)</f>
        <v>32780.379999999997</v>
      </c>
      <c r="G70" s="288">
        <f t="shared" ref="G70:G74" si="26">ROUND(F70*1.2,2)</f>
        <v>39336.46</v>
      </c>
      <c r="J70" s="438"/>
      <c r="K70" s="438">
        <f t="shared" ref="K70:K88" si="27">E70*J70*1.2</f>
        <v>0</v>
      </c>
    </row>
    <row r="71" spans="1:11" ht="27.6" x14ac:dyDescent="0.3">
      <c r="A71" s="323">
        <f>A70+1</f>
        <v>54</v>
      </c>
      <c r="B71" s="324" t="s">
        <v>1358</v>
      </c>
      <c r="C71" s="323" t="s">
        <v>193</v>
      </c>
      <c r="D71" s="325">
        <v>0.96</v>
      </c>
      <c r="E71" s="295">
        <v>9931.2567749999998</v>
      </c>
      <c r="F71" s="288">
        <f>ROUND(E71*D71,2)</f>
        <v>9534.01</v>
      </c>
      <c r="G71" s="288">
        <f t="shared" si="26"/>
        <v>11440.81</v>
      </c>
      <c r="J71" s="438"/>
      <c r="K71" s="438">
        <f t="shared" si="27"/>
        <v>0</v>
      </c>
    </row>
    <row r="72" spans="1:11" ht="27.6" x14ac:dyDescent="0.3">
      <c r="A72" s="323">
        <f t="shared" ref="A72" si="28">A71+1</f>
        <v>55</v>
      </c>
      <c r="B72" s="324" t="s">
        <v>1465</v>
      </c>
      <c r="C72" s="323" t="s">
        <v>193</v>
      </c>
      <c r="D72" s="325">
        <v>1.08</v>
      </c>
      <c r="E72" s="295">
        <v>1973.7367200000001</v>
      </c>
      <c r="F72" s="288">
        <f>ROUND(E72*D72,2)</f>
        <v>2131.64</v>
      </c>
      <c r="G72" s="288">
        <f t="shared" si="26"/>
        <v>2557.9699999999998</v>
      </c>
      <c r="J72" s="438"/>
      <c r="K72" s="438">
        <f t="shared" si="27"/>
        <v>0</v>
      </c>
    </row>
    <row r="73" spans="1:11" ht="27.6" x14ac:dyDescent="0.3">
      <c r="A73" s="323">
        <f>A72+1</f>
        <v>56</v>
      </c>
      <c r="B73" s="324" t="s">
        <v>1475</v>
      </c>
      <c r="C73" s="323" t="s">
        <v>431</v>
      </c>
      <c r="D73" s="325">
        <v>11.4</v>
      </c>
      <c r="E73" s="295">
        <v>217.397088</v>
      </c>
      <c r="F73" s="288">
        <f>ROUND(E73*D73,2)</f>
        <v>2478.33</v>
      </c>
      <c r="G73" s="288">
        <f t="shared" si="26"/>
        <v>2974</v>
      </c>
      <c r="J73" s="438"/>
      <c r="K73" s="438">
        <f t="shared" si="27"/>
        <v>0</v>
      </c>
    </row>
    <row r="74" spans="1:11" ht="27.6" x14ac:dyDescent="0.3">
      <c r="A74" s="323">
        <f t="shared" ref="A74" si="29">A73+1</f>
        <v>57</v>
      </c>
      <c r="B74" s="324" t="s">
        <v>1476</v>
      </c>
      <c r="C74" s="323" t="s">
        <v>431</v>
      </c>
      <c r="D74" s="325">
        <v>11.4</v>
      </c>
      <c r="E74" s="295">
        <v>451.29919176000004</v>
      </c>
      <c r="F74" s="288">
        <f>ROUND(E74*D74,2)</f>
        <v>5144.8100000000004</v>
      </c>
      <c r="G74" s="288">
        <f t="shared" si="26"/>
        <v>6173.77</v>
      </c>
      <c r="J74" s="438"/>
      <c r="K74" s="438">
        <f t="shared" si="27"/>
        <v>0</v>
      </c>
    </row>
    <row r="75" spans="1:11" ht="19.5" customHeight="1" x14ac:dyDescent="0.3">
      <c r="A75" s="323"/>
      <c r="B75" s="383" t="s">
        <v>1479</v>
      </c>
      <c r="C75" s="323"/>
      <c r="D75" s="327"/>
      <c r="E75" s="295">
        <v>0</v>
      </c>
      <c r="F75" s="288"/>
      <c r="G75" s="288"/>
      <c r="J75" s="438"/>
      <c r="K75" s="438">
        <f t="shared" si="27"/>
        <v>0</v>
      </c>
    </row>
    <row r="76" spans="1:11" ht="22.5" customHeight="1" x14ac:dyDescent="0.3">
      <c r="A76" s="323">
        <f>A74+1</f>
        <v>58</v>
      </c>
      <c r="B76" s="324" t="s">
        <v>1474</v>
      </c>
      <c r="C76" s="323" t="s">
        <v>193</v>
      </c>
      <c r="D76" s="325">
        <v>2.8</v>
      </c>
      <c r="E76" s="295">
        <v>19512.132374879999</v>
      </c>
      <c r="F76" s="288">
        <f>ROUND(E76*D76,2)</f>
        <v>54633.97</v>
      </c>
      <c r="G76" s="288">
        <f t="shared" ref="G76:G80" si="30">ROUND(F76*1.2,2)</f>
        <v>65560.759999999995</v>
      </c>
      <c r="J76" s="438"/>
      <c r="K76" s="438">
        <f t="shared" si="27"/>
        <v>0</v>
      </c>
    </row>
    <row r="77" spans="1:11" ht="27.6" x14ac:dyDescent="0.3">
      <c r="A77" s="323">
        <f>A76+1</f>
        <v>59</v>
      </c>
      <c r="B77" s="324" t="s">
        <v>1358</v>
      </c>
      <c r="C77" s="323" t="s">
        <v>193</v>
      </c>
      <c r="D77" s="325">
        <v>1.6</v>
      </c>
      <c r="E77" s="295">
        <v>9931.2567749999998</v>
      </c>
      <c r="F77" s="288">
        <f>ROUND(E77*D77,2)</f>
        <v>15890.01</v>
      </c>
      <c r="G77" s="288">
        <f t="shared" si="30"/>
        <v>19068.009999999998</v>
      </c>
      <c r="J77" s="438"/>
      <c r="K77" s="438">
        <f t="shared" si="27"/>
        <v>0</v>
      </c>
    </row>
    <row r="78" spans="1:11" ht="27.6" x14ac:dyDescent="0.3">
      <c r="A78" s="323">
        <f t="shared" ref="A78" si="31">A77+1</f>
        <v>60</v>
      </c>
      <c r="B78" s="324" t="s">
        <v>1465</v>
      </c>
      <c r="C78" s="323" t="s">
        <v>193</v>
      </c>
      <c r="D78" s="325">
        <v>1.8</v>
      </c>
      <c r="E78" s="295">
        <v>1973.7367200000001</v>
      </c>
      <c r="F78" s="288">
        <f>ROUND(E78*D78,2)</f>
        <v>3552.73</v>
      </c>
      <c r="G78" s="288">
        <f t="shared" si="30"/>
        <v>4263.28</v>
      </c>
      <c r="J78" s="438"/>
      <c r="K78" s="438">
        <f t="shared" si="27"/>
        <v>0</v>
      </c>
    </row>
    <row r="79" spans="1:11" ht="27.6" x14ac:dyDescent="0.3">
      <c r="A79" s="323">
        <f>A78+1</f>
        <v>61</v>
      </c>
      <c r="B79" s="324" t="s">
        <v>1475</v>
      </c>
      <c r="C79" s="323" t="s">
        <v>431</v>
      </c>
      <c r="D79" s="325">
        <v>18.600000000000001</v>
      </c>
      <c r="E79" s="295">
        <v>217.397088</v>
      </c>
      <c r="F79" s="288">
        <f>ROUND(E79*D79,2)</f>
        <v>4043.59</v>
      </c>
      <c r="G79" s="288">
        <f t="shared" si="30"/>
        <v>4852.3100000000004</v>
      </c>
      <c r="J79" s="438"/>
      <c r="K79" s="438">
        <f t="shared" si="27"/>
        <v>0</v>
      </c>
    </row>
    <row r="80" spans="1:11" ht="27.6" x14ac:dyDescent="0.3">
      <c r="A80" s="323">
        <f t="shared" ref="A80" si="32">A79+1</f>
        <v>62</v>
      </c>
      <c r="B80" s="324" t="s">
        <v>1476</v>
      </c>
      <c r="C80" s="323" t="s">
        <v>431</v>
      </c>
      <c r="D80" s="325">
        <v>18.600000000000001</v>
      </c>
      <c r="E80" s="295">
        <v>451.29919176000004</v>
      </c>
      <c r="F80" s="288">
        <f>ROUND(E80*D80,2)</f>
        <v>8394.16</v>
      </c>
      <c r="G80" s="288">
        <f t="shared" si="30"/>
        <v>10072.99</v>
      </c>
      <c r="J80" s="438"/>
      <c r="K80" s="438">
        <f t="shared" si="27"/>
        <v>0</v>
      </c>
    </row>
    <row r="81" spans="1:11" ht="19.5" customHeight="1" x14ac:dyDescent="0.3">
      <c r="A81" s="323"/>
      <c r="B81" s="383" t="s">
        <v>1480</v>
      </c>
      <c r="C81" s="323"/>
      <c r="D81" s="327"/>
      <c r="E81" s="295">
        <v>0</v>
      </c>
      <c r="F81" s="288"/>
      <c r="G81" s="288"/>
      <c r="J81" s="438"/>
      <c r="K81" s="438">
        <f t="shared" si="27"/>
        <v>0</v>
      </c>
    </row>
    <row r="82" spans="1:11" ht="22.5" customHeight="1" x14ac:dyDescent="0.3">
      <c r="A82" s="323">
        <f>A80+1</f>
        <v>63</v>
      </c>
      <c r="B82" s="324" t="s">
        <v>1474</v>
      </c>
      <c r="C82" s="323" t="s">
        <v>193</v>
      </c>
      <c r="D82" s="325">
        <v>1.68</v>
      </c>
      <c r="E82" s="295">
        <v>19512.132374879999</v>
      </c>
      <c r="F82" s="288">
        <f>ROUND(E82*D82,2)</f>
        <v>32780.379999999997</v>
      </c>
      <c r="G82" s="288">
        <f t="shared" ref="G82:G86" si="33">ROUND(F82*1.2,2)</f>
        <v>39336.46</v>
      </c>
      <c r="J82" s="438"/>
      <c r="K82" s="438">
        <f t="shared" si="27"/>
        <v>0</v>
      </c>
    </row>
    <row r="83" spans="1:11" ht="27.6" x14ac:dyDescent="0.3">
      <c r="A83" s="323">
        <f>A82+1</f>
        <v>64</v>
      </c>
      <c r="B83" s="324" t="s">
        <v>1358</v>
      </c>
      <c r="C83" s="323" t="s">
        <v>193</v>
      </c>
      <c r="D83" s="325">
        <v>0.96</v>
      </c>
      <c r="E83" s="295">
        <v>9931.2567749999998</v>
      </c>
      <c r="F83" s="288">
        <f>ROUND(E83*D83,2)</f>
        <v>9534.01</v>
      </c>
      <c r="G83" s="288">
        <f t="shared" si="33"/>
        <v>11440.81</v>
      </c>
      <c r="J83" s="438"/>
      <c r="K83" s="438">
        <f t="shared" si="27"/>
        <v>0</v>
      </c>
    </row>
    <row r="84" spans="1:11" ht="27.6" x14ac:dyDescent="0.3">
      <c r="A84" s="323">
        <f t="shared" ref="A84" si="34">A83+1</f>
        <v>65</v>
      </c>
      <c r="B84" s="324" t="s">
        <v>1465</v>
      </c>
      <c r="C84" s="323" t="s">
        <v>193</v>
      </c>
      <c r="D84" s="325">
        <v>1.08</v>
      </c>
      <c r="E84" s="295">
        <v>1973.7367200000001</v>
      </c>
      <c r="F84" s="288">
        <f>ROUND(E84*D84,2)</f>
        <v>2131.64</v>
      </c>
      <c r="G84" s="288">
        <f t="shared" si="33"/>
        <v>2557.9699999999998</v>
      </c>
      <c r="J84" s="438"/>
      <c r="K84" s="438">
        <f t="shared" si="27"/>
        <v>0</v>
      </c>
    </row>
    <row r="85" spans="1:11" ht="27.6" x14ac:dyDescent="0.3">
      <c r="A85" s="323">
        <f>A84+1</f>
        <v>66</v>
      </c>
      <c r="B85" s="324" t="s">
        <v>1475</v>
      </c>
      <c r="C85" s="323" t="s">
        <v>431</v>
      </c>
      <c r="D85" s="325">
        <v>11.4</v>
      </c>
      <c r="E85" s="295">
        <v>217.397088</v>
      </c>
      <c r="F85" s="288">
        <f>ROUND(E85*D85,2)</f>
        <v>2478.33</v>
      </c>
      <c r="G85" s="288">
        <f t="shared" si="33"/>
        <v>2974</v>
      </c>
      <c r="J85" s="438"/>
      <c r="K85" s="438">
        <f t="shared" si="27"/>
        <v>0</v>
      </c>
    </row>
    <row r="86" spans="1:11" ht="27.6" x14ac:dyDescent="0.3">
      <c r="A86" s="323">
        <f t="shared" ref="A86" si="35">A85+1</f>
        <v>67</v>
      </c>
      <c r="B86" s="324" t="s">
        <v>1476</v>
      </c>
      <c r="C86" s="323" t="s">
        <v>431</v>
      </c>
      <c r="D86" s="325">
        <v>11.4</v>
      </c>
      <c r="E86" s="295">
        <v>451.29919176000004</v>
      </c>
      <c r="F86" s="288">
        <f>ROUND(E86*D86,2)</f>
        <v>5144.8100000000004</v>
      </c>
      <c r="G86" s="288">
        <f t="shared" si="33"/>
        <v>6173.77</v>
      </c>
      <c r="J86" s="438"/>
      <c r="K86" s="438">
        <f t="shared" si="27"/>
        <v>0</v>
      </c>
    </row>
    <row r="87" spans="1:11" ht="15.6" x14ac:dyDescent="0.3">
      <c r="A87" s="323"/>
      <c r="B87" s="398" t="s">
        <v>1371</v>
      </c>
      <c r="C87" s="323"/>
      <c r="D87" s="325"/>
      <c r="E87" s="295">
        <v>0</v>
      </c>
      <c r="F87" s="288"/>
      <c r="G87" s="288"/>
      <c r="J87" s="438"/>
      <c r="K87" s="438">
        <f t="shared" si="27"/>
        <v>0</v>
      </c>
    </row>
    <row r="88" spans="1:11" s="56" customFormat="1" ht="15.6" x14ac:dyDescent="0.3">
      <c r="A88" s="323">
        <f>A86+1</f>
        <v>68</v>
      </c>
      <c r="B88" s="324" t="s">
        <v>1481</v>
      </c>
      <c r="C88" s="323" t="s">
        <v>194</v>
      </c>
      <c r="D88" s="327">
        <v>122</v>
      </c>
      <c r="E88" s="295">
        <v>3275.4847385519997</v>
      </c>
      <c r="F88" s="288">
        <f t="shared" ref="F88:F102" si="36">ROUND(E88*D88,2)</f>
        <v>399609.14</v>
      </c>
      <c r="G88" s="288">
        <f t="shared" ref="G88:G102" si="37">ROUND(F88*1.2,2)</f>
        <v>479530.97</v>
      </c>
      <c r="J88" s="438"/>
      <c r="K88" s="438">
        <f t="shared" si="27"/>
        <v>0</v>
      </c>
    </row>
    <row r="89" spans="1:11" s="56" customFormat="1" ht="15.6" x14ac:dyDescent="0.3">
      <c r="A89" s="323">
        <f>A88+1</f>
        <v>69</v>
      </c>
      <c r="B89" s="324" t="s">
        <v>1482</v>
      </c>
      <c r="C89" s="323" t="s">
        <v>194</v>
      </c>
      <c r="D89" s="327">
        <v>18</v>
      </c>
      <c r="E89" s="295">
        <v>3275.4847385519997</v>
      </c>
      <c r="F89" s="288">
        <f t="shared" si="36"/>
        <v>58958.73</v>
      </c>
      <c r="G89" s="288">
        <f t="shared" si="37"/>
        <v>70750.48</v>
      </c>
      <c r="J89" s="438"/>
      <c r="K89" s="438">
        <f t="shared" ref="K89:K102" si="38">E89*J89*1.2</f>
        <v>0</v>
      </c>
    </row>
    <row r="90" spans="1:11" s="56" customFormat="1" ht="15.6" x14ac:dyDescent="0.3">
      <c r="A90" s="323">
        <f>A89+1</f>
        <v>70</v>
      </c>
      <c r="B90" s="324" t="s">
        <v>1483</v>
      </c>
      <c r="C90" s="323" t="s">
        <v>220</v>
      </c>
      <c r="D90" s="327">
        <v>32</v>
      </c>
      <c r="E90" s="295">
        <v>2668.8353039999997</v>
      </c>
      <c r="F90" s="288">
        <f t="shared" si="36"/>
        <v>85402.73</v>
      </c>
      <c r="G90" s="288">
        <f t="shared" si="37"/>
        <v>102483.28</v>
      </c>
      <c r="J90" s="438"/>
      <c r="K90" s="438">
        <f t="shared" si="38"/>
        <v>0</v>
      </c>
    </row>
    <row r="91" spans="1:11" s="56" customFormat="1" ht="15.6" x14ac:dyDescent="0.3">
      <c r="A91" s="323">
        <f>A90+1</f>
        <v>71</v>
      </c>
      <c r="B91" s="324" t="s">
        <v>1484</v>
      </c>
      <c r="C91" s="323" t="s">
        <v>220</v>
      </c>
      <c r="D91" s="327">
        <v>10</v>
      </c>
      <c r="E91" s="295">
        <v>6693.5419200000006</v>
      </c>
      <c r="F91" s="288">
        <f t="shared" si="36"/>
        <v>66935.42</v>
      </c>
      <c r="G91" s="288">
        <f t="shared" si="37"/>
        <v>80322.5</v>
      </c>
      <c r="J91" s="438"/>
      <c r="K91" s="438">
        <f t="shared" si="38"/>
        <v>0</v>
      </c>
    </row>
    <row r="92" spans="1:11" s="56" customFormat="1" ht="15.6" x14ac:dyDescent="0.3">
      <c r="A92" s="323">
        <f t="shared" ref="A92:A102" si="39">A91+1</f>
        <v>72</v>
      </c>
      <c r="B92" s="324" t="s">
        <v>1485</v>
      </c>
      <c r="C92" s="323" t="s">
        <v>220</v>
      </c>
      <c r="D92" s="327">
        <v>4</v>
      </c>
      <c r="E92" s="295">
        <v>6693.5419200000006</v>
      </c>
      <c r="F92" s="288">
        <f t="shared" si="36"/>
        <v>26774.17</v>
      </c>
      <c r="G92" s="288">
        <f t="shared" si="37"/>
        <v>32129</v>
      </c>
      <c r="J92" s="438"/>
      <c r="K92" s="438">
        <f t="shared" si="38"/>
        <v>0</v>
      </c>
    </row>
    <row r="93" spans="1:11" s="56" customFormat="1" ht="27.6" x14ac:dyDescent="0.3">
      <c r="A93" s="323">
        <f t="shared" si="39"/>
        <v>73</v>
      </c>
      <c r="B93" s="324" t="s">
        <v>1486</v>
      </c>
      <c r="C93" s="323" t="s">
        <v>194</v>
      </c>
      <c r="D93" s="327">
        <v>4</v>
      </c>
      <c r="E93" s="295">
        <v>1313.1070164</v>
      </c>
      <c r="F93" s="288">
        <f t="shared" si="36"/>
        <v>5252.43</v>
      </c>
      <c r="G93" s="288">
        <f t="shared" si="37"/>
        <v>6302.92</v>
      </c>
      <c r="J93" s="438"/>
      <c r="K93" s="438">
        <f t="shared" si="38"/>
        <v>0</v>
      </c>
    </row>
    <row r="94" spans="1:11" s="56" customFormat="1" ht="15.6" x14ac:dyDescent="0.3">
      <c r="A94" s="323">
        <f t="shared" si="39"/>
        <v>74</v>
      </c>
      <c r="B94" s="324" t="s">
        <v>1487</v>
      </c>
      <c r="C94" s="323" t="s">
        <v>220</v>
      </c>
      <c r="D94" s="327">
        <v>32</v>
      </c>
      <c r="E94" s="295">
        <v>15415.169832</v>
      </c>
      <c r="F94" s="288">
        <f t="shared" si="36"/>
        <v>493285.43</v>
      </c>
      <c r="G94" s="288">
        <f t="shared" si="37"/>
        <v>591942.52</v>
      </c>
      <c r="H94" s="270" t="s">
        <v>1272</v>
      </c>
      <c r="J94" s="438"/>
      <c r="K94" s="438">
        <f t="shared" si="38"/>
        <v>0</v>
      </c>
    </row>
    <row r="95" spans="1:11" s="56" customFormat="1" ht="15.6" x14ac:dyDescent="0.3">
      <c r="A95" s="323">
        <f t="shared" si="39"/>
        <v>75</v>
      </c>
      <c r="B95" s="324" t="s">
        <v>1488</v>
      </c>
      <c r="C95" s="323" t="s">
        <v>220</v>
      </c>
      <c r="D95" s="327">
        <v>2</v>
      </c>
      <c r="E95" s="295">
        <v>4757.3491050000002</v>
      </c>
      <c r="F95" s="288">
        <f t="shared" si="36"/>
        <v>9514.7000000000007</v>
      </c>
      <c r="G95" s="288">
        <f t="shared" si="37"/>
        <v>11417.64</v>
      </c>
      <c r="J95" s="438"/>
      <c r="K95" s="438">
        <f t="shared" si="38"/>
        <v>0</v>
      </c>
    </row>
    <row r="96" spans="1:11" s="56" customFormat="1" ht="15.6" x14ac:dyDescent="0.3">
      <c r="A96" s="323">
        <f t="shared" si="39"/>
        <v>76</v>
      </c>
      <c r="B96" s="324" t="s">
        <v>1489</v>
      </c>
      <c r="C96" s="323" t="s">
        <v>220</v>
      </c>
      <c r="D96" s="327">
        <v>2</v>
      </c>
      <c r="E96" s="295">
        <v>1679.464017</v>
      </c>
      <c r="F96" s="288">
        <f t="shared" si="36"/>
        <v>3358.93</v>
      </c>
      <c r="G96" s="288">
        <f t="shared" si="37"/>
        <v>4030.72</v>
      </c>
      <c r="J96" s="438"/>
      <c r="K96" s="438">
        <f t="shared" si="38"/>
        <v>0</v>
      </c>
    </row>
    <row r="97" spans="1:11" s="56" customFormat="1" ht="15.6" x14ac:dyDescent="0.3">
      <c r="A97" s="323">
        <f t="shared" si="39"/>
        <v>77</v>
      </c>
      <c r="B97" s="324" t="s">
        <v>1490</v>
      </c>
      <c r="C97" s="323" t="s">
        <v>220</v>
      </c>
      <c r="D97" s="327">
        <v>2</v>
      </c>
      <c r="E97" s="295">
        <v>2186.8430760000001</v>
      </c>
      <c r="F97" s="288">
        <f t="shared" si="36"/>
        <v>4373.6899999999996</v>
      </c>
      <c r="G97" s="288">
        <f t="shared" si="37"/>
        <v>5248.43</v>
      </c>
      <c r="J97" s="438"/>
      <c r="K97" s="438">
        <f t="shared" si="38"/>
        <v>0</v>
      </c>
    </row>
    <row r="98" spans="1:11" s="56" customFormat="1" ht="15.6" x14ac:dyDescent="0.3">
      <c r="A98" s="323">
        <f t="shared" si="39"/>
        <v>78</v>
      </c>
      <c r="B98" s="324" t="s">
        <v>1491</v>
      </c>
      <c r="C98" s="323" t="s">
        <v>220</v>
      </c>
      <c r="D98" s="327">
        <v>2</v>
      </c>
      <c r="E98" s="295">
        <v>2669.9165134546156</v>
      </c>
      <c r="F98" s="288">
        <f t="shared" si="36"/>
        <v>5339.83</v>
      </c>
      <c r="G98" s="288">
        <f t="shared" si="37"/>
        <v>6407.8</v>
      </c>
      <c r="J98" s="438"/>
      <c r="K98" s="438">
        <f t="shared" si="38"/>
        <v>0</v>
      </c>
    </row>
    <row r="99" spans="1:11" s="56" customFormat="1" ht="27.6" x14ac:dyDescent="0.3">
      <c r="A99" s="323">
        <f t="shared" si="39"/>
        <v>79</v>
      </c>
      <c r="B99" s="324" t="s">
        <v>1492</v>
      </c>
      <c r="C99" s="323" t="s">
        <v>431</v>
      </c>
      <c r="D99" s="382">
        <v>4</v>
      </c>
      <c r="E99" s="295">
        <v>217.397088</v>
      </c>
      <c r="F99" s="288">
        <f t="shared" si="36"/>
        <v>869.59</v>
      </c>
      <c r="G99" s="288">
        <f t="shared" si="37"/>
        <v>1043.51</v>
      </c>
      <c r="J99" s="438"/>
      <c r="K99" s="438">
        <f t="shared" si="38"/>
        <v>0</v>
      </c>
    </row>
    <row r="100" spans="1:11" s="56" customFormat="1" ht="15.6" x14ac:dyDescent="0.3">
      <c r="A100" s="323">
        <f t="shared" si="39"/>
        <v>80</v>
      </c>
      <c r="B100" s="324" t="s">
        <v>1493</v>
      </c>
      <c r="C100" s="323" t="s">
        <v>220</v>
      </c>
      <c r="D100" s="327">
        <v>2</v>
      </c>
      <c r="E100" s="295">
        <v>4592.5134839999992</v>
      </c>
      <c r="F100" s="288">
        <f t="shared" si="36"/>
        <v>9185.0300000000007</v>
      </c>
      <c r="G100" s="288">
        <f t="shared" si="37"/>
        <v>11022.04</v>
      </c>
      <c r="H100" s="270"/>
      <c r="J100" s="438"/>
      <c r="K100" s="438">
        <f t="shared" si="38"/>
        <v>0</v>
      </c>
    </row>
    <row r="101" spans="1:11" s="56" customFormat="1" ht="15.6" x14ac:dyDescent="0.3">
      <c r="A101" s="323">
        <f t="shared" si="39"/>
        <v>81</v>
      </c>
      <c r="B101" s="324" t="s">
        <v>1494</v>
      </c>
      <c r="C101" s="323" t="s">
        <v>194</v>
      </c>
      <c r="D101" s="382">
        <v>2.8</v>
      </c>
      <c r="E101" s="295">
        <v>22658.640570000003</v>
      </c>
      <c r="F101" s="288">
        <f t="shared" si="36"/>
        <v>63444.19</v>
      </c>
      <c r="G101" s="288">
        <f t="shared" si="37"/>
        <v>76133.03</v>
      </c>
      <c r="J101" s="438"/>
      <c r="K101" s="438">
        <f t="shared" si="38"/>
        <v>0</v>
      </c>
    </row>
    <row r="102" spans="1:11" s="56" customFormat="1" ht="15.6" x14ac:dyDescent="0.3">
      <c r="A102" s="323">
        <f t="shared" si="39"/>
        <v>82</v>
      </c>
      <c r="B102" s="324" t="s">
        <v>1495</v>
      </c>
      <c r="C102" s="323" t="s">
        <v>194</v>
      </c>
      <c r="D102" s="327">
        <v>82</v>
      </c>
      <c r="E102" s="295">
        <v>26.388001800000001</v>
      </c>
      <c r="F102" s="288">
        <f t="shared" si="36"/>
        <v>2163.8200000000002</v>
      </c>
      <c r="G102" s="288">
        <f t="shared" si="37"/>
        <v>2596.58</v>
      </c>
      <c r="J102" s="438"/>
      <c r="K102" s="438">
        <f t="shared" si="38"/>
        <v>0</v>
      </c>
    </row>
    <row r="103" spans="1:11" x14ac:dyDescent="0.3">
      <c r="A103" s="533" t="s">
        <v>721</v>
      </c>
      <c r="B103" s="534"/>
      <c r="C103" s="534"/>
      <c r="D103" s="534"/>
      <c r="E103" s="535"/>
      <c r="F103" s="157">
        <f>SUM(F7:F102)</f>
        <v>4023834.0299999993</v>
      </c>
      <c r="G103" s="321">
        <f>SUM(G7:G102)</f>
        <v>4828600.88</v>
      </c>
      <c r="J103" s="438"/>
      <c r="K103" s="436">
        <f>SUM(K5:K102)</f>
        <v>0</v>
      </c>
    </row>
  </sheetData>
  <autoFilter ref="A1:H103" xr:uid="{00000000-0001-0000-1500-000000000000}"/>
  <mergeCells count="11">
    <mergeCell ref="J1:J3"/>
    <mergeCell ref="K1:K3"/>
    <mergeCell ref="F1:F3"/>
    <mergeCell ref="G1:G3"/>
    <mergeCell ref="E1:E3"/>
    <mergeCell ref="A103:E103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0.79998168889431442"/>
  </sheetPr>
  <dimension ref="A1:L93"/>
  <sheetViews>
    <sheetView topLeftCell="A71" zoomScaleNormal="100" zoomScaleSheetLayoutView="80" workbookViewId="0">
      <selection activeCell="K93" sqref="K93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8.109375" customWidth="1"/>
    <col min="10" max="11" width="17" style="440" customWidth="1"/>
  </cols>
  <sheetData>
    <row r="1" spans="1:12" ht="14.55" customHeight="1" x14ac:dyDescent="0.3">
      <c r="A1" s="539" t="s">
        <v>226</v>
      </c>
      <c r="B1" s="542" t="s">
        <v>201</v>
      </c>
      <c r="C1" s="545" t="s">
        <v>230</v>
      </c>
      <c r="D1" s="545" t="s">
        <v>202</v>
      </c>
      <c r="E1" s="545" t="s">
        <v>231</v>
      </c>
      <c r="F1" s="545" t="s">
        <v>410</v>
      </c>
      <c r="G1" s="545" t="s">
        <v>409</v>
      </c>
      <c r="J1" s="536" t="s">
        <v>1657</v>
      </c>
      <c r="K1" s="536" t="s">
        <v>1658</v>
      </c>
    </row>
    <row r="2" spans="1:12" ht="14.55" customHeight="1" x14ac:dyDescent="0.3">
      <c r="A2" s="540"/>
      <c r="B2" s="543"/>
      <c r="C2" s="545"/>
      <c r="D2" s="545"/>
      <c r="E2" s="545"/>
      <c r="F2" s="545"/>
      <c r="G2" s="545"/>
      <c r="J2" s="536"/>
      <c r="K2" s="536"/>
      <c r="L2" s="381"/>
    </row>
    <row r="3" spans="1:12" ht="27.6" customHeight="1" x14ac:dyDescent="0.3">
      <c r="A3" s="541"/>
      <c r="B3" s="544"/>
      <c r="C3" s="545"/>
      <c r="D3" s="545"/>
      <c r="E3" s="545"/>
      <c r="F3" s="545"/>
      <c r="G3" s="545"/>
      <c r="J3" s="536"/>
      <c r="K3" s="536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7"/>
      <c r="K4" s="437"/>
      <c r="L4" s="381"/>
    </row>
    <row r="5" spans="1:12" ht="20.25" customHeight="1" x14ac:dyDescent="0.3">
      <c r="A5" s="173"/>
      <c r="B5" s="537" t="s">
        <v>1461</v>
      </c>
      <c r="C5" s="538"/>
      <c r="D5" s="538"/>
      <c r="E5" s="174"/>
      <c r="F5" s="175"/>
      <c r="G5" s="176"/>
      <c r="J5" s="438"/>
      <c r="K5" s="438">
        <f>E5*J5*1.2</f>
        <v>0</v>
      </c>
    </row>
    <row r="6" spans="1:12" ht="20.25" customHeight="1" x14ac:dyDescent="0.3">
      <c r="A6" s="65"/>
      <c r="B6" s="72" t="s">
        <v>1496</v>
      </c>
      <c r="C6" s="65"/>
      <c r="D6" s="70"/>
      <c r="E6" s="171"/>
      <c r="F6" s="101"/>
      <c r="G6" s="101"/>
      <c r="J6" s="438"/>
      <c r="K6" s="438">
        <f t="shared" ref="K6:K69" si="0">E6*J6*1.2</f>
        <v>0</v>
      </c>
    </row>
    <row r="7" spans="1:12" ht="20.25" customHeight="1" x14ac:dyDescent="0.3">
      <c r="A7" s="65"/>
      <c r="B7" s="72" t="s">
        <v>1352</v>
      </c>
      <c r="C7" s="65"/>
      <c r="D7" s="70"/>
      <c r="E7" s="171"/>
      <c r="F7" s="101"/>
      <c r="G7" s="101"/>
      <c r="J7" s="438"/>
      <c r="K7" s="438">
        <f t="shared" si="0"/>
        <v>0</v>
      </c>
    </row>
    <row r="8" spans="1:12" ht="15.6" x14ac:dyDescent="0.3">
      <c r="A8" s="285">
        <f>A7+1</f>
        <v>1</v>
      </c>
      <c r="B8" s="290" t="s">
        <v>1406</v>
      </c>
      <c r="C8" s="285" t="s">
        <v>220</v>
      </c>
      <c r="D8" s="298">
        <v>16</v>
      </c>
      <c r="E8" s="171">
        <v>2873.9571000000001</v>
      </c>
      <c r="F8" s="288">
        <f>ROUND(E8*D8,2)</f>
        <v>45983.31</v>
      </c>
      <c r="G8" s="288">
        <f t="shared" ref="G8" si="1">ROUND(F8*1.2,2)</f>
        <v>55179.97</v>
      </c>
      <c r="J8" s="438"/>
      <c r="K8" s="438">
        <f t="shared" si="0"/>
        <v>0</v>
      </c>
    </row>
    <row r="9" spans="1:12" ht="15.6" x14ac:dyDescent="0.3">
      <c r="A9" s="285"/>
      <c r="B9" s="293" t="s">
        <v>1354</v>
      </c>
      <c r="C9" s="292"/>
      <c r="D9" s="298"/>
      <c r="E9" s="171">
        <v>0</v>
      </c>
      <c r="F9" s="288"/>
      <c r="G9" s="288"/>
      <c r="J9" s="438"/>
      <c r="K9" s="438">
        <f t="shared" si="0"/>
        <v>0</v>
      </c>
    </row>
    <row r="10" spans="1:12" ht="15.6" x14ac:dyDescent="0.3">
      <c r="A10" s="285"/>
      <c r="B10" s="293" t="s">
        <v>1355</v>
      </c>
      <c r="C10" s="285"/>
      <c r="D10" s="287"/>
      <c r="E10" s="171">
        <v>0</v>
      </c>
      <c r="F10" s="288"/>
      <c r="G10" s="288"/>
      <c r="J10" s="438"/>
      <c r="K10" s="438">
        <f t="shared" si="0"/>
        <v>0</v>
      </c>
    </row>
    <row r="11" spans="1:12" ht="15.6" x14ac:dyDescent="0.3">
      <c r="A11" s="285">
        <f>A8+1</f>
        <v>2</v>
      </c>
      <c r="B11" s="290" t="s">
        <v>1407</v>
      </c>
      <c r="C11" s="285" t="s">
        <v>193</v>
      </c>
      <c r="D11" s="287">
        <v>6</v>
      </c>
      <c r="E11" s="171">
        <v>7049.5719000000008</v>
      </c>
      <c r="F11" s="288">
        <f t="shared" ref="F11:F20" si="2">ROUND(E11*D11,2)</f>
        <v>42297.43</v>
      </c>
      <c r="G11" s="288">
        <f t="shared" ref="G11:G20" si="3">ROUND(F11*1.2,2)</f>
        <v>50756.92</v>
      </c>
      <c r="J11" s="438"/>
      <c r="K11" s="438">
        <f t="shared" si="0"/>
        <v>0</v>
      </c>
    </row>
    <row r="12" spans="1:12" ht="15.6" x14ac:dyDescent="0.3">
      <c r="A12" s="285">
        <f>A11+1</f>
        <v>3</v>
      </c>
      <c r="B12" s="290" t="s">
        <v>1497</v>
      </c>
      <c r="C12" s="285" t="s">
        <v>193</v>
      </c>
      <c r="D12" s="287">
        <v>1.77</v>
      </c>
      <c r="E12" s="171">
        <v>6793.106670000001</v>
      </c>
      <c r="F12" s="288">
        <f t="shared" si="2"/>
        <v>12023.8</v>
      </c>
      <c r="G12" s="288">
        <f t="shared" si="3"/>
        <v>14428.56</v>
      </c>
      <c r="J12" s="438"/>
      <c r="K12" s="438">
        <f t="shared" si="0"/>
        <v>0</v>
      </c>
    </row>
    <row r="13" spans="1:12" ht="15.6" x14ac:dyDescent="0.3">
      <c r="A13" s="285">
        <f>A12+1</f>
        <v>4</v>
      </c>
      <c r="B13" s="290" t="s">
        <v>1498</v>
      </c>
      <c r="C13" s="285" t="s">
        <v>193</v>
      </c>
      <c r="D13" s="287">
        <v>9.51</v>
      </c>
      <c r="E13" s="171">
        <v>1701.1764000000003</v>
      </c>
      <c r="F13" s="288">
        <f t="shared" si="2"/>
        <v>16178.19</v>
      </c>
      <c r="G13" s="288">
        <f t="shared" si="3"/>
        <v>19413.830000000002</v>
      </c>
      <c r="J13" s="438"/>
      <c r="K13" s="438">
        <f t="shared" si="0"/>
        <v>0</v>
      </c>
    </row>
    <row r="14" spans="1:12" ht="15.6" x14ac:dyDescent="0.3">
      <c r="A14" s="285">
        <f>A13+1</f>
        <v>5</v>
      </c>
      <c r="B14" s="290" t="s">
        <v>1499</v>
      </c>
      <c r="C14" s="285" t="s">
        <v>239</v>
      </c>
      <c r="D14" s="287">
        <v>0.6</v>
      </c>
      <c r="E14" s="171">
        <v>109545.45</v>
      </c>
      <c r="F14" s="288">
        <f t="shared" si="2"/>
        <v>65727.27</v>
      </c>
      <c r="G14" s="288">
        <f t="shared" si="3"/>
        <v>78872.72</v>
      </c>
      <c r="J14" s="438"/>
      <c r="K14" s="438">
        <f t="shared" si="0"/>
        <v>0</v>
      </c>
    </row>
    <row r="15" spans="1:12" ht="15.6" x14ac:dyDescent="0.3">
      <c r="A15" s="285">
        <f t="shared" ref="A15:A18" si="4">A14+1</f>
        <v>6</v>
      </c>
      <c r="B15" s="290" t="s">
        <v>1500</v>
      </c>
      <c r="C15" s="285" t="s">
        <v>239</v>
      </c>
      <c r="D15" s="287">
        <v>0.12</v>
      </c>
      <c r="E15" s="171">
        <v>109545.45</v>
      </c>
      <c r="F15" s="288">
        <f t="shared" si="2"/>
        <v>13145.45</v>
      </c>
      <c r="G15" s="288">
        <f t="shared" si="3"/>
        <v>15774.54</v>
      </c>
      <c r="J15" s="438"/>
      <c r="K15" s="438">
        <f t="shared" si="0"/>
        <v>0</v>
      </c>
    </row>
    <row r="16" spans="1:12" ht="15.6" x14ac:dyDescent="0.3">
      <c r="A16" s="285">
        <f t="shared" si="4"/>
        <v>7</v>
      </c>
      <c r="B16" s="290" t="s">
        <v>1410</v>
      </c>
      <c r="C16" s="285" t="s">
        <v>239</v>
      </c>
      <c r="D16" s="287">
        <v>0.17</v>
      </c>
      <c r="E16" s="171">
        <v>109545.45</v>
      </c>
      <c r="F16" s="288">
        <f t="shared" si="2"/>
        <v>18622.73</v>
      </c>
      <c r="G16" s="288">
        <f t="shared" si="3"/>
        <v>22347.279999999999</v>
      </c>
      <c r="J16" s="438"/>
      <c r="K16" s="438">
        <f t="shared" si="0"/>
        <v>0</v>
      </c>
    </row>
    <row r="17" spans="1:11" ht="15.6" x14ac:dyDescent="0.3">
      <c r="A17" s="285">
        <f t="shared" si="4"/>
        <v>8</v>
      </c>
      <c r="B17" s="290" t="s">
        <v>1501</v>
      </c>
      <c r="C17" s="285" t="s">
        <v>239</v>
      </c>
      <c r="D17" s="301">
        <v>5.3999999999999999E-2</v>
      </c>
      <c r="E17" s="171">
        <v>114700.53</v>
      </c>
      <c r="F17" s="288">
        <f t="shared" si="2"/>
        <v>6193.83</v>
      </c>
      <c r="G17" s="288">
        <f t="shared" si="3"/>
        <v>7432.6</v>
      </c>
      <c r="J17" s="438"/>
      <c r="K17" s="438">
        <f t="shared" si="0"/>
        <v>0</v>
      </c>
    </row>
    <row r="18" spans="1:11" ht="15.6" x14ac:dyDescent="0.3">
      <c r="A18" s="285">
        <f t="shared" si="4"/>
        <v>9</v>
      </c>
      <c r="B18" s="290" t="s">
        <v>1414</v>
      </c>
      <c r="C18" s="285" t="s">
        <v>193</v>
      </c>
      <c r="D18" s="287">
        <v>0.48</v>
      </c>
      <c r="E18" s="171">
        <v>5283.9570000000003</v>
      </c>
      <c r="F18" s="288">
        <f t="shared" si="2"/>
        <v>2536.3000000000002</v>
      </c>
      <c r="G18" s="288">
        <f t="shared" si="3"/>
        <v>3043.56</v>
      </c>
      <c r="J18" s="438"/>
      <c r="K18" s="438">
        <f t="shared" si="0"/>
        <v>0</v>
      </c>
    </row>
    <row r="19" spans="1:11" ht="15.6" x14ac:dyDescent="0.3">
      <c r="A19" s="285">
        <f>A17+1</f>
        <v>9</v>
      </c>
      <c r="B19" s="290" t="s">
        <v>388</v>
      </c>
      <c r="C19" s="285" t="s">
        <v>254</v>
      </c>
      <c r="D19" s="287">
        <v>47.88</v>
      </c>
      <c r="E19" s="171">
        <v>402.09624000000002</v>
      </c>
      <c r="F19" s="288">
        <f t="shared" si="2"/>
        <v>19252.37</v>
      </c>
      <c r="G19" s="288">
        <f t="shared" si="3"/>
        <v>23102.84</v>
      </c>
      <c r="J19" s="438"/>
      <c r="K19" s="438">
        <f t="shared" si="0"/>
        <v>0</v>
      </c>
    </row>
    <row r="20" spans="1:11" ht="15.6" x14ac:dyDescent="0.3">
      <c r="A20" s="285">
        <f t="shared" ref="A20" si="5">A19+1</f>
        <v>10</v>
      </c>
      <c r="B20" s="290" t="s">
        <v>1413</v>
      </c>
      <c r="C20" s="285" t="s">
        <v>387</v>
      </c>
      <c r="D20" s="287">
        <f>10.26*20/16</f>
        <v>12.824999999999999</v>
      </c>
      <c r="E20" s="171">
        <v>322.1925</v>
      </c>
      <c r="F20" s="288">
        <f t="shared" si="2"/>
        <v>4132.12</v>
      </c>
      <c r="G20" s="288">
        <f t="shared" si="3"/>
        <v>4958.54</v>
      </c>
      <c r="J20" s="438"/>
      <c r="K20" s="438">
        <f t="shared" si="0"/>
        <v>0</v>
      </c>
    </row>
    <row r="21" spans="1:11" ht="20.25" customHeight="1" x14ac:dyDescent="0.3">
      <c r="A21" s="285"/>
      <c r="B21" s="293" t="s">
        <v>1502</v>
      </c>
      <c r="C21" s="285"/>
      <c r="D21" s="298"/>
      <c r="E21" s="171">
        <v>0</v>
      </c>
      <c r="F21" s="288"/>
      <c r="G21" s="288"/>
      <c r="J21" s="438"/>
      <c r="K21" s="438">
        <f t="shared" si="0"/>
        <v>0</v>
      </c>
    </row>
    <row r="22" spans="1:11" ht="20.25" customHeight="1" x14ac:dyDescent="0.3">
      <c r="A22" s="285"/>
      <c r="B22" s="293" t="s">
        <v>1352</v>
      </c>
      <c r="C22" s="285"/>
      <c r="D22" s="298"/>
      <c r="E22" s="171">
        <v>0</v>
      </c>
      <c r="F22" s="288"/>
      <c r="G22" s="288"/>
      <c r="J22" s="438"/>
      <c r="K22" s="438">
        <f t="shared" si="0"/>
        <v>0</v>
      </c>
    </row>
    <row r="23" spans="1:11" ht="15.6" x14ac:dyDescent="0.3">
      <c r="A23" s="285">
        <f>A20+1</f>
        <v>11</v>
      </c>
      <c r="B23" s="290" t="s">
        <v>1406</v>
      </c>
      <c r="C23" s="285" t="s">
        <v>220</v>
      </c>
      <c r="D23" s="298">
        <v>13</v>
      </c>
      <c r="E23" s="171">
        <v>2873.9571000000001</v>
      </c>
      <c r="F23" s="288">
        <f>ROUND(E23*D23,2)</f>
        <v>37361.440000000002</v>
      </c>
      <c r="G23" s="288">
        <f t="shared" ref="G23" si="6">ROUND(F23*1.2,2)</f>
        <v>44833.73</v>
      </c>
      <c r="J23" s="438"/>
      <c r="K23" s="438">
        <f t="shared" si="0"/>
        <v>0</v>
      </c>
    </row>
    <row r="24" spans="1:11" ht="15.6" x14ac:dyDescent="0.3">
      <c r="A24" s="285"/>
      <c r="B24" s="293" t="s">
        <v>1354</v>
      </c>
      <c r="C24" s="292"/>
      <c r="D24" s="298"/>
      <c r="E24" s="171">
        <v>0</v>
      </c>
      <c r="F24" s="288"/>
      <c r="G24" s="288"/>
      <c r="J24" s="438"/>
      <c r="K24" s="438">
        <f t="shared" si="0"/>
        <v>0</v>
      </c>
    </row>
    <row r="25" spans="1:11" ht="15.6" x14ac:dyDescent="0.3">
      <c r="A25" s="285"/>
      <c r="B25" s="293" t="s">
        <v>1355</v>
      </c>
      <c r="C25" s="285"/>
      <c r="D25" s="287"/>
      <c r="E25" s="171">
        <v>0</v>
      </c>
      <c r="F25" s="288"/>
      <c r="G25" s="288"/>
      <c r="J25" s="438"/>
      <c r="K25" s="438">
        <f t="shared" si="0"/>
        <v>0</v>
      </c>
    </row>
    <row r="26" spans="1:11" ht="15.6" x14ac:dyDescent="0.3">
      <c r="A26" s="285">
        <f>A23+1</f>
        <v>12</v>
      </c>
      <c r="B26" s="290" t="s">
        <v>1407</v>
      </c>
      <c r="C26" s="285" t="s">
        <v>193</v>
      </c>
      <c r="D26" s="287">
        <v>4.51</v>
      </c>
      <c r="E26" s="171">
        <v>7049.5719000000008</v>
      </c>
      <c r="F26" s="288">
        <f t="shared" ref="F26:F35" si="7">ROUND(E26*D26,2)</f>
        <v>31793.57</v>
      </c>
      <c r="G26" s="288">
        <f t="shared" ref="G26:G35" si="8">ROUND(F26*1.2,2)</f>
        <v>38152.28</v>
      </c>
      <c r="J26" s="438"/>
      <c r="K26" s="438">
        <f t="shared" si="0"/>
        <v>0</v>
      </c>
    </row>
    <row r="27" spans="1:11" ht="15.6" x14ac:dyDescent="0.3">
      <c r="A27" s="285">
        <f>A26+1</f>
        <v>13</v>
      </c>
      <c r="B27" s="290" t="s">
        <v>1497</v>
      </c>
      <c r="C27" s="285" t="s">
        <v>193</v>
      </c>
      <c r="D27" s="287">
        <v>1.5</v>
      </c>
      <c r="E27" s="171">
        <v>6793.106670000001</v>
      </c>
      <c r="F27" s="288">
        <f t="shared" si="7"/>
        <v>10189.66</v>
      </c>
      <c r="G27" s="288">
        <f t="shared" si="8"/>
        <v>12227.59</v>
      </c>
      <c r="J27" s="438"/>
      <c r="K27" s="438">
        <f t="shared" si="0"/>
        <v>0</v>
      </c>
    </row>
    <row r="28" spans="1:11" ht="15.6" x14ac:dyDescent="0.3">
      <c r="A28" s="285">
        <f>A27+1</f>
        <v>14</v>
      </c>
      <c r="B28" s="290" t="s">
        <v>1498</v>
      </c>
      <c r="C28" s="285" t="s">
        <v>193</v>
      </c>
      <c r="D28" s="287">
        <v>7.4</v>
      </c>
      <c r="E28" s="171">
        <v>1701.1764000000003</v>
      </c>
      <c r="F28" s="288">
        <f t="shared" si="7"/>
        <v>12588.71</v>
      </c>
      <c r="G28" s="288">
        <f t="shared" si="8"/>
        <v>15106.45</v>
      </c>
      <c r="J28" s="438"/>
      <c r="K28" s="438">
        <f t="shared" si="0"/>
        <v>0</v>
      </c>
    </row>
    <row r="29" spans="1:11" ht="15.6" x14ac:dyDescent="0.3">
      <c r="A29" s="285">
        <f>A28+1</f>
        <v>15</v>
      </c>
      <c r="B29" s="290" t="s">
        <v>1499</v>
      </c>
      <c r="C29" s="285" t="s">
        <v>239</v>
      </c>
      <c r="D29" s="301">
        <v>0.53200000000000003</v>
      </c>
      <c r="E29" s="171">
        <v>109545.45</v>
      </c>
      <c r="F29" s="288">
        <f t="shared" si="7"/>
        <v>58278.18</v>
      </c>
      <c r="G29" s="288">
        <f t="shared" si="8"/>
        <v>69933.820000000007</v>
      </c>
      <c r="J29" s="438"/>
      <c r="K29" s="438">
        <f t="shared" si="0"/>
        <v>0</v>
      </c>
    </row>
    <row r="30" spans="1:11" ht="15.6" x14ac:dyDescent="0.3">
      <c r="A30" s="285">
        <f t="shared" ref="A30:A33" si="9">A29+1</f>
        <v>16</v>
      </c>
      <c r="B30" s="290" t="s">
        <v>1500</v>
      </c>
      <c r="C30" s="285" t="s">
        <v>239</v>
      </c>
      <c r="D30" s="301">
        <v>9.9000000000000005E-2</v>
      </c>
      <c r="E30" s="171">
        <v>109545.45</v>
      </c>
      <c r="F30" s="288">
        <f t="shared" si="7"/>
        <v>10845</v>
      </c>
      <c r="G30" s="288">
        <f t="shared" si="8"/>
        <v>13014</v>
      </c>
      <c r="J30" s="438"/>
      <c r="K30" s="438">
        <f t="shared" si="0"/>
        <v>0</v>
      </c>
    </row>
    <row r="31" spans="1:11" ht="15.6" x14ac:dyDescent="0.3">
      <c r="A31" s="285">
        <f t="shared" si="9"/>
        <v>17</v>
      </c>
      <c r="B31" s="290" t="s">
        <v>1410</v>
      </c>
      <c r="C31" s="285" t="s">
        <v>239</v>
      </c>
      <c r="D31" s="287">
        <v>0.03</v>
      </c>
      <c r="E31" s="171">
        <v>109545.45</v>
      </c>
      <c r="F31" s="288">
        <f t="shared" si="7"/>
        <v>3286.36</v>
      </c>
      <c r="G31" s="288">
        <f t="shared" si="8"/>
        <v>3943.63</v>
      </c>
      <c r="J31" s="438"/>
      <c r="K31" s="438">
        <f t="shared" si="0"/>
        <v>0</v>
      </c>
    </row>
    <row r="32" spans="1:11" ht="15.6" x14ac:dyDescent="0.3">
      <c r="A32" s="285">
        <f t="shared" si="9"/>
        <v>18</v>
      </c>
      <c r="B32" s="290" t="s">
        <v>1501</v>
      </c>
      <c r="C32" s="285" t="s">
        <v>239</v>
      </c>
      <c r="D32" s="301">
        <v>5.3999999999999999E-2</v>
      </c>
      <c r="E32" s="171">
        <v>114700.53</v>
      </c>
      <c r="F32" s="288">
        <f t="shared" si="7"/>
        <v>6193.83</v>
      </c>
      <c r="G32" s="288">
        <f t="shared" si="8"/>
        <v>7432.6</v>
      </c>
      <c r="J32" s="438"/>
      <c r="K32" s="438">
        <f t="shared" si="0"/>
        <v>0</v>
      </c>
    </row>
    <row r="33" spans="1:11" ht="15.6" x14ac:dyDescent="0.3">
      <c r="A33" s="285">
        <f t="shared" si="9"/>
        <v>19</v>
      </c>
      <c r="B33" s="290" t="s">
        <v>1414</v>
      </c>
      <c r="C33" s="285" t="s">
        <v>193</v>
      </c>
      <c r="D33" s="287">
        <v>0.41</v>
      </c>
      <c r="E33" s="171">
        <v>5283.9570000000003</v>
      </c>
      <c r="F33" s="288">
        <f t="shared" si="7"/>
        <v>2166.42</v>
      </c>
      <c r="G33" s="288">
        <f t="shared" si="8"/>
        <v>2599.6999999999998</v>
      </c>
      <c r="J33" s="438"/>
      <c r="K33" s="438">
        <f t="shared" si="0"/>
        <v>0</v>
      </c>
    </row>
    <row r="34" spans="1:11" ht="15.6" x14ac:dyDescent="0.3">
      <c r="A34" s="285">
        <f>A32+1</f>
        <v>19</v>
      </c>
      <c r="B34" s="290" t="s">
        <v>388</v>
      </c>
      <c r="C34" s="285" t="s">
        <v>254</v>
      </c>
      <c r="D34" s="287">
        <v>40.880000000000003</v>
      </c>
      <c r="E34" s="171">
        <v>402.09624000000002</v>
      </c>
      <c r="F34" s="288">
        <f t="shared" si="7"/>
        <v>16437.689999999999</v>
      </c>
      <c r="G34" s="288">
        <f t="shared" si="8"/>
        <v>19725.23</v>
      </c>
      <c r="J34" s="438"/>
      <c r="K34" s="438">
        <f t="shared" si="0"/>
        <v>0</v>
      </c>
    </row>
    <row r="35" spans="1:11" ht="15.6" x14ac:dyDescent="0.3">
      <c r="A35" s="285">
        <f t="shared" ref="A35" si="10">A34+1</f>
        <v>20</v>
      </c>
      <c r="B35" s="290" t="s">
        <v>1413</v>
      </c>
      <c r="C35" s="285" t="s">
        <v>387</v>
      </c>
      <c r="D35" s="287">
        <f>8.76*20/16</f>
        <v>10.95</v>
      </c>
      <c r="E35" s="171">
        <v>322.1925</v>
      </c>
      <c r="F35" s="288">
        <f t="shared" si="7"/>
        <v>3528.01</v>
      </c>
      <c r="G35" s="288">
        <f t="shared" si="8"/>
        <v>4233.6099999999997</v>
      </c>
      <c r="J35" s="438"/>
      <c r="K35" s="438">
        <f t="shared" si="0"/>
        <v>0</v>
      </c>
    </row>
    <row r="36" spans="1:11" s="56" customFormat="1" ht="15.6" x14ac:dyDescent="0.3">
      <c r="A36" s="285"/>
      <c r="B36" s="293" t="s">
        <v>1473</v>
      </c>
      <c r="C36" s="285"/>
      <c r="D36" s="287"/>
      <c r="E36" s="171">
        <v>0</v>
      </c>
      <c r="F36" s="288"/>
      <c r="G36" s="288"/>
      <c r="J36" s="438"/>
      <c r="K36" s="438">
        <f t="shared" si="0"/>
        <v>0</v>
      </c>
    </row>
    <row r="37" spans="1:11" ht="15.6" x14ac:dyDescent="0.3">
      <c r="A37" s="285">
        <f>A35+1</f>
        <v>21</v>
      </c>
      <c r="B37" s="290" t="s">
        <v>1407</v>
      </c>
      <c r="C37" s="285" t="s">
        <v>193</v>
      </c>
      <c r="D37" s="287">
        <v>2.5499999999999998</v>
      </c>
      <c r="E37" s="171">
        <v>7049.5719000000008</v>
      </c>
      <c r="F37" s="288">
        <f t="shared" ref="F37:F43" si="11">ROUND(E37*D37,2)</f>
        <v>17976.41</v>
      </c>
      <c r="G37" s="288">
        <f t="shared" ref="G37:G43" si="12">ROUND(F37*1.2,2)</f>
        <v>21571.69</v>
      </c>
      <c r="J37" s="438"/>
      <c r="K37" s="438">
        <f t="shared" si="0"/>
        <v>0</v>
      </c>
    </row>
    <row r="38" spans="1:11" ht="15.6" x14ac:dyDescent="0.3">
      <c r="A38" s="285">
        <f>A37+1</f>
        <v>22</v>
      </c>
      <c r="B38" s="290" t="s">
        <v>1497</v>
      </c>
      <c r="C38" s="285" t="s">
        <v>193</v>
      </c>
      <c r="D38" s="287">
        <v>1.46</v>
      </c>
      <c r="E38" s="171">
        <v>6793.106670000001</v>
      </c>
      <c r="F38" s="288">
        <f t="shared" si="11"/>
        <v>9917.94</v>
      </c>
      <c r="G38" s="288">
        <f t="shared" si="12"/>
        <v>11901.53</v>
      </c>
      <c r="J38" s="438"/>
      <c r="K38" s="438">
        <f t="shared" si="0"/>
        <v>0</v>
      </c>
    </row>
    <row r="39" spans="1:11" ht="15.6" x14ac:dyDescent="0.3">
      <c r="A39" s="285">
        <f>A38+1</f>
        <v>23</v>
      </c>
      <c r="B39" s="290" t="s">
        <v>1498</v>
      </c>
      <c r="C39" s="285" t="s">
        <v>193</v>
      </c>
      <c r="D39" s="287">
        <v>1.64</v>
      </c>
      <c r="E39" s="171">
        <v>1701.1764000000003</v>
      </c>
      <c r="F39" s="288">
        <f t="shared" si="11"/>
        <v>2789.93</v>
      </c>
      <c r="G39" s="288">
        <f t="shared" si="12"/>
        <v>3347.92</v>
      </c>
      <c r="J39" s="438"/>
      <c r="K39" s="438">
        <f t="shared" si="0"/>
        <v>0</v>
      </c>
    </row>
    <row r="40" spans="1:11" s="56" customFormat="1" ht="15.6" x14ac:dyDescent="0.3">
      <c r="A40" s="285">
        <f t="shared" ref="A40:A43" si="13">A39+1</f>
        <v>24</v>
      </c>
      <c r="B40" s="290" t="s">
        <v>1503</v>
      </c>
      <c r="C40" s="285" t="s">
        <v>239</v>
      </c>
      <c r="D40" s="301">
        <v>0.154</v>
      </c>
      <c r="E40" s="171">
        <v>109545.45</v>
      </c>
      <c r="F40" s="288">
        <f t="shared" si="11"/>
        <v>16870</v>
      </c>
      <c r="G40" s="288">
        <f t="shared" si="12"/>
        <v>20244</v>
      </c>
      <c r="J40" s="438"/>
      <c r="K40" s="438">
        <f t="shared" si="0"/>
        <v>0</v>
      </c>
    </row>
    <row r="41" spans="1:11" s="56" customFormat="1" ht="15.6" x14ac:dyDescent="0.3">
      <c r="A41" s="285">
        <f t="shared" si="13"/>
        <v>25</v>
      </c>
      <c r="B41" s="290" t="s">
        <v>1504</v>
      </c>
      <c r="C41" s="285" t="s">
        <v>239</v>
      </c>
      <c r="D41" s="301">
        <v>4.0000000000000001E-3</v>
      </c>
      <c r="E41" s="171">
        <v>109545.45</v>
      </c>
      <c r="F41" s="288">
        <f t="shared" si="11"/>
        <v>438.18</v>
      </c>
      <c r="G41" s="288">
        <f t="shared" si="12"/>
        <v>525.82000000000005</v>
      </c>
      <c r="J41" s="438"/>
      <c r="K41" s="438">
        <f t="shared" si="0"/>
        <v>0</v>
      </c>
    </row>
    <row r="42" spans="1:11" ht="15.6" x14ac:dyDescent="0.3">
      <c r="A42" s="285">
        <f t="shared" si="13"/>
        <v>26</v>
      </c>
      <c r="B42" s="290" t="s">
        <v>388</v>
      </c>
      <c r="C42" s="285" t="s">
        <v>254</v>
      </c>
      <c r="D42" s="287">
        <v>23.7</v>
      </c>
      <c r="E42" s="171">
        <v>402.09624000000002</v>
      </c>
      <c r="F42" s="288">
        <f t="shared" si="11"/>
        <v>9529.68</v>
      </c>
      <c r="G42" s="288">
        <f t="shared" si="12"/>
        <v>11435.62</v>
      </c>
      <c r="J42" s="438"/>
      <c r="K42" s="438">
        <f t="shared" si="0"/>
        <v>0</v>
      </c>
    </row>
    <row r="43" spans="1:11" ht="15.6" x14ac:dyDescent="0.3">
      <c r="A43" s="285">
        <f t="shared" si="13"/>
        <v>27</v>
      </c>
      <c r="B43" s="290" t="s">
        <v>1413</v>
      </c>
      <c r="C43" s="285" t="s">
        <v>387</v>
      </c>
      <c r="D43" s="287">
        <f>5.1*20/16</f>
        <v>6.375</v>
      </c>
      <c r="E43" s="171">
        <v>322.1925</v>
      </c>
      <c r="F43" s="288">
        <f t="shared" si="11"/>
        <v>2053.98</v>
      </c>
      <c r="G43" s="288">
        <f t="shared" si="12"/>
        <v>2464.7800000000002</v>
      </c>
      <c r="J43" s="438"/>
      <c r="K43" s="438">
        <f t="shared" si="0"/>
        <v>0</v>
      </c>
    </row>
    <row r="44" spans="1:11" s="56" customFormat="1" ht="15.6" x14ac:dyDescent="0.3">
      <c r="A44" s="285"/>
      <c r="B44" s="293" t="s">
        <v>1477</v>
      </c>
      <c r="C44" s="285"/>
      <c r="D44" s="287"/>
      <c r="E44" s="171">
        <v>0</v>
      </c>
      <c r="F44" s="288"/>
      <c r="G44" s="288"/>
      <c r="J44" s="438"/>
      <c r="K44" s="438">
        <f t="shared" si="0"/>
        <v>0</v>
      </c>
    </row>
    <row r="45" spans="1:11" ht="15.6" x14ac:dyDescent="0.3">
      <c r="A45" s="285">
        <f>A43+1</f>
        <v>28</v>
      </c>
      <c r="B45" s="290" t="s">
        <v>1407</v>
      </c>
      <c r="C45" s="285" t="s">
        <v>193</v>
      </c>
      <c r="D45" s="287">
        <v>2.93</v>
      </c>
      <c r="E45" s="171">
        <v>7049.5719000000008</v>
      </c>
      <c r="F45" s="288">
        <f t="shared" ref="F45:F51" si="14">ROUND(E45*D45,2)</f>
        <v>20655.25</v>
      </c>
      <c r="G45" s="288">
        <f t="shared" ref="G45:G51" si="15">ROUND(F45*1.2,2)</f>
        <v>24786.3</v>
      </c>
      <c r="J45" s="438"/>
      <c r="K45" s="438">
        <f t="shared" si="0"/>
        <v>0</v>
      </c>
    </row>
    <row r="46" spans="1:11" ht="15.6" x14ac:dyDescent="0.3">
      <c r="A46" s="285">
        <f>A45+1</f>
        <v>29</v>
      </c>
      <c r="B46" s="290" t="s">
        <v>1497</v>
      </c>
      <c r="C46" s="285" t="s">
        <v>193</v>
      </c>
      <c r="D46" s="287">
        <v>1.67</v>
      </c>
      <c r="E46" s="171">
        <v>6793.106670000001</v>
      </c>
      <c r="F46" s="288">
        <f t="shared" si="14"/>
        <v>11344.49</v>
      </c>
      <c r="G46" s="288">
        <f t="shared" si="15"/>
        <v>13613.39</v>
      </c>
      <c r="J46" s="438"/>
      <c r="K46" s="438">
        <f t="shared" si="0"/>
        <v>0</v>
      </c>
    </row>
    <row r="47" spans="1:11" ht="15.6" x14ac:dyDescent="0.3">
      <c r="A47" s="285">
        <f>A46+1</f>
        <v>30</v>
      </c>
      <c r="B47" s="290" t="s">
        <v>1498</v>
      </c>
      <c r="C47" s="285" t="s">
        <v>193</v>
      </c>
      <c r="D47" s="287">
        <v>1.88</v>
      </c>
      <c r="E47" s="171">
        <v>1701.1764000000003</v>
      </c>
      <c r="F47" s="288">
        <f t="shared" si="14"/>
        <v>3198.21</v>
      </c>
      <c r="G47" s="288">
        <f t="shared" si="15"/>
        <v>3837.85</v>
      </c>
      <c r="J47" s="438"/>
      <c r="K47" s="438">
        <f t="shared" si="0"/>
        <v>0</v>
      </c>
    </row>
    <row r="48" spans="1:11" s="56" customFormat="1" ht="15.6" x14ac:dyDescent="0.3">
      <c r="A48" s="285">
        <f t="shared" ref="A48:A51" si="16">A47+1</f>
        <v>31</v>
      </c>
      <c r="B48" s="290" t="s">
        <v>1503</v>
      </c>
      <c r="C48" s="285" t="s">
        <v>239</v>
      </c>
      <c r="D48" s="301">
        <v>0.17799999999999999</v>
      </c>
      <c r="E48" s="171">
        <v>109545.45</v>
      </c>
      <c r="F48" s="288">
        <f t="shared" si="14"/>
        <v>19499.09</v>
      </c>
      <c r="G48" s="288">
        <f t="shared" si="15"/>
        <v>23398.91</v>
      </c>
      <c r="J48" s="438"/>
      <c r="K48" s="438">
        <f t="shared" si="0"/>
        <v>0</v>
      </c>
    </row>
    <row r="49" spans="1:11" s="56" customFormat="1" ht="15.6" x14ac:dyDescent="0.3">
      <c r="A49" s="285">
        <f t="shared" si="16"/>
        <v>32</v>
      </c>
      <c r="B49" s="290" t="s">
        <v>1504</v>
      </c>
      <c r="C49" s="285" t="s">
        <v>239</v>
      </c>
      <c r="D49" s="301">
        <v>5.0000000000000001E-3</v>
      </c>
      <c r="E49" s="171">
        <v>109545.45</v>
      </c>
      <c r="F49" s="288">
        <f t="shared" si="14"/>
        <v>547.73</v>
      </c>
      <c r="G49" s="288">
        <f t="shared" si="15"/>
        <v>657.28</v>
      </c>
      <c r="J49" s="438"/>
      <c r="K49" s="438">
        <f t="shared" si="0"/>
        <v>0</v>
      </c>
    </row>
    <row r="50" spans="1:11" ht="15.6" x14ac:dyDescent="0.3">
      <c r="A50" s="285">
        <f t="shared" si="16"/>
        <v>33</v>
      </c>
      <c r="B50" s="290" t="s">
        <v>388</v>
      </c>
      <c r="C50" s="285" t="s">
        <v>254</v>
      </c>
      <c r="D50" s="287">
        <v>27.1</v>
      </c>
      <c r="E50" s="171">
        <v>402.09624000000002</v>
      </c>
      <c r="F50" s="288">
        <f t="shared" si="14"/>
        <v>10896.81</v>
      </c>
      <c r="G50" s="288">
        <f t="shared" si="15"/>
        <v>13076.17</v>
      </c>
      <c r="J50" s="438"/>
      <c r="K50" s="438">
        <f t="shared" si="0"/>
        <v>0</v>
      </c>
    </row>
    <row r="51" spans="1:11" ht="15.6" x14ac:dyDescent="0.3">
      <c r="A51" s="285">
        <f t="shared" si="16"/>
        <v>34</v>
      </c>
      <c r="B51" s="290" t="s">
        <v>1413</v>
      </c>
      <c r="C51" s="285" t="s">
        <v>387</v>
      </c>
      <c r="D51" s="287">
        <f>5.8*20/16</f>
        <v>7.25</v>
      </c>
      <c r="E51" s="171">
        <v>322.1925</v>
      </c>
      <c r="F51" s="288">
        <f t="shared" si="14"/>
        <v>2335.9</v>
      </c>
      <c r="G51" s="288">
        <f t="shared" si="15"/>
        <v>2803.08</v>
      </c>
      <c r="J51" s="438"/>
      <c r="K51" s="438">
        <f t="shared" si="0"/>
        <v>0</v>
      </c>
    </row>
    <row r="52" spans="1:11" s="56" customFormat="1" ht="15.6" x14ac:dyDescent="0.3">
      <c r="A52" s="285"/>
      <c r="B52" s="293" t="s">
        <v>1478</v>
      </c>
      <c r="C52" s="285"/>
      <c r="D52" s="287"/>
      <c r="E52" s="171">
        <v>0</v>
      </c>
      <c r="F52" s="288"/>
      <c r="G52" s="288"/>
      <c r="J52" s="438"/>
      <c r="K52" s="438">
        <f t="shared" si="0"/>
        <v>0</v>
      </c>
    </row>
    <row r="53" spans="1:11" ht="15.6" x14ac:dyDescent="0.3">
      <c r="A53" s="285">
        <f>A51+1</f>
        <v>35</v>
      </c>
      <c r="B53" s="290" t="s">
        <v>1407</v>
      </c>
      <c r="C53" s="285" t="s">
        <v>193</v>
      </c>
      <c r="D53" s="287">
        <v>1.68</v>
      </c>
      <c r="E53" s="171">
        <v>7049.5719000000008</v>
      </c>
      <c r="F53" s="288">
        <f t="shared" ref="F53:F59" si="17">ROUND(E53*D53,2)</f>
        <v>11843.28</v>
      </c>
      <c r="G53" s="288">
        <f t="shared" ref="G53:G59" si="18">ROUND(F53*1.2,2)</f>
        <v>14211.94</v>
      </c>
      <c r="J53" s="438"/>
      <c r="K53" s="438">
        <f t="shared" si="0"/>
        <v>0</v>
      </c>
    </row>
    <row r="54" spans="1:11" ht="15.6" x14ac:dyDescent="0.3">
      <c r="A54" s="285">
        <f>A53+1</f>
        <v>36</v>
      </c>
      <c r="B54" s="290" t="s">
        <v>1497</v>
      </c>
      <c r="C54" s="285" t="s">
        <v>193</v>
      </c>
      <c r="D54" s="287">
        <v>0.96</v>
      </c>
      <c r="E54" s="171">
        <v>6793.106670000001</v>
      </c>
      <c r="F54" s="288">
        <f t="shared" si="17"/>
        <v>6521.38</v>
      </c>
      <c r="G54" s="288">
        <f t="shared" si="18"/>
        <v>7825.66</v>
      </c>
      <c r="J54" s="438"/>
      <c r="K54" s="438">
        <f t="shared" si="0"/>
        <v>0</v>
      </c>
    </row>
    <row r="55" spans="1:11" ht="15.6" x14ac:dyDescent="0.3">
      <c r="A55" s="285">
        <f>A54+1</f>
        <v>37</v>
      </c>
      <c r="B55" s="290" t="s">
        <v>1498</v>
      </c>
      <c r="C55" s="285" t="s">
        <v>193</v>
      </c>
      <c r="D55" s="287">
        <v>1.08</v>
      </c>
      <c r="E55" s="171">
        <v>1701.1764000000003</v>
      </c>
      <c r="F55" s="288">
        <f t="shared" si="17"/>
        <v>1837.27</v>
      </c>
      <c r="G55" s="288">
        <f t="shared" si="18"/>
        <v>2204.7199999999998</v>
      </c>
      <c r="J55" s="438"/>
      <c r="K55" s="438">
        <f t="shared" si="0"/>
        <v>0</v>
      </c>
    </row>
    <row r="56" spans="1:11" s="56" customFormat="1" ht="15.6" x14ac:dyDescent="0.3">
      <c r="A56" s="285">
        <f t="shared" ref="A56:A59" si="19">A55+1</f>
        <v>38</v>
      </c>
      <c r="B56" s="290" t="s">
        <v>1503</v>
      </c>
      <c r="C56" s="285" t="s">
        <v>239</v>
      </c>
      <c r="D56" s="301">
        <v>0.11</v>
      </c>
      <c r="E56" s="171">
        <v>109545.45</v>
      </c>
      <c r="F56" s="288">
        <f t="shared" si="17"/>
        <v>12050</v>
      </c>
      <c r="G56" s="288">
        <f t="shared" si="18"/>
        <v>14460</v>
      </c>
      <c r="J56" s="438"/>
      <c r="K56" s="438">
        <f t="shared" si="0"/>
        <v>0</v>
      </c>
    </row>
    <row r="57" spans="1:11" s="56" customFormat="1" ht="15.6" x14ac:dyDescent="0.3">
      <c r="A57" s="285">
        <f t="shared" si="19"/>
        <v>39</v>
      </c>
      <c r="B57" s="290" t="s">
        <v>1504</v>
      </c>
      <c r="C57" s="285" t="s">
        <v>239</v>
      </c>
      <c r="D57" s="301">
        <v>3.0000000000000001E-3</v>
      </c>
      <c r="E57" s="171">
        <v>109545.45</v>
      </c>
      <c r="F57" s="288">
        <f t="shared" si="17"/>
        <v>328.64</v>
      </c>
      <c r="G57" s="288">
        <f t="shared" si="18"/>
        <v>394.37</v>
      </c>
      <c r="J57" s="438"/>
      <c r="K57" s="438">
        <f t="shared" si="0"/>
        <v>0</v>
      </c>
    </row>
    <row r="58" spans="1:11" ht="15.6" x14ac:dyDescent="0.3">
      <c r="A58" s="285">
        <f t="shared" si="19"/>
        <v>40</v>
      </c>
      <c r="B58" s="290" t="s">
        <v>388</v>
      </c>
      <c r="C58" s="285" t="s">
        <v>254</v>
      </c>
      <c r="D58" s="287">
        <v>15.9</v>
      </c>
      <c r="E58" s="171">
        <v>402.09624000000002</v>
      </c>
      <c r="F58" s="288">
        <f t="shared" si="17"/>
        <v>6393.33</v>
      </c>
      <c r="G58" s="288">
        <f t="shared" si="18"/>
        <v>7672</v>
      </c>
      <c r="J58" s="438"/>
      <c r="K58" s="438">
        <f t="shared" si="0"/>
        <v>0</v>
      </c>
    </row>
    <row r="59" spans="1:11" ht="15.6" x14ac:dyDescent="0.3">
      <c r="A59" s="285">
        <f t="shared" si="19"/>
        <v>41</v>
      </c>
      <c r="B59" s="290" t="s">
        <v>1413</v>
      </c>
      <c r="C59" s="285" t="s">
        <v>387</v>
      </c>
      <c r="D59" s="287">
        <f>3.4*20/16</f>
        <v>4.25</v>
      </c>
      <c r="E59" s="171">
        <v>322.1925</v>
      </c>
      <c r="F59" s="288">
        <f t="shared" si="17"/>
        <v>1369.32</v>
      </c>
      <c r="G59" s="288">
        <f t="shared" si="18"/>
        <v>1643.18</v>
      </c>
      <c r="J59" s="438"/>
      <c r="K59" s="438">
        <f t="shared" si="0"/>
        <v>0</v>
      </c>
    </row>
    <row r="60" spans="1:11" s="56" customFormat="1" ht="15.6" x14ac:dyDescent="0.3">
      <c r="A60" s="285"/>
      <c r="B60" s="293" t="s">
        <v>1479</v>
      </c>
      <c r="C60" s="285"/>
      <c r="D60" s="287"/>
      <c r="E60" s="171">
        <v>0</v>
      </c>
      <c r="F60" s="288"/>
      <c r="G60" s="288"/>
      <c r="J60" s="438"/>
      <c r="K60" s="438">
        <f t="shared" si="0"/>
        <v>0</v>
      </c>
    </row>
    <row r="61" spans="1:11" ht="15.6" x14ac:dyDescent="0.3">
      <c r="A61" s="285">
        <f>A59+1</f>
        <v>42</v>
      </c>
      <c r="B61" s="290" t="s">
        <v>1407</v>
      </c>
      <c r="C61" s="285" t="s">
        <v>193</v>
      </c>
      <c r="D61" s="287">
        <v>2.8</v>
      </c>
      <c r="E61" s="171">
        <v>7049.5719000000008</v>
      </c>
      <c r="F61" s="288">
        <f t="shared" ref="F61:F67" si="20">ROUND(E61*D61,2)</f>
        <v>19738.8</v>
      </c>
      <c r="G61" s="288">
        <f t="shared" ref="G61:G67" si="21">ROUND(F61*1.2,2)</f>
        <v>23686.560000000001</v>
      </c>
      <c r="J61" s="438"/>
      <c r="K61" s="438">
        <f t="shared" si="0"/>
        <v>0</v>
      </c>
    </row>
    <row r="62" spans="1:11" ht="15.6" x14ac:dyDescent="0.3">
      <c r="A62" s="285">
        <f>A61+1</f>
        <v>43</v>
      </c>
      <c r="B62" s="290" t="s">
        <v>1497</v>
      </c>
      <c r="C62" s="285" t="s">
        <v>193</v>
      </c>
      <c r="D62" s="287">
        <v>1.6</v>
      </c>
      <c r="E62" s="171">
        <v>6793.106670000001</v>
      </c>
      <c r="F62" s="288">
        <f t="shared" si="20"/>
        <v>10868.97</v>
      </c>
      <c r="G62" s="288">
        <f t="shared" si="21"/>
        <v>13042.76</v>
      </c>
      <c r="J62" s="438"/>
      <c r="K62" s="438">
        <f t="shared" si="0"/>
        <v>0</v>
      </c>
    </row>
    <row r="63" spans="1:11" ht="15.6" x14ac:dyDescent="0.3">
      <c r="A63" s="285">
        <f>A62+1</f>
        <v>44</v>
      </c>
      <c r="B63" s="290" t="s">
        <v>1498</v>
      </c>
      <c r="C63" s="285" t="s">
        <v>193</v>
      </c>
      <c r="D63" s="287">
        <v>1.8</v>
      </c>
      <c r="E63" s="171">
        <v>1701.1764000000003</v>
      </c>
      <c r="F63" s="288">
        <f t="shared" si="20"/>
        <v>3062.12</v>
      </c>
      <c r="G63" s="288">
        <f t="shared" si="21"/>
        <v>3674.54</v>
      </c>
      <c r="J63" s="438"/>
      <c r="K63" s="438">
        <f t="shared" si="0"/>
        <v>0</v>
      </c>
    </row>
    <row r="64" spans="1:11" s="56" customFormat="1" ht="15.6" x14ac:dyDescent="0.3">
      <c r="A64" s="285">
        <f t="shared" ref="A64:A67" si="22">A63+1</f>
        <v>45</v>
      </c>
      <c r="B64" s="290" t="s">
        <v>1503</v>
      </c>
      <c r="C64" s="285" t="s">
        <v>239</v>
      </c>
      <c r="D64" s="301">
        <v>0.154</v>
      </c>
      <c r="E64" s="171">
        <v>109545.45</v>
      </c>
      <c r="F64" s="288">
        <f t="shared" si="20"/>
        <v>16870</v>
      </c>
      <c r="G64" s="288">
        <f t="shared" si="21"/>
        <v>20244</v>
      </c>
      <c r="J64" s="438"/>
      <c r="K64" s="438">
        <f t="shared" si="0"/>
        <v>0</v>
      </c>
    </row>
    <row r="65" spans="1:11" s="56" customFormat="1" ht="15.6" x14ac:dyDescent="0.3">
      <c r="A65" s="285">
        <f t="shared" si="22"/>
        <v>46</v>
      </c>
      <c r="B65" s="290" t="s">
        <v>1504</v>
      </c>
      <c r="C65" s="285" t="s">
        <v>239</v>
      </c>
      <c r="D65" s="301">
        <v>4.0000000000000001E-3</v>
      </c>
      <c r="E65" s="171">
        <v>109545.45</v>
      </c>
      <c r="F65" s="288">
        <f t="shared" si="20"/>
        <v>438.18</v>
      </c>
      <c r="G65" s="288">
        <f t="shared" si="21"/>
        <v>525.82000000000005</v>
      </c>
      <c r="J65" s="438"/>
      <c r="K65" s="438">
        <f t="shared" si="0"/>
        <v>0</v>
      </c>
    </row>
    <row r="66" spans="1:11" ht="15.6" x14ac:dyDescent="0.3">
      <c r="A66" s="285">
        <f t="shared" si="22"/>
        <v>47</v>
      </c>
      <c r="B66" s="290" t="s">
        <v>388</v>
      </c>
      <c r="C66" s="285" t="s">
        <v>254</v>
      </c>
      <c r="D66" s="287">
        <v>26</v>
      </c>
      <c r="E66" s="171">
        <v>402.09624000000002</v>
      </c>
      <c r="F66" s="288">
        <f t="shared" si="20"/>
        <v>10454.5</v>
      </c>
      <c r="G66" s="288">
        <f t="shared" si="21"/>
        <v>12545.4</v>
      </c>
      <c r="J66" s="438"/>
      <c r="K66" s="438">
        <f t="shared" si="0"/>
        <v>0</v>
      </c>
    </row>
    <row r="67" spans="1:11" ht="15.6" x14ac:dyDescent="0.3">
      <c r="A67" s="285">
        <f t="shared" si="22"/>
        <v>48</v>
      </c>
      <c r="B67" s="290" t="s">
        <v>1413</v>
      </c>
      <c r="C67" s="285" t="s">
        <v>387</v>
      </c>
      <c r="D67" s="287">
        <f>5.6*20/16</f>
        <v>7</v>
      </c>
      <c r="E67" s="171">
        <v>322.1925</v>
      </c>
      <c r="F67" s="288">
        <f t="shared" si="20"/>
        <v>2255.35</v>
      </c>
      <c r="G67" s="288">
        <f t="shared" si="21"/>
        <v>2706.42</v>
      </c>
      <c r="J67" s="438"/>
      <c r="K67" s="438">
        <f t="shared" si="0"/>
        <v>0</v>
      </c>
    </row>
    <row r="68" spans="1:11" s="56" customFormat="1" ht="15.6" x14ac:dyDescent="0.3">
      <c r="A68" s="285"/>
      <c r="B68" s="293" t="s">
        <v>1480</v>
      </c>
      <c r="C68" s="285"/>
      <c r="D68" s="287"/>
      <c r="E68" s="171">
        <v>0</v>
      </c>
      <c r="F68" s="288"/>
      <c r="G68" s="288"/>
      <c r="J68" s="438"/>
      <c r="K68" s="438">
        <f t="shared" si="0"/>
        <v>0</v>
      </c>
    </row>
    <row r="69" spans="1:11" ht="15.6" x14ac:dyDescent="0.3">
      <c r="A69" s="285">
        <f>A67+1</f>
        <v>49</v>
      </c>
      <c r="B69" s="290" t="s">
        <v>1407</v>
      </c>
      <c r="C69" s="285" t="s">
        <v>193</v>
      </c>
      <c r="D69" s="287">
        <v>1.68</v>
      </c>
      <c r="E69" s="171">
        <v>7049.5719000000008</v>
      </c>
      <c r="F69" s="288">
        <f t="shared" ref="F69:F75" si="23">ROUND(E69*D69,2)</f>
        <v>11843.28</v>
      </c>
      <c r="G69" s="288">
        <f t="shared" ref="G69:G75" si="24">ROUND(F69*1.2,2)</f>
        <v>14211.94</v>
      </c>
      <c r="J69" s="438"/>
      <c r="K69" s="438">
        <f t="shared" si="0"/>
        <v>0</v>
      </c>
    </row>
    <row r="70" spans="1:11" ht="15.6" x14ac:dyDescent="0.3">
      <c r="A70" s="285">
        <f>A69+1</f>
        <v>50</v>
      </c>
      <c r="B70" s="290" t="s">
        <v>1497</v>
      </c>
      <c r="C70" s="285" t="s">
        <v>193</v>
      </c>
      <c r="D70" s="287">
        <v>0.96</v>
      </c>
      <c r="E70" s="171">
        <v>6793.106670000001</v>
      </c>
      <c r="F70" s="288">
        <f t="shared" si="23"/>
        <v>6521.38</v>
      </c>
      <c r="G70" s="288">
        <f t="shared" si="24"/>
        <v>7825.66</v>
      </c>
      <c r="J70" s="438"/>
      <c r="K70" s="438">
        <f t="shared" ref="K70:K92" si="25">E70*J70*1.2</f>
        <v>0</v>
      </c>
    </row>
    <row r="71" spans="1:11" ht="15.6" x14ac:dyDescent="0.3">
      <c r="A71" s="285">
        <f>A70+1</f>
        <v>51</v>
      </c>
      <c r="B71" s="290" t="s">
        <v>1498</v>
      </c>
      <c r="C71" s="285" t="s">
        <v>193</v>
      </c>
      <c r="D71" s="287">
        <v>1.08</v>
      </c>
      <c r="E71" s="171">
        <v>1701.1764000000003</v>
      </c>
      <c r="F71" s="288">
        <f t="shared" si="23"/>
        <v>1837.27</v>
      </c>
      <c r="G71" s="288">
        <f t="shared" si="24"/>
        <v>2204.7199999999998</v>
      </c>
      <c r="J71" s="438"/>
      <c r="K71" s="438">
        <f t="shared" si="25"/>
        <v>0</v>
      </c>
    </row>
    <row r="72" spans="1:11" s="56" customFormat="1" ht="15.6" x14ac:dyDescent="0.3">
      <c r="A72" s="285">
        <f t="shared" ref="A72:A75" si="26">A71+1</f>
        <v>52</v>
      </c>
      <c r="B72" s="290" t="s">
        <v>1503</v>
      </c>
      <c r="C72" s="285" t="s">
        <v>239</v>
      </c>
      <c r="D72" s="301">
        <v>0.11</v>
      </c>
      <c r="E72" s="171">
        <v>109545.45</v>
      </c>
      <c r="F72" s="288">
        <f t="shared" si="23"/>
        <v>12050</v>
      </c>
      <c r="G72" s="288">
        <f t="shared" si="24"/>
        <v>14460</v>
      </c>
      <c r="J72" s="438"/>
      <c r="K72" s="438">
        <f t="shared" si="25"/>
        <v>0</v>
      </c>
    </row>
    <row r="73" spans="1:11" s="56" customFormat="1" ht="15.6" x14ac:dyDescent="0.3">
      <c r="A73" s="285">
        <f t="shared" si="26"/>
        <v>53</v>
      </c>
      <c r="B73" s="290" t="s">
        <v>1504</v>
      </c>
      <c r="C73" s="285" t="s">
        <v>239</v>
      </c>
      <c r="D73" s="301">
        <v>3.0000000000000001E-3</v>
      </c>
      <c r="E73" s="171">
        <v>109545.45</v>
      </c>
      <c r="F73" s="288">
        <f t="shared" si="23"/>
        <v>328.64</v>
      </c>
      <c r="G73" s="288">
        <f t="shared" si="24"/>
        <v>394.37</v>
      </c>
      <c r="J73" s="438"/>
      <c r="K73" s="438">
        <f t="shared" si="25"/>
        <v>0</v>
      </c>
    </row>
    <row r="74" spans="1:11" ht="15.6" x14ac:dyDescent="0.3">
      <c r="A74" s="285">
        <f t="shared" si="26"/>
        <v>54</v>
      </c>
      <c r="B74" s="290" t="s">
        <v>388</v>
      </c>
      <c r="C74" s="285" t="s">
        <v>254</v>
      </c>
      <c r="D74" s="287">
        <v>15.9</v>
      </c>
      <c r="E74" s="171">
        <v>402.09624000000002</v>
      </c>
      <c r="F74" s="288">
        <f t="shared" si="23"/>
        <v>6393.33</v>
      </c>
      <c r="G74" s="288">
        <f t="shared" si="24"/>
        <v>7672</v>
      </c>
      <c r="J74" s="438"/>
      <c r="K74" s="438">
        <f t="shared" si="25"/>
        <v>0</v>
      </c>
    </row>
    <row r="75" spans="1:11" ht="15.6" x14ac:dyDescent="0.3">
      <c r="A75" s="285">
        <f t="shared" si="26"/>
        <v>55</v>
      </c>
      <c r="B75" s="290" t="s">
        <v>1413</v>
      </c>
      <c r="C75" s="285" t="s">
        <v>387</v>
      </c>
      <c r="D75" s="287">
        <f>3.4*20/16</f>
        <v>4.25</v>
      </c>
      <c r="E75" s="171">
        <v>322.1925</v>
      </c>
      <c r="F75" s="288">
        <f t="shared" si="23"/>
        <v>1369.32</v>
      </c>
      <c r="G75" s="288">
        <f t="shared" si="24"/>
        <v>1643.18</v>
      </c>
      <c r="J75" s="438"/>
      <c r="K75" s="438">
        <f t="shared" si="25"/>
        <v>0</v>
      </c>
    </row>
    <row r="76" spans="1:11" s="56" customFormat="1" ht="15.6" x14ac:dyDescent="0.3">
      <c r="A76" s="285"/>
      <c r="B76" s="293" t="s">
        <v>1371</v>
      </c>
      <c r="C76" s="285"/>
      <c r="D76" s="287"/>
      <c r="E76" s="171">
        <v>0</v>
      </c>
      <c r="F76" s="288"/>
      <c r="G76" s="288"/>
      <c r="J76" s="438"/>
      <c r="K76" s="438">
        <f t="shared" si="25"/>
        <v>0</v>
      </c>
    </row>
    <row r="77" spans="1:11" s="56" customFormat="1" ht="15.6" x14ac:dyDescent="0.3">
      <c r="A77" s="285">
        <f>A75+1</f>
        <v>56</v>
      </c>
      <c r="B77" s="290" t="s">
        <v>1505</v>
      </c>
      <c r="C77" s="285" t="s">
        <v>194</v>
      </c>
      <c r="D77" s="298">
        <v>122</v>
      </c>
      <c r="E77" s="171">
        <v>4943.7217200000005</v>
      </c>
      <c r="F77" s="288">
        <f t="shared" ref="F77:F92" si="27">ROUND(E77*D77,2)</f>
        <v>603134.05000000005</v>
      </c>
      <c r="G77" s="288">
        <f t="shared" ref="G77:G92" si="28">ROUND(F77*1.2,2)</f>
        <v>723760.86</v>
      </c>
      <c r="J77" s="438"/>
      <c r="K77" s="438">
        <f t="shared" si="25"/>
        <v>0</v>
      </c>
    </row>
    <row r="78" spans="1:11" s="56" customFormat="1" ht="15.6" x14ac:dyDescent="0.3">
      <c r="A78" s="285">
        <f>A77+1</f>
        <v>57</v>
      </c>
      <c r="B78" s="290" t="s">
        <v>1506</v>
      </c>
      <c r="C78" s="285" t="s">
        <v>194</v>
      </c>
      <c r="D78" s="298">
        <v>18</v>
      </c>
      <c r="E78" s="171">
        <v>0</v>
      </c>
      <c r="F78" s="288">
        <f t="shared" si="27"/>
        <v>0</v>
      </c>
      <c r="G78" s="288">
        <f t="shared" si="28"/>
        <v>0</v>
      </c>
      <c r="J78" s="438"/>
      <c r="K78" s="438">
        <f t="shared" si="25"/>
        <v>0</v>
      </c>
    </row>
    <row r="79" spans="1:11" s="56" customFormat="1" ht="15.6" x14ac:dyDescent="0.3">
      <c r="A79" s="285">
        <f>A78+1</f>
        <v>58</v>
      </c>
      <c r="B79" s="290" t="s">
        <v>1507</v>
      </c>
      <c r="C79" s="285" t="s">
        <v>220</v>
      </c>
      <c r="D79" s="298">
        <v>32</v>
      </c>
      <c r="E79" s="171">
        <v>2335.2512400000001</v>
      </c>
      <c r="F79" s="288">
        <f t="shared" si="27"/>
        <v>74728.039999999994</v>
      </c>
      <c r="G79" s="288">
        <f t="shared" si="28"/>
        <v>89673.65</v>
      </c>
      <c r="J79" s="438"/>
      <c r="K79" s="438">
        <f t="shared" si="25"/>
        <v>0</v>
      </c>
    </row>
    <row r="80" spans="1:11" s="56" customFormat="1" ht="15.6" x14ac:dyDescent="0.3">
      <c r="A80" s="285">
        <f t="shared" ref="A80:A92" si="29">A79+1</f>
        <v>59</v>
      </c>
      <c r="B80" s="290" t="s">
        <v>1508</v>
      </c>
      <c r="C80" s="285" t="s">
        <v>220</v>
      </c>
      <c r="D80" s="298">
        <v>10</v>
      </c>
      <c r="E80" s="171">
        <v>23621.865330000001</v>
      </c>
      <c r="F80" s="288">
        <f t="shared" si="27"/>
        <v>236218.65</v>
      </c>
      <c r="G80" s="288">
        <f t="shared" si="28"/>
        <v>283462.38</v>
      </c>
      <c r="J80" s="438"/>
      <c r="K80" s="438">
        <f t="shared" si="25"/>
        <v>0</v>
      </c>
    </row>
    <row r="81" spans="1:11" s="56" customFormat="1" ht="15.6" x14ac:dyDescent="0.3">
      <c r="A81" s="285">
        <f t="shared" si="29"/>
        <v>60</v>
      </c>
      <c r="B81" s="290" t="s">
        <v>1509</v>
      </c>
      <c r="C81" s="285" t="s">
        <v>220</v>
      </c>
      <c r="D81" s="298">
        <v>4</v>
      </c>
      <c r="E81" s="171">
        <v>22037.967000000004</v>
      </c>
      <c r="F81" s="288">
        <f t="shared" si="27"/>
        <v>88151.87</v>
      </c>
      <c r="G81" s="288">
        <f t="shared" si="28"/>
        <v>105782.24</v>
      </c>
      <c r="J81" s="438"/>
      <c r="K81" s="438">
        <f t="shared" si="25"/>
        <v>0</v>
      </c>
    </row>
    <row r="82" spans="1:11" s="56" customFormat="1" ht="15.6" x14ac:dyDescent="0.3">
      <c r="A82" s="285">
        <f t="shared" si="29"/>
        <v>61</v>
      </c>
      <c r="B82" s="290" t="s">
        <v>1510</v>
      </c>
      <c r="C82" s="285" t="s">
        <v>194</v>
      </c>
      <c r="D82" s="298">
        <v>4</v>
      </c>
      <c r="E82" s="171">
        <v>1054.2138599999998</v>
      </c>
      <c r="F82" s="288">
        <f t="shared" si="27"/>
        <v>4216.8599999999997</v>
      </c>
      <c r="G82" s="288">
        <f t="shared" si="28"/>
        <v>5060.2299999999996</v>
      </c>
      <c r="J82" s="438"/>
      <c r="K82" s="438">
        <f t="shared" si="25"/>
        <v>0</v>
      </c>
    </row>
    <row r="83" spans="1:11" s="56" customFormat="1" ht="15.6" x14ac:dyDescent="0.3">
      <c r="A83" s="285">
        <f t="shared" si="29"/>
        <v>62</v>
      </c>
      <c r="B83" s="290" t="s">
        <v>1511</v>
      </c>
      <c r="C83" s="285" t="s">
        <v>220</v>
      </c>
      <c r="D83" s="298">
        <v>2</v>
      </c>
      <c r="E83" s="171">
        <v>62363.580300000009</v>
      </c>
      <c r="F83" s="288">
        <f t="shared" si="27"/>
        <v>124727.16</v>
      </c>
      <c r="G83" s="288">
        <f t="shared" si="28"/>
        <v>149672.59</v>
      </c>
      <c r="J83" s="438"/>
      <c r="K83" s="438">
        <f t="shared" si="25"/>
        <v>0</v>
      </c>
    </row>
    <row r="84" spans="1:11" s="56" customFormat="1" ht="15.6" x14ac:dyDescent="0.3">
      <c r="A84" s="285">
        <f t="shared" si="29"/>
        <v>63</v>
      </c>
      <c r="B84" s="290" t="s">
        <v>1512</v>
      </c>
      <c r="C84" s="285" t="s">
        <v>220</v>
      </c>
      <c r="D84" s="298">
        <v>2</v>
      </c>
      <c r="E84" s="171">
        <v>5283.9570000000003</v>
      </c>
      <c r="F84" s="288">
        <f t="shared" si="27"/>
        <v>10567.91</v>
      </c>
      <c r="G84" s="288">
        <f t="shared" si="28"/>
        <v>12681.49</v>
      </c>
      <c r="J84" s="438"/>
      <c r="K84" s="438">
        <f t="shared" si="25"/>
        <v>0</v>
      </c>
    </row>
    <row r="85" spans="1:11" s="56" customFormat="1" ht="15.6" x14ac:dyDescent="0.3">
      <c r="A85" s="285">
        <f t="shared" si="29"/>
        <v>64</v>
      </c>
      <c r="B85" s="290" t="s">
        <v>1047</v>
      </c>
      <c r="C85" s="285" t="s">
        <v>220</v>
      </c>
      <c r="D85" s="298">
        <v>2</v>
      </c>
      <c r="E85" s="171">
        <v>7255.7750999999998</v>
      </c>
      <c r="F85" s="288">
        <f t="shared" si="27"/>
        <v>14511.55</v>
      </c>
      <c r="G85" s="288">
        <f t="shared" si="28"/>
        <v>17413.86</v>
      </c>
      <c r="J85" s="438"/>
      <c r="K85" s="438">
        <f t="shared" si="25"/>
        <v>0</v>
      </c>
    </row>
    <row r="86" spans="1:11" s="56" customFormat="1" ht="15.6" x14ac:dyDescent="0.3">
      <c r="A86" s="285">
        <f t="shared" si="29"/>
        <v>65</v>
      </c>
      <c r="B86" s="290" t="s">
        <v>1513</v>
      </c>
      <c r="C86" s="285" t="s">
        <v>220</v>
      </c>
      <c r="D86" s="298">
        <v>2</v>
      </c>
      <c r="E86" s="171">
        <v>2474.4384</v>
      </c>
      <c r="F86" s="288">
        <f t="shared" si="27"/>
        <v>4948.88</v>
      </c>
      <c r="G86" s="288">
        <f t="shared" si="28"/>
        <v>5938.66</v>
      </c>
      <c r="J86" s="438"/>
      <c r="K86" s="438">
        <f t="shared" si="25"/>
        <v>0</v>
      </c>
    </row>
    <row r="87" spans="1:11" s="56" customFormat="1" ht="15.6" x14ac:dyDescent="0.3">
      <c r="A87" s="285">
        <f t="shared" si="29"/>
        <v>66</v>
      </c>
      <c r="B87" s="290" t="s">
        <v>1514</v>
      </c>
      <c r="C87" s="285" t="s">
        <v>220</v>
      </c>
      <c r="D87" s="298">
        <v>2</v>
      </c>
      <c r="E87" s="171">
        <v>2152.2458999999999</v>
      </c>
      <c r="F87" s="288">
        <f t="shared" si="27"/>
        <v>4304.49</v>
      </c>
      <c r="G87" s="288">
        <f t="shared" si="28"/>
        <v>5165.3900000000003</v>
      </c>
      <c r="J87" s="438"/>
      <c r="K87" s="438">
        <f t="shared" si="25"/>
        <v>0</v>
      </c>
    </row>
    <row r="88" spans="1:11" s="56" customFormat="1" ht="27.6" x14ac:dyDescent="0.3">
      <c r="A88" s="285">
        <f t="shared" si="29"/>
        <v>67</v>
      </c>
      <c r="B88" s="290" t="s">
        <v>1515</v>
      </c>
      <c r="C88" s="285" t="s">
        <v>254</v>
      </c>
      <c r="D88" s="291">
        <v>0.4</v>
      </c>
      <c r="E88" s="171">
        <v>2448.663</v>
      </c>
      <c r="F88" s="288">
        <f t="shared" si="27"/>
        <v>979.47</v>
      </c>
      <c r="G88" s="288">
        <f t="shared" si="28"/>
        <v>1175.3599999999999</v>
      </c>
      <c r="J88" s="438"/>
      <c r="K88" s="438">
        <f t="shared" si="25"/>
        <v>0</v>
      </c>
    </row>
    <row r="89" spans="1:11" s="56" customFormat="1" ht="15.6" x14ac:dyDescent="0.3">
      <c r="A89" s="285">
        <f t="shared" si="29"/>
        <v>68</v>
      </c>
      <c r="B89" s="290" t="s">
        <v>1049</v>
      </c>
      <c r="C89" s="285" t="s">
        <v>220</v>
      </c>
      <c r="D89" s="298">
        <v>2</v>
      </c>
      <c r="E89" s="171">
        <v>15465.24</v>
      </c>
      <c r="F89" s="288">
        <f t="shared" si="27"/>
        <v>30930.48</v>
      </c>
      <c r="G89" s="288">
        <f t="shared" si="28"/>
        <v>37116.58</v>
      </c>
      <c r="J89" s="438"/>
      <c r="K89" s="438">
        <f t="shared" si="25"/>
        <v>0</v>
      </c>
    </row>
    <row r="90" spans="1:11" s="56" customFormat="1" ht="15.6" x14ac:dyDescent="0.3">
      <c r="A90" s="285">
        <f t="shared" si="29"/>
        <v>69</v>
      </c>
      <c r="B90" s="290" t="s">
        <v>1516</v>
      </c>
      <c r="C90" s="285" t="s">
        <v>194</v>
      </c>
      <c r="D90" s="291">
        <v>2.8</v>
      </c>
      <c r="E90" s="171">
        <v>10127.15466</v>
      </c>
      <c r="F90" s="288">
        <f t="shared" si="27"/>
        <v>28356.03</v>
      </c>
      <c r="G90" s="288">
        <f t="shared" si="28"/>
        <v>34027.24</v>
      </c>
      <c r="J90" s="438"/>
      <c r="K90" s="438">
        <f t="shared" si="25"/>
        <v>0</v>
      </c>
    </row>
    <row r="91" spans="1:11" s="56" customFormat="1" ht="15.6" x14ac:dyDescent="0.3">
      <c r="A91" s="285">
        <f t="shared" si="29"/>
        <v>70</v>
      </c>
      <c r="B91" s="290" t="s">
        <v>1517</v>
      </c>
      <c r="C91" s="285" t="s">
        <v>194</v>
      </c>
      <c r="D91" s="298">
        <v>82</v>
      </c>
      <c r="E91" s="171">
        <v>24.486630000000002</v>
      </c>
      <c r="F91" s="288">
        <f t="shared" si="27"/>
        <v>2007.9</v>
      </c>
      <c r="G91" s="288">
        <f t="shared" si="28"/>
        <v>2409.48</v>
      </c>
      <c r="J91" s="438"/>
      <c r="K91" s="438">
        <f t="shared" si="25"/>
        <v>0</v>
      </c>
    </row>
    <row r="92" spans="1:11" ht="27.6" x14ac:dyDescent="0.3">
      <c r="A92" s="285">
        <f t="shared" si="29"/>
        <v>71</v>
      </c>
      <c r="B92" s="290" t="s">
        <v>407</v>
      </c>
      <c r="C92" s="285" t="s">
        <v>243</v>
      </c>
      <c r="D92" s="298">
        <v>1</v>
      </c>
      <c r="E92" s="171">
        <v>167540.1</v>
      </c>
      <c r="F92" s="288">
        <f t="shared" si="27"/>
        <v>167540.1</v>
      </c>
      <c r="G92" s="288">
        <f t="shared" si="28"/>
        <v>201048.12</v>
      </c>
      <c r="J92" s="438"/>
      <c r="K92" s="438">
        <f t="shared" si="25"/>
        <v>0</v>
      </c>
    </row>
    <row r="93" spans="1:11" ht="22.5" customHeight="1" x14ac:dyDescent="0.3">
      <c r="A93" s="552" t="s">
        <v>408</v>
      </c>
      <c r="B93" s="552"/>
      <c r="C93" s="552"/>
      <c r="D93" s="552"/>
      <c r="E93" s="552"/>
      <c r="F93" s="82">
        <f>SUM(F7:F92)</f>
        <v>2106513.0699999994</v>
      </c>
      <c r="G93" s="82">
        <f>SUM(G7:G92)</f>
        <v>2527815.7100000009</v>
      </c>
      <c r="J93" s="438"/>
      <c r="K93" s="436">
        <f>SUM(K5:K92)</f>
        <v>0</v>
      </c>
    </row>
  </sheetData>
  <mergeCells count="11">
    <mergeCell ref="J1:J3"/>
    <mergeCell ref="K1:K3"/>
    <mergeCell ref="G1:G3"/>
    <mergeCell ref="F1:F3"/>
    <mergeCell ref="E1:E3"/>
    <mergeCell ref="A93:E93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L236"/>
  <sheetViews>
    <sheetView topLeftCell="A112" zoomScaleNormal="100" zoomScaleSheetLayoutView="70" workbookViewId="0">
      <selection activeCell="E94" sqref="E94"/>
    </sheetView>
  </sheetViews>
  <sheetFormatPr defaultColWidth="8.88671875"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0.44140625" style="52" customWidth="1"/>
    <col min="10" max="11" width="17" style="440" customWidth="1"/>
  </cols>
  <sheetData>
    <row r="1" spans="1:12" ht="14.55" customHeight="1" x14ac:dyDescent="0.3">
      <c r="A1" s="539" t="s">
        <v>226</v>
      </c>
      <c r="B1" s="542" t="s">
        <v>201</v>
      </c>
      <c r="C1" s="545" t="s">
        <v>230</v>
      </c>
      <c r="D1" s="545" t="s">
        <v>202</v>
      </c>
      <c r="E1" s="550" t="s">
        <v>441</v>
      </c>
      <c r="F1" s="548" t="s">
        <v>433</v>
      </c>
      <c r="G1" s="546" t="s">
        <v>409</v>
      </c>
      <c r="J1" s="536" t="s">
        <v>1657</v>
      </c>
      <c r="K1" s="536" t="s">
        <v>1658</v>
      </c>
    </row>
    <row r="2" spans="1:12" ht="14.55" customHeight="1" x14ac:dyDescent="0.3">
      <c r="A2" s="540"/>
      <c r="B2" s="543"/>
      <c r="C2" s="545"/>
      <c r="D2" s="545"/>
      <c r="E2" s="550"/>
      <c r="F2" s="548"/>
      <c r="G2" s="546"/>
      <c r="J2" s="536"/>
      <c r="K2" s="536"/>
      <c r="L2" s="381"/>
    </row>
    <row r="3" spans="1:12" ht="56.1" customHeight="1" x14ac:dyDescent="0.3">
      <c r="A3" s="541"/>
      <c r="B3" s="544"/>
      <c r="C3" s="545"/>
      <c r="D3" s="545"/>
      <c r="E3" s="551"/>
      <c r="F3" s="549"/>
      <c r="G3" s="547"/>
      <c r="J3" s="536"/>
      <c r="K3" s="536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  <c r="J4" s="437"/>
      <c r="K4" s="437"/>
      <c r="L4" s="381"/>
    </row>
    <row r="5" spans="1:12" ht="20.25" customHeight="1" x14ac:dyDescent="0.3">
      <c r="A5" s="173"/>
      <c r="B5" s="537" t="s">
        <v>232</v>
      </c>
      <c r="C5" s="538"/>
      <c r="D5" s="538"/>
      <c r="E5" s="174"/>
      <c r="F5" s="175"/>
      <c r="G5" s="322"/>
      <c r="J5" s="438"/>
      <c r="K5" s="438">
        <f>E5*J5*1.2</f>
        <v>0</v>
      </c>
    </row>
    <row r="6" spans="1:12" ht="20.25" customHeight="1" x14ac:dyDescent="0.3">
      <c r="A6" s="306"/>
      <c r="B6" s="61" t="s">
        <v>442</v>
      </c>
      <c r="C6" s="62"/>
      <c r="D6" s="62"/>
      <c r="E6" s="63"/>
      <c r="F6" s="64"/>
      <c r="G6" s="127"/>
      <c r="J6" s="438"/>
      <c r="K6" s="438">
        <f t="shared" ref="K6:K69" si="0">E6*J6*1.2</f>
        <v>0</v>
      </c>
    </row>
    <row r="7" spans="1:12" ht="15.6" x14ac:dyDescent="0.3">
      <c r="A7" s="65">
        <v>1</v>
      </c>
      <c r="B7" s="66" t="s">
        <v>443</v>
      </c>
      <c r="C7" s="73" t="s">
        <v>193</v>
      </c>
      <c r="D7" s="70">
        <v>1080</v>
      </c>
      <c r="E7" s="171">
        <v>464.82929999999999</v>
      </c>
      <c r="F7" s="101">
        <f t="shared" ref="F7:F15" si="1">ROUND(E7*D7,2)</f>
        <v>502015.64</v>
      </c>
      <c r="G7" s="101">
        <f t="shared" ref="G7:G61" si="2">ROUND(F7*1.2,2)</f>
        <v>602418.77</v>
      </c>
      <c r="J7" s="438"/>
      <c r="K7" s="438">
        <f t="shared" si="0"/>
        <v>0</v>
      </c>
    </row>
    <row r="8" spans="1:12" ht="15.6" x14ac:dyDescent="0.3">
      <c r="A8" s="65">
        <f>A7+1</f>
        <v>2</v>
      </c>
      <c r="B8" s="66" t="s">
        <v>444</v>
      </c>
      <c r="C8" s="73" t="s">
        <v>193</v>
      </c>
      <c r="D8" s="70">
        <v>20</v>
      </c>
      <c r="E8" s="171">
        <v>2541.5435879999995</v>
      </c>
      <c r="F8" s="101">
        <f t="shared" si="1"/>
        <v>50830.87</v>
      </c>
      <c r="G8" s="101">
        <f t="shared" si="2"/>
        <v>60997.04</v>
      </c>
      <c r="J8" s="438"/>
      <c r="K8" s="438">
        <f t="shared" si="0"/>
        <v>0</v>
      </c>
    </row>
    <row r="9" spans="1:12" ht="15.6" x14ac:dyDescent="0.3">
      <c r="A9" s="65">
        <f>A8+1</f>
        <v>3</v>
      </c>
      <c r="B9" s="66" t="s">
        <v>445</v>
      </c>
      <c r="C9" s="65" t="s">
        <v>239</v>
      </c>
      <c r="D9" s="70">
        <v>1744</v>
      </c>
      <c r="E9" s="171">
        <v>4948.6442400000005</v>
      </c>
      <c r="F9" s="101">
        <f t="shared" si="1"/>
        <v>8630435.5500000007</v>
      </c>
      <c r="G9" s="101">
        <f t="shared" si="2"/>
        <v>10356522.66</v>
      </c>
      <c r="J9" s="438"/>
      <c r="K9" s="438">
        <f t="shared" si="0"/>
        <v>0</v>
      </c>
    </row>
    <row r="10" spans="1:12" ht="15.6" x14ac:dyDescent="0.3">
      <c r="A10" s="65">
        <f t="shared" ref="A10:A15" si="3">A9+1</f>
        <v>4</v>
      </c>
      <c r="B10" s="66" t="s">
        <v>446</v>
      </c>
      <c r="C10" s="65" t="s">
        <v>193</v>
      </c>
      <c r="D10" s="70">
        <v>1090</v>
      </c>
      <c r="E10" s="171">
        <v>71.512200000000007</v>
      </c>
      <c r="F10" s="101">
        <f t="shared" si="1"/>
        <v>77948.3</v>
      </c>
      <c r="G10" s="101">
        <f t="shared" si="2"/>
        <v>93537.96</v>
      </c>
      <c r="J10" s="438"/>
      <c r="K10" s="438">
        <f t="shared" si="0"/>
        <v>0</v>
      </c>
    </row>
    <row r="11" spans="1:12" ht="15.6" x14ac:dyDescent="0.3">
      <c r="A11" s="65">
        <f t="shared" si="3"/>
        <v>5</v>
      </c>
      <c r="B11" s="66" t="s">
        <v>447</v>
      </c>
      <c r="C11" s="65" t="s">
        <v>431</v>
      </c>
      <c r="D11" s="70">
        <v>1030</v>
      </c>
      <c r="E11" s="171">
        <v>464.82929999999999</v>
      </c>
      <c r="F11" s="101">
        <f t="shared" si="1"/>
        <v>478774.18</v>
      </c>
      <c r="G11" s="101">
        <f t="shared" si="2"/>
        <v>574529.02</v>
      </c>
      <c r="J11" s="438"/>
      <c r="K11" s="438">
        <f t="shared" si="0"/>
        <v>0</v>
      </c>
    </row>
    <row r="12" spans="1:12" ht="15.6" x14ac:dyDescent="0.3">
      <c r="A12" s="65">
        <f t="shared" si="3"/>
        <v>6</v>
      </c>
      <c r="B12" s="66" t="s">
        <v>448</v>
      </c>
      <c r="C12" s="65" t="s">
        <v>431</v>
      </c>
      <c r="D12" s="70">
        <v>10</v>
      </c>
      <c r="E12" s="171">
        <v>1285.789356</v>
      </c>
      <c r="F12" s="101">
        <f t="shared" si="1"/>
        <v>12857.89</v>
      </c>
      <c r="G12" s="101">
        <f t="shared" si="2"/>
        <v>15429.47</v>
      </c>
      <c r="J12" s="438"/>
      <c r="K12" s="438">
        <f t="shared" si="0"/>
        <v>0</v>
      </c>
    </row>
    <row r="13" spans="1:12" ht="19.5" customHeight="1" x14ac:dyDescent="0.3">
      <c r="A13" s="65">
        <f t="shared" si="3"/>
        <v>7</v>
      </c>
      <c r="B13" s="66" t="s">
        <v>449</v>
      </c>
      <c r="C13" s="65" t="s">
        <v>193</v>
      </c>
      <c r="D13" s="70">
        <v>8</v>
      </c>
      <c r="E13" s="171">
        <v>464.82929999999999</v>
      </c>
      <c r="F13" s="101">
        <f t="shared" si="1"/>
        <v>3718.63</v>
      </c>
      <c r="G13" s="101">
        <f t="shared" si="2"/>
        <v>4462.3599999999997</v>
      </c>
      <c r="J13" s="438"/>
      <c r="K13" s="438">
        <f t="shared" si="0"/>
        <v>0</v>
      </c>
    </row>
    <row r="14" spans="1:12" ht="15.6" x14ac:dyDescent="0.3">
      <c r="A14" s="65">
        <f t="shared" si="3"/>
        <v>8</v>
      </c>
      <c r="B14" s="66" t="s">
        <v>450</v>
      </c>
      <c r="C14" s="65" t="s">
        <v>193</v>
      </c>
      <c r="D14" s="70">
        <v>2</v>
      </c>
      <c r="E14" s="171">
        <v>1285.789356</v>
      </c>
      <c r="F14" s="101">
        <f t="shared" si="1"/>
        <v>2571.58</v>
      </c>
      <c r="G14" s="101">
        <f t="shared" si="2"/>
        <v>3085.9</v>
      </c>
      <c r="J14" s="438"/>
      <c r="K14" s="438">
        <f t="shared" si="0"/>
        <v>0</v>
      </c>
    </row>
    <row r="15" spans="1:12" ht="15.6" x14ac:dyDescent="0.3">
      <c r="A15" s="65">
        <f t="shared" si="3"/>
        <v>9</v>
      </c>
      <c r="B15" s="66" t="s">
        <v>451</v>
      </c>
      <c r="C15" s="65" t="s">
        <v>193</v>
      </c>
      <c r="D15" s="70">
        <v>10</v>
      </c>
      <c r="E15" s="171">
        <v>290.33953199999996</v>
      </c>
      <c r="F15" s="101">
        <f t="shared" si="1"/>
        <v>2903.4</v>
      </c>
      <c r="G15" s="101">
        <f t="shared" si="2"/>
        <v>3484.08</v>
      </c>
      <c r="J15" s="438"/>
      <c r="K15" s="438">
        <f t="shared" si="0"/>
        <v>0</v>
      </c>
    </row>
    <row r="16" spans="1:12" ht="15.6" x14ac:dyDescent="0.3">
      <c r="A16" s="65"/>
      <c r="B16" s="61" t="s">
        <v>233</v>
      </c>
      <c r="C16" s="65"/>
      <c r="D16" s="70"/>
      <c r="E16" s="171">
        <v>0</v>
      </c>
      <c r="F16" s="101"/>
      <c r="G16" s="101"/>
      <c r="J16" s="438"/>
      <c r="K16" s="438">
        <f t="shared" si="0"/>
        <v>0</v>
      </c>
    </row>
    <row r="17" spans="1:11" ht="15.6" x14ac:dyDescent="0.3">
      <c r="A17" s="65">
        <f>A15+1</f>
        <v>10</v>
      </c>
      <c r="B17" s="66" t="s">
        <v>452</v>
      </c>
      <c r="C17" s="65" t="s">
        <v>193</v>
      </c>
      <c r="D17" s="70">
        <v>168</v>
      </c>
      <c r="E17" s="171">
        <v>1589.001084</v>
      </c>
      <c r="F17" s="101">
        <f t="shared" ref="F17:F23" si="4">ROUND(E17*D17,2)</f>
        <v>266952.18</v>
      </c>
      <c r="G17" s="101">
        <f t="shared" si="2"/>
        <v>320342.62</v>
      </c>
      <c r="J17" s="438"/>
      <c r="K17" s="438">
        <f t="shared" si="0"/>
        <v>0</v>
      </c>
    </row>
    <row r="18" spans="1:11" ht="27.6" x14ac:dyDescent="0.3">
      <c r="A18" s="65">
        <f>A17+1</f>
        <v>11</v>
      </c>
      <c r="B18" s="66" t="s">
        <v>453</v>
      </c>
      <c r="C18" s="65" t="s">
        <v>431</v>
      </c>
      <c r="D18" s="70">
        <v>1030</v>
      </c>
      <c r="E18" s="171">
        <v>361.85173199999997</v>
      </c>
      <c r="F18" s="101">
        <f t="shared" si="4"/>
        <v>372707.28</v>
      </c>
      <c r="G18" s="101">
        <f t="shared" si="2"/>
        <v>447248.74</v>
      </c>
      <c r="J18" s="438"/>
      <c r="K18" s="438">
        <f t="shared" si="0"/>
        <v>0</v>
      </c>
    </row>
    <row r="19" spans="1:11" ht="15.6" x14ac:dyDescent="0.3">
      <c r="A19" s="65">
        <f>A18+1</f>
        <v>12</v>
      </c>
      <c r="B19" s="66" t="s">
        <v>454</v>
      </c>
      <c r="C19" s="65" t="s">
        <v>431</v>
      </c>
      <c r="D19" s="70">
        <v>1030</v>
      </c>
      <c r="E19" s="171">
        <v>669.3541919999999</v>
      </c>
      <c r="F19" s="101">
        <f t="shared" si="4"/>
        <v>689434.82</v>
      </c>
      <c r="G19" s="101">
        <f t="shared" si="2"/>
        <v>827321.78</v>
      </c>
      <c r="J19" s="438"/>
      <c r="K19" s="438">
        <f t="shared" si="0"/>
        <v>0</v>
      </c>
    </row>
    <row r="20" spans="1:11" ht="15.6" x14ac:dyDescent="0.3">
      <c r="A20" s="65">
        <f>A19+1</f>
        <v>13</v>
      </c>
      <c r="B20" s="66" t="s">
        <v>455</v>
      </c>
      <c r="C20" s="65" t="s">
        <v>193</v>
      </c>
      <c r="D20" s="70">
        <v>121</v>
      </c>
      <c r="E20" s="171">
        <v>2109.6098999999999</v>
      </c>
      <c r="F20" s="101">
        <f t="shared" si="4"/>
        <v>255262.8</v>
      </c>
      <c r="G20" s="101">
        <f t="shared" si="2"/>
        <v>306315.36</v>
      </c>
      <c r="J20" s="438"/>
      <c r="K20" s="438">
        <f t="shared" si="0"/>
        <v>0</v>
      </c>
    </row>
    <row r="21" spans="1:11" ht="27.6" x14ac:dyDescent="0.3">
      <c r="A21" s="65">
        <f>A20+1</f>
        <v>14</v>
      </c>
      <c r="B21" s="66" t="s">
        <v>456</v>
      </c>
      <c r="C21" s="65" t="s">
        <v>431</v>
      </c>
      <c r="D21" s="70">
        <v>770</v>
      </c>
      <c r="E21" s="171">
        <v>1630.4781600000001</v>
      </c>
      <c r="F21" s="101">
        <f t="shared" si="4"/>
        <v>1255468.18</v>
      </c>
      <c r="G21" s="101">
        <f t="shared" si="2"/>
        <v>1506561.82</v>
      </c>
      <c r="J21" s="438"/>
      <c r="K21" s="438">
        <f t="shared" si="0"/>
        <v>0</v>
      </c>
    </row>
    <row r="22" spans="1:11" ht="15.6" x14ac:dyDescent="0.3">
      <c r="A22" s="65">
        <f t="shared" ref="A22:A23" si="5">A21+1</f>
        <v>15</v>
      </c>
      <c r="B22" s="66" t="s">
        <v>457</v>
      </c>
      <c r="C22" s="65" t="s">
        <v>431</v>
      </c>
      <c r="D22" s="70">
        <v>150</v>
      </c>
      <c r="E22" s="171">
        <v>2059.5513599999999</v>
      </c>
      <c r="F22" s="101">
        <f t="shared" si="4"/>
        <v>308932.7</v>
      </c>
      <c r="G22" s="101">
        <f t="shared" si="2"/>
        <v>370719.24</v>
      </c>
      <c r="J22" s="438"/>
      <c r="K22" s="438">
        <f t="shared" si="0"/>
        <v>0</v>
      </c>
    </row>
    <row r="23" spans="1:11" ht="15.6" x14ac:dyDescent="0.3">
      <c r="A23" s="65">
        <f t="shared" si="5"/>
        <v>16</v>
      </c>
      <c r="B23" s="66" t="s">
        <v>458</v>
      </c>
      <c r="C23" s="65" t="s">
        <v>194</v>
      </c>
      <c r="D23" s="70">
        <v>100</v>
      </c>
      <c r="E23" s="171">
        <v>1723.4440200000001</v>
      </c>
      <c r="F23" s="101">
        <f t="shared" si="4"/>
        <v>172344.4</v>
      </c>
      <c r="G23" s="101">
        <f t="shared" si="2"/>
        <v>206813.28</v>
      </c>
      <c r="J23" s="438"/>
      <c r="K23" s="438">
        <f t="shared" si="0"/>
        <v>0</v>
      </c>
    </row>
    <row r="24" spans="1:11" ht="15.6" x14ac:dyDescent="0.3">
      <c r="A24" s="65"/>
      <c r="B24" s="61" t="s">
        <v>244</v>
      </c>
      <c r="C24" s="65"/>
      <c r="D24" s="70"/>
      <c r="E24" s="171">
        <v>0</v>
      </c>
      <c r="F24" s="101"/>
      <c r="G24" s="101"/>
      <c r="J24" s="438"/>
      <c r="K24" s="438">
        <f t="shared" si="0"/>
        <v>0</v>
      </c>
    </row>
    <row r="25" spans="1:11" ht="27.6" x14ac:dyDescent="0.3">
      <c r="A25" s="65">
        <f>A23+1</f>
        <v>17</v>
      </c>
      <c r="B25" s="66" t="s">
        <v>459</v>
      </c>
      <c r="C25" s="65" t="s">
        <v>194</v>
      </c>
      <c r="D25" s="70">
        <v>156</v>
      </c>
      <c r="E25" s="171">
        <v>3358.2129119999995</v>
      </c>
      <c r="F25" s="101">
        <f>ROUND(E25*D25,2)</f>
        <v>523881.21</v>
      </c>
      <c r="G25" s="101">
        <f t="shared" si="2"/>
        <v>628657.44999999995</v>
      </c>
      <c r="J25" s="438"/>
      <c r="K25" s="438">
        <f t="shared" si="0"/>
        <v>0</v>
      </c>
    </row>
    <row r="26" spans="1:11" ht="15.6" x14ac:dyDescent="0.3">
      <c r="A26" s="306"/>
      <c r="B26" s="61" t="s">
        <v>251</v>
      </c>
      <c r="C26" s="62"/>
      <c r="D26" s="62"/>
      <c r="E26" s="171">
        <v>0</v>
      </c>
      <c r="F26" s="101"/>
      <c r="G26" s="101"/>
      <c r="J26" s="438"/>
      <c r="K26" s="438">
        <f t="shared" si="0"/>
        <v>0</v>
      </c>
    </row>
    <row r="27" spans="1:11" ht="15.6" x14ac:dyDescent="0.3">
      <c r="A27" s="65"/>
      <c r="B27" s="72" t="s">
        <v>460</v>
      </c>
      <c r="C27" s="73"/>
      <c r="D27" s="74"/>
      <c r="E27" s="171">
        <v>0</v>
      </c>
      <c r="F27" s="101"/>
      <c r="G27" s="101"/>
      <c r="J27" s="438"/>
      <c r="K27" s="438">
        <f t="shared" si="0"/>
        <v>0</v>
      </c>
    </row>
    <row r="28" spans="1:11" ht="15.6" x14ac:dyDescent="0.3">
      <c r="A28" s="65">
        <f>A25+1</f>
        <v>18</v>
      </c>
      <c r="B28" s="66" t="s">
        <v>461</v>
      </c>
      <c r="C28" s="65" t="s">
        <v>193</v>
      </c>
      <c r="D28" s="67">
        <v>1.92</v>
      </c>
      <c r="E28" s="171">
        <v>5690.9408759999997</v>
      </c>
      <c r="F28" s="101">
        <f>ROUND(E28*D28,2)</f>
        <v>10926.61</v>
      </c>
      <c r="G28" s="101">
        <f t="shared" si="2"/>
        <v>13111.93</v>
      </c>
      <c r="J28" s="438"/>
      <c r="K28" s="438">
        <f t="shared" si="0"/>
        <v>0</v>
      </c>
    </row>
    <row r="29" spans="1:11" ht="15.6" x14ac:dyDescent="0.3">
      <c r="A29" s="65">
        <f t="shared" ref="A29:A37" si="6">A28+1</f>
        <v>19</v>
      </c>
      <c r="B29" s="66" t="s">
        <v>462</v>
      </c>
      <c r="C29" s="65" t="s">
        <v>193</v>
      </c>
      <c r="D29" s="67">
        <v>7.2</v>
      </c>
      <c r="E29" s="171">
        <v>12046.945211999999</v>
      </c>
      <c r="F29" s="101">
        <f>ROUND(E29*D29,2)</f>
        <v>86738.01</v>
      </c>
      <c r="G29" s="101">
        <f t="shared" si="2"/>
        <v>104085.61</v>
      </c>
      <c r="J29" s="438"/>
      <c r="K29" s="438">
        <f t="shared" si="0"/>
        <v>0</v>
      </c>
    </row>
    <row r="30" spans="1:11" ht="15.6" x14ac:dyDescent="0.3">
      <c r="A30" s="65">
        <f t="shared" si="6"/>
        <v>20</v>
      </c>
      <c r="B30" s="66" t="s">
        <v>463</v>
      </c>
      <c r="C30" s="65" t="s">
        <v>239</v>
      </c>
      <c r="D30" s="76">
        <v>0.13239999999999999</v>
      </c>
      <c r="E30" s="171">
        <v>214952.80100399995</v>
      </c>
      <c r="F30" s="101">
        <f>ROUND(E30*D30,2)</f>
        <v>28459.75</v>
      </c>
      <c r="G30" s="101">
        <f t="shared" si="2"/>
        <v>34151.699999999997</v>
      </c>
      <c r="J30" s="438"/>
      <c r="K30" s="438">
        <f t="shared" si="0"/>
        <v>0</v>
      </c>
    </row>
    <row r="31" spans="1:11" ht="15.6" x14ac:dyDescent="0.3">
      <c r="A31" s="65">
        <f t="shared" si="6"/>
        <v>21</v>
      </c>
      <c r="B31" s="66" t="s">
        <v>464</v>
      </c>
      <c r="C31" s="65" t="s">
        <v>431</v>
      </c>
      <c r="D31" s="67">
        <v>35.840000000000003</v>
      </c>
      <c r="E31" s="171">
        <v>457.67808000000002</v>
      </c>
      <c r="F31" s="101">
        <f>ROUND(E31*D31,2)</f>
        <v>16403.18</v>
      </c>
      <c r="G31" s="101">
        <f t="shared" si="2"/>
        <v>19683.82</v>
      </c>
      <c r="J31" s="438"/>
      <c r="K31" s="438">
        <f t="shared" si="0"/>
        <v>0</v>
      </c>
    </row>
    <row r="32" spans="1:11" ht="15.6" x14ac:dyDescent="0.3">
      <c r="A32" s="65"/>
      <c r="B32" s="72" t="s">
        <v>263</v>
      </c>
      <c r="C32" s="65"/>
      <c r="D32" s="67"/>
      <c r="E32" s="171">
        <v>0</v>
      </c>
      <c r="F32" s="101"/>
      <c r="G32" s="101"/>
      <c r="J32" s="438"/>
      <c r="K32" s="438">
        <f t="shared" si="0"/>
        <v>0</v>
      </c>
    </row>
    <row r="33" spans="1:11" ht="15.6" x14ac:dyDescent="0.3">
      <c r="A33" s="65">
        <f>A31+1</f>
        <v>22</v>
      </c>
      <c r="B33" s="66" t="s">
        <v>461</v>
      </c>
      <c r="C33" s="65" t="s">
        <v>193</v>
      </c>
      <c r="D33" s="67">
        <v>1.8</v>
      </c>
      <c r="E33" s="171">
        <v>5690.9408759999997</v>
      </c>
      <c r="F33" s="101">
        <f>ROUND(E33*D33,2)</f>
        <v>10243.69</v>
      </c>
      <c r="G33" s="101">
        <f t="shared" si="2"/>
        <v>12292.43</v>
      </c>
      <c r="J33" s="438"/>
      <c r="K33" s="438">
        <f t="shared" si="0"/>
        <v>0</v>
      </c>
    </row>
    <row r="34" spans="1:11" ht="15.6" x14ac:dyDescent="0.3">
      <c r="A34" s="65">
        <f t="shared" si="6"/>
        <v>23</v>
      </c>
      <c r="B34" s="66" t="s">
        <v>462</v>
      </c>
      <c r="C34" s="65" t="s">
        <v>193</v>
      </c>
      <c r="D34" s="67">
        <v>3.6</v>
      </c>
      <c r="E34" s="171">
        <v>12064.10814</v>
      </c>
      <c r="F34" s="101">
        <f>ROUND(E34*D34,2)</f>
        <v>43430.79</v>
      </c>
      <c r="G34" s="101">
        <f t="shared" si="2"/>
        <v>52116.95</v>
      </c>
      <c r="J34" s="438"/>
      <c r="K34" s="438">
        <f t="shared" si="0"/>
        <v>0</v>
      </c>
    </row>
    <row r="35" spans="1:11" ht="15.6" x14ac:dyDescent="0.3">
      <c r="A35" s="65">
        <f t="shared" si="6"/>
        <v>24</v>
      </c>
      <c r="B35" s="66" t="s">
        <v>465</v>
      </c>
      <c r="C35" s="65" t="s">
        <v>239</v>
      </c>
      <c r="D35" s="76">
        <v>0.12640000000000001</v>
      </c>
      <c r="E35" s="171">
        <v>105822.32331600001</v>
      </c>
      <c r="F35" s="101">
        <f>ROUND(E35*D35,2)</f>
        <v>13375.94</v>
      </c>
      <c r="G35" s="101">
        <f t="shared" si="2"/>
        <v>16051.13</v>
      </c>
      <c r="J35" s="438"/>
      <c r="K35" s="438">
        <f t="shared" si="0"/>
        <v>0</v>
      </c>
    </row>
    <row r="36" spans="1:11" ht="15.6" x14ac:dyDescent="0.3">
      <c r="A36" s="65">
        <f t="shared" si="6"/>
        <v>25</v>
      </c>
      <c r="B36" s="66" t="s">
        <v>466</v>
      </c>
      <c r="C36" s="65" t="s">
        <v>239</v>
      </c>
      <c r="D36" s="80">
        <v>0.20216000000000001</v>
      </c>
      <c r="E36" s="171">
        <v>214952.80100399995</v>
      </c>
      <c r="F36" s="101">
        <f>ROUND(E36*D36,2)</f>
        <v>43454.86</v>
      </c>
      <c r="G36" s="101">
        <f t="shared" si="2"/>
        <v>52145.83</v>
      </c>
      <c r="J36" s="438"/>
      <c r="K36" s="438">
        <f t="shared" si="0"/>
        <v>0</v>
      </c>
    </row>
    <row r="37" spans="1:11" ht="15.6" x14ac:dyDescent="0.3">
      <c r="A37" s="65">
        <f t="shared" si="6"/>
        <v>26</v>
      </c>
      <c r="B37" s="66" t="s">
        <v>464</v>
      </c>
      <c r="C37" s="65" t="s">
        <v>431</v>
      </c>
      <c r="D37" s="67">
        <v>26.4</v>
      </c>
      <c r="E37" s="171">
        <v>457.67808000000002</v>
      </c>
      <c r="F37" s="101">
        <f>ROUND(E37*D37,2)</f>
        <v>12082.7</v>
      </c>
      <c r="G37" s="101">
        <f t="shared" si="2"/>
        <v>14499.24</v>
      </c>
      <c r="J37" s="438"/>
      <c r="K37" s="438">
        <f t="shared" si="0"/>
        <v>0</v>
      </c>
    </row>
    <row r="38" spans="1:11" ht="15.6" x14ac:dyDescent="0.3">
      <c r="A38" s="65"/>
      <c r="B38" s="61" t="s">
        <v>283</v>
      </c>
      <c r="C38" s="73"/>
      <c r="D38" s="74"/>
      <c r="E38" s="171">
        <v>0</v>
      </c>
      <c r="F38" s="101"/>
      <c r="G38" s="101"/>
      <c r="J38" s="438"/>
      <c r="K38" s="438">
        <f t="shared" si="0"/>
        <v>0</v>
      </c>
    </row>
    <row r="39" spans="1:11" ht="15.6" x14ac:dyDescent="0.3">
      <c r="A39" s="65"/>
      <c r="B39" s="72" t="s">
        <v>284</v>
      </c>
      <c r="C39" s="73"/>
      <c r="D39" s="74"/>
      <c r="E39" s="171">
        <v>0</v>
      </c>
      <c r="F39" s="101"/>
      <c r="G39" s="101"/>
      <c r="J39" s="438"/>
      <c r="K39" s="438">
        <f t="shared" si="0"/>
        <v>0</v>
      </c>
    </row>
    <row r="40" spans="1:11" ht="15.6" x14ac:dyDescent="0.3">
      <c r="A40" s="65">
        <f>A37+1</f>
        <v>27</v>
      </c>
      <c r="B40" s="66" t="s">
        <v>467</v>
      </c>
      <c r="C40" s="65" t="s">
        <v>239</v>
      </c>
      <c r="D40" s="75">
        <v>2.2160000000000002</v>
      </c>
      <c r="E40" s="171">
        <v>214952.80100399995</v>
      </c>
      <c r="F40" s="101">
        <f>ROUND(E40*D40,2)</f>
        <v>476335.41</v>
      </c>
      <c r="G40" s="101">
        <f t="shared" si="2"/>
        <v>571602.49</v>
      </c>
      <c r="J40" s="438"/>
      <c r="K40" s="438">
        <f t="shared" si="0"/>
        <v>0</v>
      </c>
    </row>
    <row r="41" spans="1:11" ht="15.6" x14ac:dyDescent="0.3">
      <c r="A41" s="65">
        <f>A40+1</f>
        <v>28</v>
      </c>
      <c r="B41" s="66" t="s">
        <v>468</v>
      </c>
      <c r="C41" s="65" t="s">
        <v>431</v>
      </c>
      <c r="D41" s="71">
        <v>55.4</v>
      </c>
      <c r="E41" s="171">
        <v>217.397088</v>
      </c>
      <c r="F41" s="101">
        <f>ROUND(E41*D41,2)</f>
        <v>12043.8</v>
      </c>
      <c r="G41" s="101">
        <f t="shared" si="2"/>
        <v>14452.56</v>
      </c>
      <c r="J41" s="438"/>
      <c r="K41" s="438">
        <f t="shared" si="0"/>
        <v>0</v>
      </c>
    </row>
    <row r="42" spans="1:11" ht="15.6" x14ac:dyDescent="0.3">
      <c r="A42" s="65">
        <f t="shared" ref="A42:A44" si="7">A41+1</f>
        <v>29</v>
      </c>
      <c r="B42" s="66" t="s">
        <v>469</v>
      </c>
      <c r="C42" s="65" t="s">
        <v>431</v>
      </c>
      <c r="D42" s="71">
        <v>55.4</v>
      </c>
      <c r="E42" s="171">
        <v>217.397088</v>
      </c>
      <c r="F42" s="101">
        <f>ROUND(E42*D42,2)</f>
        <v>12043.8</v>
      </c>
      <c r="G42" s="101">
        <f t="shared" si="2"/>
        <v>14452.56</v>
      </c>
      <c r="J42" s="438"/>
      <c r="K42" s="438">
        <f t="shared" si="0"/>
        <v>0</v>
      </c>
    </row>
    <row r="43" spans="1:11" ht="15.6" x14ac:dyDescent="0.3">
      <c r="A43" s="65">
        <f t="shared" si="7"/>
        <v>30</v>
      </c>
      <c r="B43" s="66" t="s">
        <v>470</v>
      </c>
      <c r="C43" s="73" t="s">
        <v>431</v>
      </c>
      <c r="D43" s="67">
        <v>1.08</v>
      </c>
      <c r="E43" s="171">
        <v>2079.5747759999999</v>
      </c>
      <c r="F43" s="101">
        <f>ROUND(E43*D43,2)</f>
        <v>2245.94</v>
      </c>
      <c r="G43" s="101">
        <f t="shared" si="2"/>
        <v>2695.13</v>
      </c>
      <c r="J43" s="438"/>
      <c r="K43" s="438">
        <f t="shared" si="0"/>
        <v>0</v>
      </c>
    </row>
    <row r="44" spans="1:11" ht="15.6" x14ac:dyDescent="0.3">
      <c r="A44" s="65">
        <f t="shared" si="7"/>
        <v>31</v>
      </c>
      <c r="B44" s="66" t="s">
        <v>471</v>
      </c>
      <c r="C44" s="73" t="s">
        <v>193</v>
      </c>
      <c r="D44" s="67">
        <v>0.84</v>
      </c>
      <c r="E44" s="171">
        <v>18038.237327999999</v>
      </c>
      <c r="F44" s="101">
        <f>ROUND(E44*D44,2)</f>
        <v>15152.12</v>
      </c>
      <c r="G44" s="101">
        <f t="shared" si="2"/>
        <v>18182.54</v>
      </c>
      <c r="J44" s="438"/>
      <c r="K44" s="438">
        <f t="shared" si="0"/>
        <v>0</v>
      </c>
    </row>
    <row r="45" spans="1:11" ht="15.6" x14ac:dyDescent="0.3">
      <c r="A45" s="65"/>
      <c r="B45" s="72" t="s">
        <v>472</v>
      </c>
      <c r="C45" s="73"/>
      <c r="D45" s="184"/>
      <c r="E45" s="171">
        <v>0</v>
      </c>
      <c r="F45" s="101"/>
      <c r="G45" s="101"/>
      <c r="J45" s="438"/>
      <c r="K45" s="438">
        <f t="shared" si="0"/>
        <v>0</v>
      </c>
    </row>
    <row r="46" spans="1:11" ht="15.6" x14ac:dyDescent="0.3">
      <c r="A46" s="65">
        <f>A44+1</f>
        <v>32</v>
      </c>
      <c r="B46" s="66" t="s">
        <v>473</v>
      </c>
      <c r="C46" s="73" t="s">
        <v>239</v>
      </c>
      <c r="D46" s="80">
        <v>2.5645500000000001</v>
      </c>
      <c r="E46" s="171">
        <v>105822.32331600001</v>
      </c>
      <c r="F46" s="101">
        <f>ROUND(E46*D46,2)</f>
        <v>271386.64</v>
      </c>
      <c r="G46" s="101">
        <f t="shared" si="2"/>
        <v>325663.96999999997</v>
      </c>
      <c r="J46" s="438"/>
      <c r="K46" s="438">
        <f t="shared" si="0"/>
        <v>0</v>
      </c>
    </row>
    <row r="47" spans="1:11" ht="15.6" x14ac:dyDescent="0.3">
      <c r="A47" s="65">
        <f t="shared" ref="A47:A53" si="8">A46+1</f>
        <v>33</v>
      </c>
      <c r="B47" s="66" t="s">
        <v>468</v>
      </c>
      <c r="C47" s="65" t="s">
        <v>431</v>
      </c>
      <c r="D47" s="70">
        <v>65</v>
      </c>
      <c r="E47" s="171">
        <v>217.397088</v>
      </c>
      <c r="F47" s="101">
        <f>ROUND(E47*D47,2)</f>
        <v>14130.81</v>
      </c>
      <c r="G47" s="101">
        <f t="shared" si="2"/>
        <v>16956.97</v>
      </c>
      <c r="J47" s="438"/>
      <c r="K47" s="438">
        <f t="shared" si="0"/>
        <v>0</v>
      </c>
    </row>
    <row r="48" spans="1:11" ht="15.6" x14ac:dyDescent="0.3">
      <c r="A48" s="65">
        <f t="shared" si="8"/>
        <v>34</v>
      </c>
      <c r="B48" s="66" t="s">
        <v>469</v>
      </c>
      <c r="C48" s="65" t="s">
        <v>431</v>
      </c>
      <c r="D48" s="70">
        <v>65</v>
      </c>
      <c r="E48" s="171">
        <v>217.397088</v>
      </c>
      <c r="F48" s="101">
        <f>ROUND(E48*D48,2)</f>
        <v>14130.81</v>
      </c>
      <c r="G48" s="101">
        <f t="shared" si="2"/>
        <v>16956.97</v>
      </c>
      <c r="J48" s="438"/>
      <c r="K48" s="438">
        <f t="shared" si="0"/>
        <v>0</v>
      </c>
    </row>
    <row r="49" spans="1:11" ht="15.6" x14ac:dyDescent="0.3">
      <c r="A49" s="65"/>
      <c r="B49" s="61" t="s">
        <v>314</v>
      </c>
      <c r="C49" s="73"/>
      <c r="D49" s="184"/>
      <c r="E49" s="171">
        <v>0</v>
      </c>
      <c r="F49" s="101"/>
      <c r="G49" s="101"/>
      <c r="J49" s="438"/>
      <c r="K49" s="438">
        <f t="shared" si="0"/>
        <v>0</v>
      </c>
    </row>
    <row r="50" spans="1:11" ht="15.6" x14ac:dyDescent="0.3">
      <c r="A50" s="65"/>
      <c r="B50" s="72" t="s">
        <v>315</v>
      </c>
      <c r="C50" s="73"/>
      <c r="D50" s="184"/>
      <c r="E50" s="171">
        <v>0</v>
      </c>
      <c r="F50" s="101"/>
      <c r="G50" s="101"/>
      <c r="J50" s="438"/>
      <c r="K50" s="438">
        <f t="shared" si="0"/>
        <v>0</v>
      </c>
    </row>
    <row r="51" spans="1:11" ht="15.6" x14ac:dyDescent="0.3">
      <c r="A51" s="65">
        <f>A48+1</f>
        <v>35</v>
      </c>
      <c r="B51" s="66" t="s">
        <v>461</v>
      </c>
      <c r="C51" s="65" t="s">
        <v>193</v>
      </c>
      <c r="D51" s="67">
        <v>0.11</v>
      </c>
      <c r="E51" s="171">
        <v>5690.9408759999997</v>
      </c>
      <c r="F51" s="101">
        <f>ROUND(E51*D51,2)</f>
        <v>626</v>
      </c>
      <c r="G51" s="101">
        <f t="shared" si="2"/>
        <v>751.2</v>
      </c>
      <c r="J51" s="438"/>
      <c r="K51" s="438">
        <f t="shared" si="0"/>
        <v>0</v>
      </c>
    </row>
    <row r="52" spans="1:11" ht="15.6" x14ac:dyDescent="0.3">
      <c r="A52" s="65">
        <f t="shared" si="8"/>
        <v>36</v>
      </c>
      <c r="B52" s="66" t="s">
        <v>474</v>
      </c>
      <c r="C52" s="65" t="s">
        <v>193</v>
      </c>
      <c r="D52" s="67">
        <v>0.5</v>
      </c>
      <c r="E52" s="171">
        <v>29450.154203999999</v>
      </c>
      <c r="F52" s="101">
        <f>ROUND(E52*D52,2)</f>
        <v>14725.08</v>
      </c>
      <c r="G52" s="101">
        <f t="shared" si="2"/>
        <v>17670.099999999999</v>
      </c>
      <c r="J52" s="438"/>
      <c r="K52" s="438">
        <f t="shared" si="0"/>
        <v>0</v>
      </c>
    </row>
    <row r="53" spans="1:11" ht="15.6" x14ac:dyDescent="0.3">
      <c r="A53" s="65">
        <f t="shared" si="8"/>
        <v>37</v>
      </c>
      <c r="B53" s="66" t="s">
        <v>475</v>
      </c>
      <c r="C53" s="65" t="s">
        <v>239</v>
      </c>
      <c r="D53" s="75">
        <v>0.20300000000000001</v>
      </c>
      <c r="E53" s="171">
        <v>99363.34141199998</v>
      </c>
      <c r="F53" s="101">
        <f>ROUND(E53*D53,2)</f>
        <v>20170.759999999998</v>
      </c>
      <c r="G53" s="101">
        <f t="shared" si="2"/>
        <v>24204.91</v>
      </c>
      <c r="J53" s="438"/>
      <c r="K53" s="438">
        <f t="shared" si="0"/>
        <v>0</v>
      </c>
    </row>
    <row r="54" spans="1:11" ht="15.6" x14ac:dyDescent="0.3">
      <c r="A54" s="65"/>
      <c r="B54" s="72" t="s">
        <v>320</v>
      </c>
      <c r="C54" s="73"/>
      <c r="D54" s="67"/>
      <c r="E54" s="171">
        <v>0</v>
      </c>
      <c r="F54" s="101"/>
      <c r="G54" s="101"/>
      <c r="J54" s="438"/>
      <c r="K54" s="438">
        <f t="shared" si="0"/>
        <v>0</v>
      </c>
    </row>
    <row r="55" spans="1:11" ht="15.6" x14ac:dyDescent="0.3">
      <c r="A55" s="65">
        <f>A53+1</f>
        <v>38</v>
      </c>
      <c r="B55" s="66" t="s">
        <v>476</v>
      </c>
      <c r="C55" s="73" t="s">
        <v>194</v>
      </c>
      <c r="D55" s="70">
        <v>12</v>
      </c>
      <c r="E55" s="171">
        <v>2388.5074800000002</v>
      </c>
      <c r="F55" s="101">
        <f t="shared" ref="F55:F61" si="9">ROUND(E55*D55,2)</f>
        <v>28662.09</v>
      </c>
      <c r="G55" s="101">
        <f t="shared" si="2"/>
        <v>34394.51</v>
      </c>
      <c r="J55" s="438"/>
      <c r="K55" s="438">
        <f t="shared" si="0"/>
        <v>0</v>
      </c>
    </row>
    <row r="56" spans="1:11" ht="15.6" x14ac:dyDescent="0.3">
      <c r="A56" s="65">
        <f t="shared" ref="A56:A61" si="10">A55+1</f>
        <v>39</v>
      </c>
      <c r="B56" s="66" t="s">
        <v>477</v>
      </c>
      <c r="C56" s="73" t="s">
        <v>194</v>
      </c>
      <c r="D56" s="67">
        <v>9.56</v>
      </c>
      <c r="E56" s="171">
        <v>2859.0577560000002</v>
      </c>
      <c r="F56" s="101">
        <f t="shared" si="9"/>
        <v>27332.59</v>
      </c>
      <c r="G56" s="101">
        <f t="shared" si="2"/>
        <v>32799.11</v>
      </c>
      <c r="J56" s="438"/>
      <c r="K56" s="438">
        <f t="shared" si="0"/>
        <v>0</v>
      </c>
    </row>
    <row r="57" spans="1:11" ht="15.6" x14ac:dyDescent="0.3">
      <c r="A57" s="65">
        <f t="shared" si="10"/>
        <v>40</v>
      </c>
      <c r="B57" s="66" t="s">
        <v>478</v>
      </c>
      <c r="C57" s="73" t="s">
        <v>431</v>
      </c>
      <c r="D57" s="67">
        <v>8.6</v>
      </c>
      <c r="E57" s="171">
        <v>1441.2535526511631</v>
      </c>
      <c r="F57" s="101">
        <f t="shared" si="9"/>
        <v>12394.78</v>
      </c>
      <c r="G57" s="101">
        <f t="shared" si="2"/>
        <v>14873.74</v>
      </c>
      <c r="J57" s="438"/>
      <c r="K57" s="438">
        <f t="shared" si="0"/>
        <v>0</v>
      </c>
    </row>
    <row r="58" spans="1:11" ht="15.6" x14ac:dyDescent="0.3">
      <c r="A58" s="65">
        <f t="shared" si="10"/>
        <v>41</v>
      </c>
      <c r="B58" s="66" t="s">
        <v>479</v>
      </c>
      <c r="C58" s="73" t="s">
        <v>431</v>
      </c>
      <c r="D58" s="67">
        <v>8.6</v>
      </c>
      <c r="E58" s="171">
        <v>121.57074</v>
      </c>
      <c r="F58" s="101">
        <f t="shared" si="9"/>
        <v>1045.51</v>
      </c>
      <c r="G58" s="101">
        <f t="shared" si="2"/>
        <v>1254.6099999999999</v>
      </c>
      <c r="J58" s="438"/>
      <c r="K58" s="438">
        <f t="shared" si="0"/>
        <v>0</v>
      </c>
    </row>
    <row r="59" spans="1:11" ht="15.6" x14ac:dyDescent="0.3">
      <c r="A59" s="65">
        <f t="shared" si="10"/>
        <v>42</v>
      </c>
      <c r="B59" s="66" t="s">
        <v>480</v>
      </c>
      <c r="C59" s="73" t="s">
        <v>431</v>
      </c>
      <c r="D59" s="67">
        <v>8.6</v>
      </c>
      <c r="E59" s="171">
        <v>149.98968828</v>
      </c>
      <c r="F59" s="101">
        <f t="shared" si="9"/>
        <v>1289.9100000000001</v>
      </c>
      <c r="G59" s="101">
        <f t="shared" si="2"/>
        <v>1547.89</v>
      </c>
      <c r="J59" s="438"/>
      <c r="K59" s="438">
        <f t="shared" si="0"/>
        <v>0</v>
      </c>
    </row>
    <row r="60" spans="1:11" ht="15.6" x14ac:dyDescent="0.3">
      <c r="A60" s="65">
        <f t="shared" si="10"/>
        <v>43</v>
      </c>
      <c r="B60" s="66" t="s">
        <v>481</v>
      </c>
      <c r="C60" s="73" t="s">
        <v>431</v>
      </c>
      <c r="D60" s="67">
        <v>8.6</v>
      </c>
      <c r="E60" s="171">
        <v>217.397088</v>
      </c>
      <c r="F60" s="101">
        <f t="shared" si="9"/>
        <v>1869.61</v>
      </c>
      <c r="G60" s="101">
        <f t="shared" si="2"/>
        <v>2243.5300000000002</v>
      </c>
      <c r="J60" s="438"/>
      <c r="K60" s="438">
        <f t="shared" si="0"/>
        <v>0</v>
      </c>
    </row>
    <row r="61" spans="1:11" ht="15.6" x14ac:dyDescent="0.3">
      <c r="A61" s="65">
        <f t="shared" si="10"/>
        <v>44</v>
      </c>
      <c r="B61" s="66" t="s">
        <v>482</v>
      </c>
      <c r="C61" s="73" t="s">
        <v>431</v>
      </c>
      <c r="D61" s="67">
        <v>8.6</v>
      </c>
      <c r="E61" s="171">
        <v>217.397088</v>
      </c>
      <c r="F61" s="101">
        <f t="shared" si="9"/>
        <v>1869.61</v>
      </c>
      <c r="G61" s="101">
        <f t="shared" si="2"/>
        <v>2243.5300000000002</v>
      </c>
      <c r="J61" s="438"/>
      <c r="K61" s="438">
        <f t="shared" si="0"/>
        <v>0</v>
      </c>
    </row>
    <row r="62" spans="1:11" ht="22.5" customHeight="1" x14ac:dyDescent="0.3">
      <c r="A62" s="173"/>
      <c r="B62" s="537" t="s">
        <v>341</v>
      </c>
      <c r="C62" s="538"/>
      <c r="D62" s="538"/>
      <c r="E62" s="185"/>
      <c r="F62" s="185"/>
      <c r="G62" s="339"/>
      <c r="J62" s="438"/>
      <c r="K62" s="438">
        <f t="shared" si="0"/>
        <v>0</v>
      </c>
    </row>
    <row r="63" spans="1:11" ht="15.6" x14ac:dyDescent="0.3">
      <c r="A63" s="65"/>
      <c r="B63" s="61" t="s">
        <v>342</v>
      </c>
      <c r="C63" s="73"/>
      <c r="D63" s="74"/>
      <c r="E63" s="171">
        <v>0</v>
      </c>
      <c r="F63" s="87"/>
      <c r="G63" s="127"/>
      <c r="J63" s="438"/>
      <c r="K63" s="438">
        <f t="shared" si="0"/>
        <v>0</v>
      </c>
    </row>
    <row r="64" spans="1:11" ht="15.6" x14ac:dyDescent="0.3">
      <c r="A64" s="65">
        <f>A61+1</f>
        <v>45</v>
      </c>
      <c r="B64" s="66" t="s">
        <v>483</v>
      </c>
      <c r="C64" s="65" t="s">
        <v>193</v>
      </c>
      <c r="D64" s="67">
        <v>6.4</v>
      </c>
      <c r="E64" s="171">
        <v>1773.5025600000001</v>
      </c>
      <c r="F64" s="101">
        <f>ROUND(E64*D64,2)</f>
        <v>11350.42</v>
      </c>
      <c r="G64" s="101">
        <f t="shared" ref="G64:G82" si="11">ROUND(F64*1.2,2)</f>
        <v>13620.5</v>
      </c>
      <c r="J64" s="438"/>
      <c r="K64" s="438">
        <f t="shared" si="0"/>
        <v>0</v>
      </c>
    </row>
    <row r="65" spans="1:11" ht="15.6" x14ac:dyDescent="0.3">
      <c r="A65" s="65">
        <f t="shared" ref="A65:A82" si="12">A64+1</f>
        <v>46</v>
      </c>
      <c r="B65" s="66" t="s">
        <v>484</v>
      </c>
      <c r="C65" s="65" t="s">
        <v>194</v>
      </c>
      <c r="D65" s="70">
        <v>65</v>
      </c>
      <c r="E65" s="171">
        <v>3511.2490199999997</v>
      </c>
      <c r="F65" s="101">
        <f>ROUND(E65*D65,2)</f>
        <v>228231.19</v>
      </c>
      <c r="G65" s="101">
        <f t="shared" si="11"/>
        <v>273877.43</v>
      </c>
      <c r="J65" s="438"/>
      <c r="K65" s="438">
        <f t="shared" si="0"/>
        <v>0</v>
      </c>
    </row>
    <row r="66" spans="1:11" ht="15.6" x14ac:dyDescent="0.3">
      <c r="A66" s="65">
        <f t="shared" si="12"/>
        <v>47</v>
      </c>
      <c r="B66" s="66" t="s">
        <v>485</v>
      </c>
      <c r="C66" s="65" t="s">
        <v>431</v>
      </c>
      <c r="D66" s="67">
        <v>50.49</v>
      </c>
      <c r="E66" s="171">
        <v>450.52686</v>
      </c>
      <c r="F66" s="101">
        <f>ROUND(E66*D66,2)</f>
        <v>22747.1</v>
      </c>
      <c r="G66" s="101">
        <f t="shared" si="11"/>
        <v>27296.52</v>
      </c>
      <c r="J66" s="438"/>
      <c r="K66" s="438">
        <f t="shared" si="0"/>
        <v>0</v>
      </c>
    </row>
    <row r="67" spans="1:11" ht="15.6" x14ac:dyDescent="0.3">
      <c r="A67" s="65"/>
      <c r="B67" s="72" t="s">
        <v>486</v>
      </c>
      <c r="C67" s="73"/>
      <c r="D67" s="67"/>
      <c r="E67" s="171">
        <v>0</v>
      </c>
      <c r="F67" s="101"/>
      <c r="G67" s="101"/>
      <c r="J67" s="438"/>
      <c r="K67" s="438">
        <f t="shared" si="0"/>
        <v>0</v>
      </c>
    </row>
    <row r="68" spans="1:11" ht="15.6" x14ac:dyDescent="0.3">
      <c r="A68" s="65">
        <f>A66+1</f>
        <v>48</v>
      </c>
      <c r="B68" s="66" t="s">
        <v>487</v>
      </c>
      <c r="C68" s="65" t="s">
        <v>193</v>
      </c>
      <c r="D68" s="67">
        <v>3.75</v>
      </c>
      <c r="E68" s="171">
        <v>2541.5435879999995</v>
      </c>
      <c r="F68" s="101">
        <f t="shared" ref="F68:F73" si="13">ROUND(E68*D68,2)</f>
        <v>9530.7900000000009</v>
      </c>
      <c r="G68" s="101">
        <f t="shared" si="11"/>
        <v>11436.95</v>
      </c>
      <c r="J68" s="438"/>
      <c r="K68" s="438">
        <f t="shared" si="0"/>
        <v>0</v>
      </c>
    </row>
    <row r="69" spans="1:11" ht="15.6" x14ac:dyDescent="0.3">
      <c r="A69" s="65">
        <f t="shared" si="12"/>
        <v>49</v>
      </c>
      <c r="B69" s="66" t="s">
        <v>488</v>
      </c>
      <c r="C69" s="65" t="s">
        <v>193</v>
      </c>
      <c r="D69" s="67">
        <v>1.25</v>
      </c>
      <c r="E69" s="171">
        <v>1285.789356</v>
      </c>
      <c r="F69" s="101">
        <f t="shared" si="13"/>
        <v>1607.24</v>
      </c>
      <c r="G69" s="101">
        <f t="shared" si="11"/>
        <v>1928.69</v>
      </c>
      <c r="J69" s="438"/>
      <c r="K69" s="438">
        <f t="shared" si="0"/>
        <v>0</v>
      </c>
    </row>
    <row r="70" spans="1:11" ht="15.6" x14ac:dyDescent="0.3">
      <c r="A70" s="65">
        <f t="shared" si="12"/>
        <v>50</v>
      </c>
      <c r="B70" s="66" t="s">
        <v>489</v>
      </c>
      <c r="C70" s="65" t="s">
        <v>193</v>
      </c>
      <c r="D70" s="67">
        <v>2.2000000000000002</v>
      </c>
      <c r="E70" s="171">
        <v>8661.5576639999999</v>
      </c>
      <c r="F70" s="101">
        <f t="shared" si="13"/>
        <v>19055.43</v>
      </c>
      <c r="G70" s="101">
        <f t="shared" si="11"/>
        <v>22866.52</v>
      </c>
      <c r="J70" s="438"/>
      <c r="K70" s="438">
        <f t="shared" ref="K70:K133" si="14">E70*J70*1.2</f>
        <v>0</v>
      </c>
    </row>
    <row r="71" spans="1:11" ht="15.6" x14ac:dyDescent="0.3">
      <c r="A71" s="65">
        <f t="shared" si="12"/>
        <v>51</v>
      </c>
      <c r="B71" s="66" t="s">
        <v>485</v>
      </c>
      <c r="C71" s="65" t="s">
        <v>431</v>
      </c>
      <c r="D71" s="67">
        <v>7.62</v>
      </c>
      <c r="E71" s="171">
        <v>450.52686</v>
      </c>
      <c r="F71" s="101">
        <f t="shared" si="13"/>
        <v>3433.01</v>
      </c>
      <c r="G71" s="101">
        <f t="shared" si="11"/>
        <v>4119.6099999999997</v>
      </c>
      <c r="J71" s="438"/>
      <c r="K71" s="438">
        <f t="shared" si="14"/>
        <v>0</v>
      </c>
    </row>
    <row r="72" spans="1:11" ht="15.6" x14ac:dyDescent="0.3">
      <c r="A72" s="65">
        <f t="shared" si="12"/>
        <v>52</v>
      </c>
      <c r="B72" s="66" t="s">
        <v>490</v>
      </c>
      <c r="C72" s="65" t="s">
        <v>193</v>
      </c>
      <c r="D72" s="67">
        <v>1.7</v>
      </c>
      <c r="E72" s="171">
        <v>9724.228955999999</v>
      </c>
      <c r="F72" s="101">
        <f t="shared" si="13"/>
        <v>16531.189999999999</v>
      </c>
      <c r="G72" s="101">
        <f t="shared" si="11"/>
        <v>19837.43</v>
      </c>
      <c r="J72" s="438"/>
      <c r="K72" s="438">
        <f t="shared" si="14"/>
        <v>0</v>
      </c>
    </row>
    <row r="73" spans="1:11" ht="15.6" x14ac:dyDescent="0.3">
      <c r="A73" s="65">
        <f t="shared" si="12"/>
        <v>53</v>
      </c>
      <c r="B73" s="66" t="s">
        <v>491</v>
      </c>
      <c r="C73" s="65" t="s">
        <v>431</v>
      </c>
      <c r="D73" s="67">
        <v>0.71440000000000003</v>
      </c>
      <c r="E73" s="171">
        <v>477.70149600000002</v>
      </c>
      <c r="F73" s="101">
        <f t="shared" si="13"/>
        <v>341.27</v>
      </c>
      <c r="G73" s="101">
        <f t="shared" si="11"/>
        <v>409.52</v>
      </c>
      <c r="J73" s="438"/>
      <c r="K73" s="438">
        <f t="shared" si="14"/>
        <v>0</v>
      </c>
    </row>
    <row r="74" spans="1:11" ht="15.6" x14ac:dyDescent="0.3">
      <c r="A74" s="65"/>
      <c r="B74" s="61" t="s">
        <v>352</v>
      </c>
      <c r="C74" s="73"/>
      <c r="D74" s="74"/>
      <c r="E74" s="171">
        <v>0</v>
      </c>
      <c r="F74" s="101"/>
      <c r="G74" s="101"/>
      <c r="J74" s="438"/>
      <c r="K74" s="438">
        <f t="shared" si="14"/>
        <v>0</v>
      </c>
    </row>
    <row r="75" spans="1:11" ht="15.6" x14ac:dyDescent="0.3">
      <c r="A75" s="65">
        <f>A73+1</f>
        <v>54</v>
      </c>
      <c r="B75" s="66" t="s">
        <v>492</v>
      </c>
      <c r="C75" s="65" t="s">
        <v>193</v>
      </c>
      <c r="D75" s="70">
        <v>230</v>
      </c>
      <c r="E75" s="171">
        <v>464.82929999999999</v>
      </c>
      <c r="F75" s="101">
        <f t="shared" ref="F75:F82" si="15">ROUND(E75*D75,2)</f>
        <v>106910.74</v>
      </c>
      <c r="G75" s="101">
        <f t="shared" si="11"/>
        <v>128292.89</v>
      </c>
      <c r="J75" s="438"/>
      <c r="K75" s="438">
        <f t="shared" si="14"/>
        <v>0</v>
      </c>
    </row>
    <row r="76" spans="1:11" ht="15.6" x14ac:dyDescent="0.3">
      <c r="A76" s="65">
        <f t="shared" si="12"/>
        <v>55</v>
      </c>
      <c r="B76" s="66" t="s">
        <v>444</v>
      </c>
      <c r="C76" s="73" t="s">
        <v>193</v>
      </c>
      <c r="D76" s="67">
        <v>2.92</v>
      </c>
      <c r="E76" s="171">
        <v>2541.5435879999995</v>
      </c>
      <c r="F76" s="101">
        <f t="shared" si="15"/>
        <v>7421.31</v>
      </c>
      <c r="G76" s="101">
        <f t="shared" si="11"/>
        <v>8905.57</v>
      </c>
      <c r="J76" s="438"/>
      <c r="K76" s="438">
        <f t="shared" si="14"/>
        <v>0</v>
      </c>
    </row>
    <row r="77" spans="1:11" ht="15.6" x14ac:dyDescent="0.3">
      <c r="A77" s="65">
        <f t="shared" si="12"/>
        <v>56</v>
      </c>
      <c r="B77" s="66" t="s">
        <v>493</v>
      </c>
      <c r="C77" s="73" t="s">
        <v>239</v>
      </c>
      <c r="D77" s="67">
        <v>41.12</v>
      </c>
      <c r="E77" s="171">
        <v>4948.6442400000005</v>
      </c>
      <c r="F77" s="101">
        <f t="shared" si="15"/>
        <v>203488.25</v>
      </c>
      <c r="G77" s="101">
        <f t="shared" si="11"/>
        <v>244185.9</v>
      </c>
      <c r="J77" s="438"/>
      <c r="K77" s="438">
        <f t="shared" si="14"/>
        <v>0</v>
      </c>
    </row>
    <row r="78" spans="1:11" ht="20.25" customHeight="1" x14ac:dyDescent="0.3">
      <c r="A78" s="65">
        <f t="shared" si="12"/>
        <v>57</v>
      </c>
      <c r="B78" s="66" t="s">
        <v>449</v>
      </c>
      <c r="C78" s="73" t="s">
        <v>193</v>
      </c>
      <c r="D78" s="70">
        <v>200</v>
      </c>
      <c r="E78" s="171">
        <v>464.82929999999999</v>
      </c>
      <c r="F78" s="101">
        <f t="shared" si="15"/>
        <v>92965.86</v>
      </c>
      <c r="G78" s="101">
        <f t="shared" si="11"/>
        <v>111559.03</v>
      </c>
      <c r="J78" s="438"/>
      <c r="K78" s="438">
        <f t="shared" si="14"/>
        <v>0</v>
      </c>
    </row>
    <row r="79" spans="1:11" ht="15.6" x14ac:dyDescent="0.3">
      <c r="A79" s="65">
        <f t="shared" si="12"/>
        <v>58</v>
      </c>
      <c r="B79" s="66" t="s">
        <v>450</v>
      </c>
      <c r="C79" s="73" t="s">
        <v>193</v>
      </c>
      <c r="D79" s="67">
        <v>7.22</v>
      </c>
      <c r="E79" s="171">
        <v>1285.789356</v>
      </c>
      <c r="F79" s="101">
        <f t="shared" si="15"/>
        <v>9283.4</v>
      </c>
      <c r="G79" s="101">
        <f t="shared" si="11"/>
        <v>11140.08</v>
      </c>
      <c r="J79" s="438"/>
      <c r="K79" s="438">
        <f t="shared" si="14"/>
        <v>0</v>
      </c>
    </row>
    <row r="80" spans="1:11" ht="15.6" x14ac:dyDescent="0.3">
      <c r="A80" s="65">
        <f t="shared" si="12"/>
        <v>59</v>
      </c>
      <c r="B80" s="66" t="s">
        <v>461</v>
      </c>
      <c r="C80" s="73" t="s">
        <v>193</v>
      </c>
      <c r="D80" s="67">
        <v>7.3</v>
      </c>
      <c r="E80" s="171">
        <v>5690.9408759999997</v>
      </c>
      <c r="F80" s="101">
        <f t="shared" si="15"/>
        <v>41543.870000000003</v>
      </c>
      <c r="G80" s="101">
        <f t="shared" si="11"/>
        <v>49852.639999999999</v>
      </c>
      <c r="J80" s="438"/>
      <c r="K80" s="438">
        <f t="shared" si="14"/>
        <v>0</v>
      </c>
    </row>
    <row r="81" spans="1:11" ht="15.6" x14ac:dyDescent="0.3">
      <c r="A81" s="65">
        <f t="shared" si="12"/>
        <v>60</v>
      </c>
      <c r="B81" s="66" t="s">
        <v>494</v>
      </c>
      <c r="C81" s="73" t="s">
        <v>193</v>
      </c>
      <c r="D81" s="67">
        <v>25.7</v>
      </c>
      <c r="E81" s="171">
        <v>17448.9768</v>
      </c>
      <c r="F81" s="101">
        <f t="shared" si="15"/>
        <v>448438.7</v>
      </c>
      <c r="G81" s="101">
        <f t="shared" si="11"/>
        <v>538126.43999999994</v>
      </c>
      <c r="J81" s="438"/>
      <c r="K81" s="438">
        <f t="shared" si="14"/>
        <v>0</v>
      </c>
    </row>
    <row r="82" spans="1:11" ht="15.6" x14ac:dyDescent="0.3">
      <c r="A82" s="65">
        <f t="shared" si="12"/>
        <v>61</v>
      </c>
      <c r="B82" s="66" t="s">
        <v>485</v>
      </c>
      <c r="C82" s="65" t="s">
        <v>431</v>
      </c>
      <c r="D82" s="67">
        <v>269.14999999999998</v>
      </c>
      <c r="E82" s="171">
        <v>450.52686</v>
      </c>
      <c r="F82" s="101">
        <f t="shared" si="15"/>
        <v>121259.3</v>
      </c>
      <c r="G82" s="101">
        <f t="shared" si="11"/>
        <v>145511.16</v>
      </c>
      <c r="J82" s="438"/>
      <c r="K82" s="438">
        <f t="shared" si="14"/>
        <v>0</v>
      </c>
    </row>
    <row r="83" spans="1:11" ht="19.5" customHeight="1" x14ac:dyDescent="0.3">
      <c r="A83" s="173"/>
      <c r="B83" s="537" t="s">
        <v>364</v>
      </c>
      <c r="C83" s="538"/>
      <c r="D83" s="538"/>
      <c r="E83" s="185"/>
      <c r="F83" s="185"/>
      <c r="G83" s="339"/>
      <c r="J83" s="438"/>
      <c r="K83" s="438">
        <f t="shared" si="14"/>
        <v>0</v>
      </c>
    </row>
    <row r="84" spans="1:11" ht="15.6" x14ac:dyDescent="0.3">
      <c r="A84" s="65"/>
      <c r="B84" s="61" t="s">
        <v>495</v>
      </c>
      <c r="C84" s="73"/>
      <c r="D84" s="74"/>
      <c r="E84" s="171">
        <v>0</v>
      </c>
      <c r="F84" s="87"/>
      <c r="G84" s="127"/>
      <c r="J84" s="438"/>
      <c r="K84" s="438">
        <f t="shared" si="14"/>
        <v>0</v>
      </c>
    </row>
    <row r="85" spans="1:11" ht="15.6" x14ac:dyDescent="0.3">
      <c r="A85" s="65">
        <f>A82+1</f>
        <v>62</v>
      </c>
      <c r="B85" s="66" t="s">
        <v>496</v>
      </c>
      <c r="C85" s="73" t="s">
        <v>193</v>
      </c>
      <c r="D85" s="70">
        <v>1109</v>
      </c>
      <c r="E85" s="171">
        <v>178.78050000000002</v>
      </c>
      <c r="F85" s="101">
        <f t="shared" ref="F85:F90" si="16">ROUND(E85*D85,2)</f>
        <v>198267.57</v>
      </c>
      <c r="G85" s="101">
        <f t="shared" ref="G85:G90" si="17">ROUND(F85*1.2,2)</f>
        <v>237921.08</v>
      </c>
      <c r="J85" s="438"/>
      <c r="K85" s="438">
        <f t="shared" si="14"/>
        <v>0</v>
      </c>
    </row>
    <row r="86" spans="1:11" ht="15.6" x14ac:dyDescent="0.3">
      <c r="A86" s="65">
        <f>A85+1</f>
        <v>63</v>
      </c>
      <c r="B86" s="66" t="s">
        <v>497</v>
      </c>
      <c r="C86" s="73" t="s">
        <v>193</v>
      </c>
      <c r="D86" s="70">
        <v>1109</v>
      </c>
      <c r="E86" s="171">
        <v>464.82929999999999</v>
      </c>
      <c r="F86" s="101">
        <f t="shared" si="16"/>
        <v>515495.69</v>
      </c>
      <c r="G86" s="101">
        <f t="shared" si="17"/>
        <v>618594.82999999996</v>
      </c>
      <c r="J86" s="438"/>
      <c r="K86" s="438">
        <f t="shared" si="14"/>
        <v>0</v>
      </c>
    </row>
    <row r="87" spans="1:11" ht="15.6" x14ac:dyDescent="0.3">
      <c r="A87" s="65">
        <f t="shared" ref="A87:A90" si="18">A86+1</f>
        <v>64</v>
      </c>
      <c r="B87" s="66" t="s">
        <v>446</v>
      </c>
      <c r="C87" s="73" t="s">
        <v>193</v>
      </c>
      <c r="D87" s="70">
        <v>1109</v>
      </c>
      <c r="E87" s="171">
        <v>71.512200000000007</v>
      </c>
      <c r="F87" s="101">
        <f t="shared" si="16"/>
        <v>79307.03</v>
      </c>
      <c r="G87" s="101">
        <f t="shared" si="17"/>
        <v>95168.44</v>
      </c>
      <c r="J87" s="438"/>
      <c r="K87" s="438">
        <f t="shared" si="14"/>
        <v>0</v>
      </c>
    </row>
    <row r="88" spans="1:11" ht="15.6" x14ac:dyDescent="0.3">
      <c r="A88" s="65">
        <f t="shared" si="18"/>
        <v>65</v>
      </c>
      <c r="B88" s="66" t="s">
        <v>498</v>
      </c>
      <c r="C88" s="73" t="s">
        <v>193</v>
      </c>
      <c r="D88" s="70">
        <v>1109</v>
      </c>
      <c r="E88" s="171">
        <v>464.82929999999999</v>
      </c>
      <c r="F88" s="101">
        <f t="shared" si="16"/>
        <v>515495.69</v>
      </c>
      <c r="G88" s="101">
        <f t="shared" si="17"/>
        <v>618594.82999999996</v>
      </c>
      <c r="J88" s="438"/>
      <c r="K88" s="438">
        <f t="shared" si="14"/>
        <v>0</v>
      </c>
    </row>
    <row r="89" spans="1:11" ht="27.6" x14ac:dyDescent="0.3">
      <c r="A89" s="65">
        <f t="shared" si="18"/>
        <v>66</v>
      </c>
      <c r="B89" s="66" t="s">
        <v>499</v>
      </c>
      <c r="C89" s="65" t="s">
        <v>239</v>
      </c>
      <c r="D89" s="71">
        <v>1752.2</v>
      </c>
      <c r="E89" s="171">
        <v>4948.6442400000005</v>
      </c>
      <c r="F89" s="101">
        <f t="shared" si="16"/>
        <v>8671014.4399999995</v>
      </c>
      <c r="G89" s="101">
        <f t="shared" si="17"/>
        <v>10405217.33</v>
      </c>
      <c r="J89" s="438"/>
      <c r="K89" s="438">
        <f t="shared" si="14"/>
        <v>0</v>
      </c>
    </row>
    <row r="90" spans="1:11" ht="15.6" x14ac:dyDescent="0.3">
      <c r="A90" s="65">
        <f t="shared" si="18"/>
        <v>67</v>
      </c>
      <c r="B90" s="66" t="s">
        <v>500</v>
      </c>
      <c r="C90" s="73" t="s">
        <v>431</v>
      </c>
      <c r="D90" s="70">
        <v>2637</v>
      </c>
      <c r="E90" s="171">
        <v>464.82929999999999</v>
      </c>
      <c r="F90" s="101">
        <f t="shared" si="16"/>
        <v>1225754.8600000001</v>
      </c>
      <c r="G90" s="101">
        <f t="shared" si="17"/>
        <v>1470905.83</v>
      </c>
      <c r="J90" s="438"/>
      <c r="K90" s="438">
        <f t="shared" si="14"/>
        <v>0</v>
      </c>
    </row>
    <row r="91" spans="1:11" ht="15.6" x14ac:dyDescent="0.3">
      <c r="A91" s="65"/>
      <c r="B91" s="61" t="s">
        <v>365</v>
      </c>
      <c r="C91" s="73"/>
      <c r="D91" s="74"/>
      <c r="E91" s="171">
        <v>0</v>
      </c>
      <c r="F91" s="87"/>
      <c r="G91" s="127"/>
      <c r="J91" s="438"/>
      <c r="K91" s="438">
        <f t="shared" si="14"/>
        <v>0</v>
      </c>
    </row>
    <row r="92" spans="1:11" ht="15.6" x14ac:dyDescent="0.3">
      <c r="A92" s="65">
        <f>A90+1</f>
        <v>68</v>
      </c>
      <c r="B92" s="66" t="s">
        <v>501</v>
      </c>
      <c r="C92" s="73" t="s">
        <v>193</v>
      </c>
      <c r="D92" s="67">
        <v>493.58</v>
      </c>
      <c r="E92" s="171">
        <v>464.82929999999999</v>
      </c>
      <c r="F92" s="101">
        <f t="shared" ref="F92:F99" si="19">ROUND(E92*D92,2)</f>
        <v>229430.45</v>
      </c>
      <c r="G92" s="101">
        <f t="shared" ref="G92:G99" si="20">ROUND(F92*1.2,2)</f>
        <v>275316.53999999998</v>
      </c>
      <c r="J92" s="438"/>
      <c r="K92" s="438">
        <f t="shared" si="14"/>
        <v>0</v>
      </c>
    </row>
    <row r="93" spans="1:11" ht="15.6" x14ac:dyDescent="0.3">
      <c r="A93" s="65">
        <f>A92+1</f>
        <v>69</v>
      </c>
      <c r="B93" s="66" t="s">
        <v>502</v>
      </c>
      <c r="C93" s="73" t="s">
        <v>193</v>
      </c>
      <c r="D93" s="70">
        <v>493</v>
      </c>
      <c r="E93" s="171">
        <v>464.82929999999999</v>
      </c>
      <c r="F93" s="101">
        <f t="shared" si="19"/>
        <v>229160.84</v>
      </c>
      <c r="G93" s="101">
        <f t="shared" si="20"/>
        <v>274993.01</v>
      </c>
      <c r="J93" s="438"/>
      <c r="K93" s="438">
        <f t="shared" si="14"/>
        <v>0</v>
      </c>
    </row>
    <row r="94" spans="1:11" ht="15.6" x14ac:dyDescent="0.3">
      <c r="A94" s="453">
        <f t="shared" ref="A94:A99" si="21">A93+1</f>
        <v>70</v>
      </c>
      <c r="B94" s="66" t="s">
        <v>503</v>
      </c>
      <c r="C94" s="73" t="s">
        <v>239</v>
      </c>
      <c r="D94" s="70">
        <v>780</v>
      </c>
      <c r="E94" s="171">
        <f>'искл-свод'!B2</f>
        <v>1361.6</v>
      </c>
      <c r="F94" s="101">
        <f t="shared" si="19"/>
        <v>1062048</v>
      </c>
      <c r="G94" s="101">
        <f t="shared" si="20"/>
        <v>1274457.6000000001</v>
      </c>
      <c r="J94" s="438"/>
      <c r="K94" s="438">
        <f t="shared" si="14"/>
        <v>0</v>
      </c>
    </row>
    <row r="95" spans="1:11" ht="15.6" x14ac:dyDescent="0.3">
      <c r="A95" s="65">
        <f t="shared" si="21"/>
        <v>71</v>
      </c>
      <c r="B95" s="66" t="s">
        <v>504</v>
      </c>
      <c r="C95" s="73" t="s">
        <v>193</v>
      </c>
      <c r="D95" s="70">
        <v>281</v>
      </c>
      <c r="E95" s="171">
        <v>1589.001084</v>
      </c>
      <c r="F95" s="101">
        <f t="shared" si="19"/>
        <v>446509.3</v>
      </c>
      <c r="G95" s="101">
        <f t="shared" si="20"/>
        <v>535811.16</v>
      </c>
      <c r="J95" s="438"/>
      <c r="K95" s="438">
        <f t="shared" si="14"/>
        <v>0</v>
      </c>
    </row>
    <row r="96" spans="1:11" ht="15.6" x14ac:dyDescent="0.3">
      <c r="A96" s="65">
        <f t="shared" si="21"/>
        <v>72</v>
      </c>
      <c r="B96" s="66" t="s">
        <v>505</v>
      </c>
      <c r="C96" s="73" t="s">
        <v>193</v>
      </c>
      <c r="D96" s="71">
        <v>141.69999999999999</v>
      </c>
      <c r="E96" s="171">
        <v>2508.6479759999997</v>
      </c>
      <c r="F96" s="101">
        <f t="shared" si="19"/>
        <v>355475.42</v>
      </c>
      <c r="G96" s="101">
        <f t="shared" si="20"/>
        <v>426570.5</v>
      </c>
      <c r="J96" s="438"/>
      <c r="K96" s="438">
        <f t="shared" si="14"/>
        <v>0</v>
      </c>
    </row>
    <row r="97" spans="1:11" ht="27.6" x14ac:dyDescent="0.3">
      <c r="A97" s="65">
        <f t="shared" si="21"/>
        <v>73</v>
      </c>
      <c r="B97" s="66" t="s">
        <v>506</v>
      </c>
      <c r="C97" s="73" t="s">
        <v>193</v>
      </c>
      <c r="D97" s="71">
        <v>71.5</v>
      </c>
      <c r="E97" s="171">
        <v>2508.6479759999997</v>
      </c>
      <c r="F97" s="101">
        <f t="shared" si="19"/>
        <v>179368.33</v>
      </c>
      <c r="G97" s="101">
        <f t="shared" si="20"/>
        <v>215242</v>
      </c>
      <c r="J97" s="438"/>
      <c r="K97" s="438">
        <f t="shared" si="14"/>
        <v>0</v>
      </c>
    </row>
    <row r="98" spans="1:11" ht="15.6" x14ac:dyDescent="0.3">
      <c r="A98" s="65">
        <f t="shared" si="21"/>
        <v>74</v>
      </c>
      <c r="B98" s="66" t="s">
        <v>507</v>
      </c>
      <c r="C98" s="73" t="s">
        <v>239</v>
      </c>
      <c r="D98" s="71">
        <v>1.4</v>
      </c>
      <c r="E98" s="171">
        <v>2651.6723759999995</v>
      </c>
      <c r="F98" s="101">
        <f t="shared" si="19"/>
        <v>3712.34</v>
      </c>
      <c r="G98" s="101">
        <f t="shared" si="20"/>
        <v>4454.8100000000004</v>
      </c>
      <c r="J98" s="438"/>
      <c r="K98" s="438">
        <f t="shared" si="14"/>
        <v>0</v>
      </c>
    </row>
    <row r="99" spans="1:11" ht="15.6" x14ac:dyDescent="0.3">
      <c r="A99" s="65">
        <f t="shared" si="21"/>
        <v>75</v>
      </c>
      <c r="B99" s="66" t="s">
        <v>508</v>
      </c>
      <c r="C99" s="73" t="s">
        <v>431</v>
      </c>
      <c r="D99" s="70">
        <v>851</v>
      </c>
      <c r="E99" s="171">
        <v>1630.4781600000001</v>
      </c>
      <c r="F99" s="101">
        <f t="shared" si="19"/>
        <v>1387536.91</v>
      </c>
      <c r="G99" s="101">
        <f t="shared" si="20"/>
        <v>1665044.29</v>
      </c>
      <c r="J99" s="438"/>
      <c r="K99" s="438">
        <f t="shared" si="14"/>
        <v>0</v>
      </c>
    </row>
    <row r="100" spans="1:11" ht="15.6" x14ac:dyDescent="0.3">
      <c r="A100" s="285"/>
      <c r="B100" s="302" t="s">
        <v>927</v>
      </c>
      <c r="C100" s="292"/>
      <c r="D100" s="298"/>
      <c r="E100" s="171">
        <v>0</v>
      </c>
      <c r="F100" s="288"/>
      <c r="G100" s="288"/>
      <c r="J100" s="438"/>
      <c r="K100" s="438">
        <f t="shared" si="14"/>
        <v>0</v>
      </c>
    </row>
    <row r="101" spans="1:11" ht="27.6" x14ac:dyDescent="0.3">
      <c r="A101" s="285">
        <f>A99+1</f>
        <v>76</v>
      </c>
      <c r="B101" s="314" t="s">
        <v>928</v>
      </c>
      <c r="C101" s="285" t="s">
        <v>220</v>
      </c>
      <c r="D101" s="298">
        <v>3</v>
      </c>
      <c r="E101" s="171">
        <v>4917.1788720000004</v>
      </c>
      <c r="F101" s="288">
        <f>ROUND(E101*D101,2)</f>
        <v>14751.54</v>
      </c>
      <c r="G101" s="288">
        <f t="shared" ref="G101:G102" si="22">ROUND(F101*1.2,2)</f>
        <v>17701.849999999999</v>
      </c>
      <c r="J101" s="438"/>
      <c r="K101" s="438">
        <f t="shared" si="14"/>
        <v>0</v>
      </c>
    </row>
    <row r="102" spans="1:11" ht="15.6" x14ac:dyDescent="0.3">
      <c r="A102" s="285">
        <f>A101+1</f>
        <v>77</v>
      </c>
      <c r="B102" s="314" t="s">
        <v>929</v>
      </c>
      <c r="C102" s="285" t="s">
        <v>220</v>
      </c>
      <c r="D102" s="298">
        <v>3</v>
      </c>
      <c r="E102" s="171">
        <v>2972.0470319999999</v>
      </c>
      <c r="F102" s="288">
        <f>ROUND(E102*D102,2)</f>
        <v>8916.14</v>
      </c>
      <c r="G102" s="288">
        <f t="shared" si="22"/>
        <v>10699.37</v>
      </c>
      <c r="J102" s="438"/>
      <c r="K102" s="438">
        <f t="shared" si="14"/>
        <v>0</v>
      </c>
    </row>
    <row r="103" spans="1:11" ht="15.6" x14ac:dyDescent="0.3">
      <c r="A103" s="65"/>
      <c r="B103" s="61" t="s">
        <v>371</v>
      </c>
      <c r="C103" s="73"/>
      <c r="D103" s="70"/>
      <c r="E103" s="171">
        <v>0</v>
      </c>
      <c r="F103" s="87"/>
      <c r="G103" s="127"/>
      <c r="J103" s="438"/>
      <c r="K103" s="438">
        <f t="shared" si="14"/>
        <v>0</v>
      </c>
    </row>
    <row r="104" spans="1:11" ht="15.6" x14ac:dyDescent="0.3">
      <c r="A104" s="65">
        <f>A102+1</f>
        <v>78</v>
      </c>
      <c r="B104" s="66" t="s">
        <v>509</v>
      </c>
      <c r="C104" s="73" t="s">
        <v>431</v>
      </c>
      <c r="D104" s="70">
        <v>454</v>
      </c>
      <c r="E104" s="171">
        <v>464.82929999999999</v>
      </c>
      <c r="F104" s="101">
        <f>ROUND(E104*D104,2)</f>
        <v>211032.5</v>
      </c>
      <c r="G104" s="101">
        <f t="shared" ref="G104:G106" si="23">ROUND(F104*1.2,2)</f>
        <v>253239</v>
      </c>
      <c r="J104" s="438"/>
      <c r="K104" s="438">
        <f t="shared" si="14"/>
        <v>0</v>
      </c>
    </row>
    <row r="105" spans="1:11" ht="27.6" x14ac:dyDescent="0.3">
      <c r="A105" s="65">
        <f>A104+1</f>
        <v>79</v>
      </c>
      <c r="B105" s="66" t="s">
        <v>510</v>
      </c>
      <c r="C105" s="73" t="s">
        <v>431</v>
      </c>
      <c r="D105" s="70">
        <v>454</v>
      </c>
      <c r="E105" s="171">
        <v>785.20395599999995</v>
      </c>
      <c r="F105" s="101">
        <f>ROUND(E105*D105,2)</f>
        <v>356482.6</v>
      </c>
      <c r="G105" s="101">
        <f t="shared" si="23"/>
        <v>427779.12</v>
      </c>
      <c r="J105" s="438"/>
      <c r="K105" s="438">
        <f t="shared" si="14"/>
        <v>0</v>
      </c>
    </row>
    <row r="106" spans="1:11" ht="15.6" x14ac:dyDescent="0.3">
      <c r="A106" s="65">
        <f>A105+1</f>
        <v>80</v>
      </c>
      <c r="B106" s="66" t="s">
        <v>511</v>
      </c>
      <c r="C106" s="73" t="s">
        <v>431</v>
      </c>
      <c r="D106" s="70">
        <v>454</v>
      </c>
      <c r="E106" s="171">
        <v>157.32684</v>
      </c>
      <c r="F106" s="101">
        <f>ROUND(E106*D106,2)</f>
        <v>71426.39</v>
      </c>
      <c r="G106" s="101">
        <f t="shared" si="23"/>
        <v>85711.67</v>
      </c>
      <c r="J106" s="438"/>
      <c r="K106" s="438">
        <f t="shared" si="14"/>
        <v>0</v>
      </c>
    </row>
    <row r="107" spans="1:11" ht="22.5" customHeight="1" x14ac:dyDescent="0.3">
      <c r="A107" s="173"/>
      <c r="B107" s="537" t="s">
        <v>375</v>
      </c>
      <c r="C107" s="538"/>
      <c r="D107" s="538"/>
      <c r="E107" s="185"/>
      <c r="F107" s="185"/>
      <c r="G107" s="339"/>
      <c r="J107" s="438"/>
      <c r="K107" s="438">
        <f t="shared" si="14"/>
        <v>0</v>
      </c>
    </row>
    <row r="108" spans="1:11" ht="15.6" x14ac:dyDescent="0.3">
      <c r="A108" s="65"/>
      <c r="B108" s="61" t="s">
        <v>512</v>
      </c>
      <c r="C108" s="73"/>
      <c r="D108" s="70"/>
      <c r="E108" s="171">
        <v>0</v>
      </c>
      <c r="F108" s="87"/>
      <c r="G108" s="127"/>
      <c r="J108" s="438"/>
      <c r="K108" s="438">
        <f t="shared" si="14"/>
        <v>0</v>
      </c>
    </row>
    <row r="109" spans="1:11" ht="15.6" x14ac:dyDescent="0.3">
      <c r="A109" s="65"/>
      <c r="B109" s="61" t="s">
        <v>513</v>
      </c>
      <c r="C109" s="73"/>
      <c r="D109" s="70"/>
      <c r="E109" s="171">
        <v>0</v>
      </c>
      <c r="F109" s="87"/>
      <c r="G109" s="127"/>
      <c r="J109" s="438"/>
      <c r="K109" s="438">
        <f t="shared" si="14"/>
        <v>0</v>
      </c>
    </row>
    <row r="110" spans="1:11" ht="15.6" x14ac:dyDescent="0.3">
      <c r="A110" s="65">
        <f>A106+1</f>
        <v>81</v>
      </c>
      <c r="B110" s="66" t="s">
        <v>514</v>
      </c>
      <c r="C110" s="65" t="s">
        <v>193</v>
      </c>
      <c r="D110" s="70">
        <f>60+168</f>
        <v>228</v>
      </c>
      <c r="E110" s="171">
        <v>464.82929999999999</v>
      </c>
      <c r="F110" s="101">
        <f t="shared" ref="F110:F116" si="24">ROUND(E110*D110,2)</f>
        <v>105981.08</v>
      </c>
      <c r="G110" s="101">
        <f t="shared" ref="G110:G116" si="25">ROUND(F110*1.2,2)</f>
        <v>127177.3</v>
      </c>
      <c r="J110" s="438"/>
      <c r="K110" s="438">
        <f t="shared" si="14"/>
        <v>0</v>
      </c>
    </row>
    <row r="111" spans="1:11" ht="15.6" x14ac:dyDescent="0.3">
      <c r="A111" s="65">
        <f>A110+1</f>
        <v>82</v>
      </c>
      <c r="B111" s="66" t="s">
        <v>487</v>
      </c>
      <c r="C111" s="65" t="s">
        <v>193</v>
      </c>
      <c r="D111" s="70">
        <v>182</v>
      </c>
      <c r="E111" s="171">
        <v>2541.5435879999995</v>
      </c>
      <c r="F111" s="101">
        <f t="shared" si="24"/>
        <v>462560.93</v>
      </c>
      <c r="G111" s="101">
        <f t="shared" si="25"/>
        <v>555073.12</v>
      </c>
      <c r="J111" s="438"/>
      <c r="K111" s="438">
        <f t="shared" si="14"/>
        <v>0</v>
      </c>
    </row>
    <row r="112" spans="1:11" ht="15.6" x14ac:dyDescent="0.3">
      <c r="A112" s="65">
        <f t="shared" ref="A112:A116" si="26">A111+1</f>
        <v>83</v>
      </c>
      <c r="B112" s="66" t="s">
        <v>515</v>
      </c>
      <c r="C112" s="65" t="s">
        <v>193</v>
      </c>
      <c r="D112" s="70">
        <v>2</v>
      </c>
      <c r="E112" s="171">
        <v>2541.5435879999995</v>
      </c>
      <c r="F112" s="101">
        <f t="shared" si="24"/>
        <v>5083.09</v>
      </c>
      <c r="G112" s="101">
        <f t="shared" si="25"/>
        <v>6099.71</v>
      </c>
      <c r="J112" s="438"/>
      <c r="K112" s="438">
        <f t="shared" si="14"/>
        <v>0</v>
      </c>
    </row>
    <row r="113" spans="1:11" ht="15.6" x14ac:dyDescent="0.3">
      <c r="A113" s="65">
        <f t="shared" si="26"/>
        <v>84</v>
      </c>
      <c r="B113" s="66" t="s">
        <v>516</v>
      </c>
      <c r="C113" s="65" t="s">
        <v>193</v>
      </c>
      <c r="D113" s="70">
        <v>360</v>
      </c>
      <c r="E113" s="171">
        <v>178.78050000000002</v>
      </c>
      <c r="F113" s="101">
        <f t="shared" si="24"/>
        <v>64360.98</v>
      </c>
      <c r="G113" s="101">
        <f t="shared" si="25"/>
        <v>77233.179999999993</v>
      </c>
      <c r="J113" s="438"/>
      <c r="K113" s="438">
        <f t="shared" si="14"/>
        <v>0</v>
      </c>
    </row>
    <row r="114" spans="1:11" ht="15.6" x14ac:dyDescent="0.3">
      <c r="A114" s="65">
        <f t="shared" si="26"/>
        <v>85</v>
      </c>
      <c r="B114" s="66" t="s">
        <v>517</v>
      </c>
      <c r="C114" s="65" t="s">
        <v>193</v>
      </c>
      <c r="D114" s="70">
        <v>28</v>
      </c>
      <c r="E114" s="171">
        <v>1285.789356</v>
      </c>
      <c r="F114" s="101">
        <f t="shared" si="24"/>
        <v>36002.1</v>
      </c>
      <c r="G114" s="101">
        <f t="shared" si="25"/>
        <v>43202.52</v>
      </c>
      <c r="J114" s="438"/>
      <c r="K114" s="438">
        <f t="shared" si="14"/>
        <v>0</v>
      </c>
    </row>
    <row r="115" spans="1:11" ht="15.6" x14ac:dyDescent="0.3">
      <c r="A115" s="65">
        <f t="shared" si="26"/>
        <v>86</v>
      </c>
      <c r="B115" s="66" t="s">
        <v>518</v>
      </c>
      <c r="C115" s="65" t="s">
        <v>239</v>
      </c>
      <c r="D115" s="71">
        <v>52.8</v>
      </c>
      <c r="E115" s="171">
        <v>464.82929999999999</v>
      </c>
      <c r="F115" s="101">
        <f t="shared" si="24"/>
        <v>24542.99</v>
      </c>
      <c r="G115" s="101">
        <f t="shared" si="25"/>
        <v>29451.59</v>
      </c>
      <c r="J115" s="438"/>
      <c r="K115" s="438">
        <f t="shared" si="14"/>
        <v>0</v>
      </c>
    </row>
    <row r="116" spans="1:11" ht="15.6" x14ac:dyDescent="0.3">
      <c r="A116" s="453">
        <f t="shared" si="26"/>
        <v>87</v>
      </c>
      <c r="B116" s="66" t="s">
        <v>503</v>
      </c>
      <c r="C116" s="65" t="s">
        <v>239</v>
      </c>
      <c r="D116" s="71">
        <v>52.8</v>
      </c>
      <c r="E116" s="171">
        <f>'искл-свод'!B2</f>
        <v>1361.6</v>
      </c>
      <c r="F116" s="101">
        <f t="shared" si="24"/>
        <v>71892.479999999996</v>
      </c>
      <c r="G116" s="101">
        <f t="shared" si="25"/>
        <v>86270.98</v>
      </c>
      <c r="J116" s="438"/>
      <c r="K116" s="438">
        <f t="shared" si="14"/>
        <v>0</v>
      </c>
    </row>
    <row r="117" spans="1:11" ht="15.6" x14ac:dyDescent="0.3">
      <c r="A117" s="65"/>
      <c r="B117" s="61" t="s">
        <v>519</v>
      </c>
      <c r="C117" s="65"/>
      <c r="D117" s="71"/>
      <c r="E117" s="171">
        <v>0</v>
      </c>
      <c r="F117" s="87"/>
      <c r="G117" s="127"/>
      <c r="J117" s="438"/>
      <c r="K117" s="438">
        <f t="shared" si="14"/>
        <v>0</v>
      </c>
    </row>
    <row r="118" spans="1:11" ht="15.6" x14ac:dyDescent="0.3">
      <c r="A118" s="65">
        <f>A116+1</f>
        <v>88</v>
      </c>
      <c r="B118" s="66" t="s">
        <v>520</v>
      </c>
      <c r="C118" s="65" t="s">
        <v>193</v>
      </c>
      <c r="D118" s="71">
        <v>0.8</v>
      </c>
      <c r="E118" s="171">
        <v>2033.8069679999999</v>
      </c>
      <c r="F118" s="101">
        <f>ROUND(E118*D118,2)</f>
        <v>1627.05</v>
      </c>
      <c r="G118" s="101">
        <f t="shared" ref="G118:G120" si="27">ROUND(F118*1.2,2)</f>
        <v>1952.46</v>
      </c>
      <c r="J118" s="438"/>
      <c r="K118" s="438">
        <f t="shared" si="14"/>
        <v>0</v>
      </c>
    </row>
    <row r="119" spans="1:11" ht="15.6" x14ac:dyDescent="0.3">
      <c r="A119" s="65">
        <f>A118+1</f>
        <v>89</v>
      </c>
      <c r="B119" s="66" t="s">
        <v>521</v>
      </c>
      <c r="C119" s="65" t="s">
        <v>193</v>
      </c>
      <c r="D119" s="70">
        <v>3</v>
      </c>
      <c r="E119" s="171">
        <v>1973.7367200000001</v>
      </c>
      <c r="F119" s="101">
        <f>ROUND(E119*D119,2)</f>
        <v>5921.21</v>
      </c>
      <c r="G119" s="101">
        <f t="shared" si="27"/>
        <v>7105.45</v>
      </c>
      <c r="J119" s="438"/>
      <c r="K119" s="438">
        <f t="shared" si="14"/>
        <v>0</v>
      </c>
    </row>
    <row r="120" spans="1:11" ht="15.6" x14ac:dyDescent="0.3">
      <c r="A120" s="65">
        <f>A119+1</f>
        <v>90</v>
      </c>
      <c r="B120" s="66" t="s">
        <v>522</v>
      </c>
      <c r="C120" s="65" t="s">
        <v>193</v>
      </c>
      <c r="D120" s="70">
        <v>9</v>
      </c>
      <c r="E120" s="171">
        <v>1973.7367200000001</v>
      </c>
      <c r="F120" s="101">
        <f>ROUND(E120*D120,2)</f>
        <v>17763.63</v>
      </c>
      <c r="G120" s="101">
        <f t="shared" si="27"/>
        <v>21316.36</v>
      </c>
      <c r="J120" s="438"/>
      <c r="K120" s="438">
        <f t="shared" si="14"/>
        <v>0</v>
      </c>
    </row>
    <row r="121" spans="1:11" ht="15.6" x14ac:dyDescent="0.3">
      <c r="A121" s="65"/>
      <c r="B121" s="61" t="s">
        <v>523</v>
      </c>
      <c r="C121" s="65"/>
      <c r="D121" s="70"/>
      <c r="E121" s="171">
        <v>0</v>
      </c>
      <c r="F121" s="87"/>
      <c r="G121" s="127"/>
      <c r="J121" s="438"/>
      <c r="K121" s="438">
        <f t="shared" si="14"/>
        <v>0</v>
      </c>
    </row>
    <row r="122" spans="1:11" ht="27.6" x14ac:dyDescent="0.3">
      <c r="A122" s="65">
        <f>A120+1</f>
        <v>91</v>
      </c>
      <c r="B122" s="66" t="s">
        <v>524</v>
      </c>
      <c r="C122" s="65" t="s">
        <v>194</v>
      </c>
      <c r="D122" s="70">
        <v>29</v>
      </c>
      <c r="E122" s="171">
        <v>770.9015159999999</v>
      </c>
      <c r="F122" s="101">
        <f>ROUND(E122*D122,2)</f>
        <v>22356.14</v>
      </c>
      <c r="G122" s="101">
        <f t="shared" ref="G122" si="28">ROUND(F122*1.2,2)</f>
        <v>26827.37</v>
      </c>
      <c r="J122" s="438"/>
      <c r="K122" s="438">
        <f t="shared" si="14"/>
        <v>0</v>
      </c>
    </row>
    <row r="123" spans="1:11" ht="15.6" x14ac:dyDescent="0.3">
      <c r="A123" s="65"/>
      <c r="B123" s="61" t="s">
        <v>525</v>
      </c>
      <c r="C123" s="65"/>
      <c r="D123" s="70"/>
      <c r="E123" s="171">
        <v>0</v>
      </c>
      <c r="F123" s="87"/>
      <c r="G123" s="127"/>
      <c r="J123" s="438"/>
      <c r="K123" s="438">
        <f t="shared" si="14"/>
        <v>0</v>
      </c>
    </row>
    <row r="124" spans="1:11" ht="27.6" x14ac:dyDescent="0.3">
      <c r="A124" s="65">
        <f>A122+1</f>
        <v>92</v>
      </c>
      <c r="B124" s="66" t="s">
        <v>526</v>
      </c>
      <c r="C124" s="65" t="s">
        <v>193</v>
      </c>
      <c r="D124" s="67">
        <v>3.24</v>
      </c>
      <c r="E124" s="171">
        <v>25993.254456000002</v>
      </c>
      <c r="F124" s="101">
        <f>ROUND(E124*D124,2)</f>
        <v>84218.14</v>
      </c>
      <c r="G124" s="101">
        <f t="shared" ref="G124:G126" si="29">ROUND(F124*1.2,2)</f>
        <v>101061.77</v>
      </c>
      <c r="J124" s="438"/>
      <c r="K124" s="438">
        <f t="shared" si="14"/>
        <v>0</v>
      </c>
    </row>
    <row r="125" spans="1:11" ht="15.6" x14ac:dyDescent="0.3">
      <c r="A125" s="65">
        <f>A124+1</f>
        <v>93</v>
      </c>
      <c r="B125" s="66" t="s">
        <v>527</v>
      </c>
      <c r="C125" s="65" t="s">
        <v>193</v>
      </c>
      <c r="D125" s="71">
        <v>3.5</v>
      </c>
      <c r="E125" s="171">
        <v>36150.847343999994</v>
      </c>
      <c r="F125" s="101">
        <f>ROUND(E125*D125,2)</f>
        <v>126527.97</v>
      </c>
      <c r="G125" s="101">
        <f t="shared" si="29"/>
        <v>151833.56</v>
      </c>
      <c r="J125" s="438"/>
      <c r="K125" s="438">
        <f t="shared" si="14"/>
        <v>0</v>
      </c>
    </row>
    <row r="126" spans="1:11" ht="15.6" x14ac:dyDescent="0.3">
      <c r="A126" s="65">
        <f>A125+1</f>
        <v>94</v>
      </c>
      <c r="B126" s="66" t="s">
        <v>528</v>
      </c>
      <c r="C126" s="65" t="s">
        <v>239</v>
      </c>
      <c r="D126" s="76">
        <v>7.4999999999999997E-3</v>
      </c>
      <c r="E126" s="171">
        <v>99795.275100000013</v>
      </c>
      <c r="F126" s="101">
        <f>ROUND(E126*D126,2)</f>
        <v>748.46</v>
      </c>
      <c r="G126" s="101">
        <f t="shared" si="29"/>
        <v>898.15</v>
      </c>
      <c r="J126" s="438"/>
      <c r="K126" s="438">
        <f t="shared" si="14"/>
        <v>0</v>
      </c>
    </row>
    <row r="127" spans="1:11" s="209" customFormat="1" ht="27.6" x14ac:dyDescent="0.3">
      <c r="A127" s="429"/>
      <c r="B127" s="430" t="s">
        <v>529</v>
      </c>
      <c r="C127" s="429"/>
      <c r="D127" s="248"/>
      <c r="E127" s="431">
        <v>0</v>
      </c>
      <c r="F127" s="432"/>
      <c r="G127" s="433"/>
      <c r="H127" s="270"/>
      <c r="J127" s="439"/>
      <c r="K127" s="439">
        <f t="shared" si="14"/>
        <v>0</v>
      </c>
    </row>
    <row r="128" spans="1:11" s="209" customFormat="1" ht="15.6" x14ac:dyDescent="0.3">
      <c r="A128" s="429">
        <f>A126+1</f>
        <v>95</v>
      </c>
      <c r="B128" s="208" t="s">
        <v>514</v>
      </c>
      <c r="C128" s="429" t="s">
        <v>193</v>
      </c>
      <c r="D128" s="248">
        <v>332</v>
      </c>
      <c r="E128" s="431">
        <v>464.82929999999999</v>
      </c>
      <c r="F128" s="434">
        <f t="shared" ref="F128:F136" si="30">ROUND(E128*D128,2)</f>
        <v>154323.32999999999</v>
      </c>
      <c r="G128" s="434">
        <f t="shared" ref="G128:G136" si="31">ROUND(F128*1.2,2)</f>
        <v>185188</v>
      </c>
      <c r="H128" s="270"/>
      <c r="J128" s="439">
        <f>D128</f>
        <v>332</v>
      </c>
      <c r="K128" s="439">
        <f t="shared" si="14"/>
        <v>185187.99311999997</v>
      </c>
    </row>
    <row r="129" spans="1:11" s="209" customFormat="1" ht="15.6" x14ac:dyDescent="0.3">
      <c r="A129" s="429">
        <f>A128+1</f>
        <v>96</v>
      </c>
      <c r="B129" s="208" t="s">
        <v>487</v>
      </c>
      <c r="C129" s="429" t="s">
        <v>193</v>
      </c>
      <c r="D129" s="248">
        <v>10</v>
      </c>
      <c r="E129" s="431">
        <v>2541.5435879999995</v>
      </c>
      <c r="F129" s="434">
        <f t="shared" si="30"/>
        <v>25415.439999999999</v>
      </c>
      <c r="G129" s="434">
        <f t="shared" si="31"/>
        <v>30498.53</v>
      </c>
      <c r="H129" s="270"/>
      <c r="J129" s="439">
        <f t="shared" ref="J129:J136" si="32">D129</f>
        <v>10</v>
      </c>
      <c r="K129" s="439">
        <f t="shared" si="14"/>
        <v>30498.523055999995</v>
      </c>
    </row>
    <row r="130" spans="1:11" s="209" customFormat="1" ht="15.6" x14ac:dyDescent="0.3">
      <c r="A130" s="429">
        <f t="shared" ref="A130:A136" si="33">A129+1</f>
        <v>97</v>
      </c>
      <c r="B130" s="208" t="s">
        <v>530</v>
      </c>
      <c r="C130" s="429" t="s">
        <v>194</v>
      </c>
      <c r="D130" s="248">
        <v>27</v>
      </c>
      <c r="E130" s="431">
        <v>6988.172184</v>
      </c>
      <c r="F130" s="434">
        <f t="shared" si="30"/>
        <v>188680.65</v>
      </c>
      <c r="G130" s="434">
        <f t="shared" si="31"/>
        <v>226416.78</v>
      </c>
      <c r="H130" s="270"/>
      <c r="J130" s="439">
        <f t="shared" si="32"/>
        <v>27</v>
      </c>
      <c r="K130" s="439">
        <f t="shared" si="14"/>
        <v>226416.7787616</v>
      </c>
    </row>
    <row r="131" spans="1:11" s="209" customFormat="1" ht="27.6" x14ac:dyDescent="0.3">
      <c r="A131" s="429">
        <f t="shared" si="33"/>
        <v>98</v>
      </c>
      <c r="B131" s="208" t="s">
        <v>531</v>
      </c>
      <c r="C131" s="429" t="s">
        <v>194</v>
      </c>
      <c r="D131" s="248">
        <v>27</v>
      </c>
      <c r="E131" s="431">
        <v>592.12101599999994</v>
      </c>
      <c r="F131" s="434">
        <f t="shared" si="30"/>
        <v>15987.27</v>
      </c>
      <c r="G131" s="434">
        <f t="shared" si="31"/>
        <v>19184.72</v>
      </c>
      <c r="H131" s="270"/>
      <c r="J131" s="439">
        <f t="shared" si="32"/>
        <v>27</v>
      </c>
      <c r="K131" s="439">
        <f t="shared" si="14"/>
        <v>19184.720918399998</v>
      </c>
    </row>
    <row r="132" spans="1:11" s="209" customFormat="1" ht="15.6" x14ac:dyDescent="0.3">
      <c r="A132" s="429">
        <f t="shared" si="33"/>
        <v>99</v>
      </c>
      <c r="B132" s="208" t="s">
        <v>532</v>
      </c>
      <c r="C132" s="429" t="s">
        <v>194</v>
      </c>
      <c r="D132" s="248">
        <v>27</v>
      </c>
      <c r="E132" s="431">
        <v>5296.1935320000002</v>
      </c>
      <c r="F132" s="434">
        <f t="shared" si="30"/>
        <v>142997.23000000001</v>
      </c>
      <c r="G132" s="434">
        <f t="shared" si="31"/>
        <v>171596.68</v>
      </c>
      <c r="H132" s="270"/>
      <c r="J132" s="439">
        <f t="shared" si="32"/>
        <v>27</v>
      </c>
      <c r="K132" s="439">
        <f t="shared" si="14"/>
        <v>171596.67043680002</v>
      </c>
    </row>
    <row r="133" spans="1:11" s="209" customFormat="1" ht="15.6" x14ac:dyDescent="0.3">
      <c r="A133" s="429">
        <f t="shared" si="33"/>
        <v>100</v>
      </c>
      <c r="B133" s="208" t="s">
        <v>516</v>
      </c>
      <c r="C133" s="429" t="s">
        <v>193</v>
      </c>
      <c r="D133" s="248">
        <v>321</v>
      </c>
      <c r="E133" s="431">
        <v>178.78050000000002</v>
      </c>
      <c r="F133" s="434">
        <f t="shared" si="30"/>
        <v>57388.54</v>
      </c>
      <c r="G133" s="434">
        <f t="shared" si="31"/>
        <v>68866.25</v>
      </c>
      <c r="H133" s="270"/>
      <c r="J133" s="439">
        <f t="shared" si="32"/>
        <v>321</v>
      </c>
      <c r="K133" s="439">
        <f t="shared" si="14"/>
        <v>68866.248600000006</v>
      </c>
    </row>
    <row r="134" spans="1:11" s="209" customFormat="1" ht="15.6" x14ac:dyDescent="0.3">
      <c r="A134" s="429">
        <f t="shared" si="33"/>
        <v>101</v>
      </c>
      <c r="B134" s="208" t="s">
        <v>517</v>
      </c>
      <c r="C134" s="429" t="s">
        <v>193</v>
      </c>
      <c r="D134" s="248">
        <v>17</v>
      </c>
      <c r="E134" s="431">
        <v>1285.789356</v>
      </c>
      <c r="F134" s="434">
        <f t="shared" si="30"/>
        <v>21858.42</v>
      </c>
      <c r="G134" s="434">
        <f t="shared" si="31"/>
        <v>26230.1</v>
      </c>
      <c r="H134" s="270"/>
      <c r="J134" s="439">
        <f t="shared" si="32"/>
        <v>17</v>
      </c>
      <c r="K134" s="439">
        <f t="shared" ref="K134:K197" si="34">E134*J134*1.2</f>
        <v>26230.102862399999</v>
      </c>
    </row>
    <row r="135" spans="1:11" s="209" customFormat="1" ht="15.6" x14ac:dyDescent="0.3">
      <c r="A135" s="429">
        <f t="shared" si="33"/>
        <v>102</v>
      </c>
      <c r="B135" s="208" t="s">
        <v>518</v>
      </c>
      <c r="C135" s="429" t="s">
        <v>239</v>
      </c>
      <c r="D135" s="435">
        <v>6.4</v>
      </c>
      <c r="E135" s="431">
        <v>464.82929999999999</v>
      </c>
      <c r="F135" s="434">
        <f t="shared" si="30"/>
        <v>2974.91</v>
      </c>
      <c r="G135" s="434">
        <f t="shared" si="31"/>
        <v>3569.89</v>
      </c>
      <c r="H135" s="270"/>
      <c r="J135" s="439">
        <f t="shared" si="32"/>
        <v>6.4</v>
      </c>
      <c r="K135" s="439">
        <f t="shared" si="34"/>
        <v>3569.8890240000001</v>
      </c>
    </row>
    <row r="136" spans="1:11" s="209" customFormat="1" ht="15.6" x14ac:dyDescent="0.3">
      <c r="A136" s="454">
        <f t="shared" si="33"/>
        <v>103</v>
      </c>
      <c r="B136" s="208" t="s">
        <v>503</v>
      </c>
      <c r="C136" s="429" t="s">
        <v>239</v>
      </c>
      <c r="D136" s="435">
        <v>6.4</v>
      </c>
      <c r="E136" s="171">
        <f>'искл-свод'!B2</f>
        <v>1361.6</v>
      </c>
      <c r="F136" s="434">
        <f t="shared" si="30"/>
        <v>8714.24</v>
      </c>
      <c r="G136" s="434">
        <f t="shared" si="31"/>
        <v>10457.09</v>
      </c>
      <c r="H136" s="270"/>
      <c r="J136" s="439">
        <f t="shared" si="32"/>
        <v>6.4</v>
      </c>
      <c r="K136" s="439">
        <f t="shared" si="34"/>
        <v>10457.088</v>
      </c>
    </row>
    <row r="137" spans="1:11" ht="21" customHeight="1" x14ac:dyDescent="0.3">
      <c r="A137" s="173"/>
      <c r="B137" s="537" t="s">
        <v>399</v>
      </c>
      <c r="C137" s="538"/>
      <c r="D137" s="538"/>
      <c r="E137" s="185"/>
      <c r="F137" s="185"/>
      <c r="G137" s="339"/>
      <c r="J137" s="438"/>
      <c r="K137" s="438">
        <f t="shared" si="34"/>
        <v>0</v>
      </c>
    </row>
    <row r="138" spans="1:11" ht="15.6" x14ac:dyDescent="0.3">
      <c r="A138" s="65"/>
      <c r="B138" s="61" t="s">
        <v>512</v>
      </c>
      <c r="C138" s="73"/>
      <c r="D138" s="70"/>
      <c r="E138" s="171">
        <v>0</v>
      </c>
      <c r="F138" s="87"/>
      <c r="G138" s="127"/>
      <c r="J138" s="438"/>
      <c r="K138" s="438">
        <f t="shared" si="34"/>
        <v>0</v>
      </c>
    </row>
    <row r="139" spans="1:11" ht="15.6" x14ac:dyDescent="0.3">
      <c r="A139" s="65"/>
      <c r="B139" s="61" t="s">
        <v>713</v>
      </c>
      <c r="C139" s="65"/>
      <c r="D139" s="71"/>
      <c r="E139" s="171">
        <v>0</v>
      </c>
      <c r="F139" s="87"/>
      <c r="G139" s="127"/>
      <c r="J139" s="438"/>
      <c r="K139" s="438">
        <f t="shared" si="34"/>
        <v>0</v>
      </c>
    </row>
    <row r="140" spans="1:11" ht="15.6" x14ac:dyDescent="0.3">
      <c r="A140" s="65">
        <f>A136+1</f>
        <v>104</v>
      </c>
      <c r="B140" s="66" t="s">
        <v>533</v>
      </c>
      <c r="C140" s="65" t="s">
        <v>193</v>
      </c>
      <c r="D140" s="71">
        <v>5.4</v>
      </c>
      <c r="E140" s="171">
        <v>26674.582968600003</v>
      </c>
      <c r="F140" s="101">
        <f t="shared" ref="F140:F145" si="35">ROUND(E140*D140,2)</f>
        <v>144042.75</v>
      </c>
      <c r="G140" s="101">
        <f t="shared" ref="G140:G145" si="36">ROUND(F140*1.2,2)</f>
        <v>172851.3</v>
      </c>
      <c r="J140" s="438"/>
      <c r="K140" s="438">
        <f t="shared" si="34"/>
        <v>0</v>
      </c>
    </row>
    <row r="141" spans="1:11" ht="15.6" x14ac:dyDescent="0.3">
      <c r="A141" s="65">
        <f>A140+1</f>
        <v>105</v>
      </c>
      <c r="B141" s="66" t="s">
        <v>534</v>
      </c>
      <c r="C141" s="65" t="s">
        <v>239</v>
      </c>
      <c r="D141" s="226">
        <v>2.06</v>
      </c>
      <c r="E141" s="171">
        <v>44540.334819169802</v>
      </c>
      <c r="F141" s="101">
        <f t="shared" si="35"/>
        <v>91753.09</v>
      </c>
      <c r="G141" s="101">
        <f t="shared" si="36"/>
        <v>110103.71</v>
      </c>
      <c r="J141" s="438"/>
      <c r="K141" s="438">
        <f t="shared" si="34"/>
        <v>0</v>
      </c>
    </row>
    <row r="142" spans="1:11" ht="15.6" x14ac:dyDescent="0.3">
      <c r="A142" s="86">
        <f t="shared" ref="A142:A145" si="37">A141+1</f>
        <v>106</v>
      </c>
      <c r="B142" s="243" t="s">
        <v>932</v>
      </c>
      <c r="C142" s="86" t="s">
        <v>239</v>
      </c>
      <c r="D142" s="226">
        <v>1.95</v>
      </c>
      <c r="E142" s="171">
        <v>44540.334819169802</v>
      </c>
      <c r="F142" s="102">
        <f t="shared" si="35"/>
        <v>86853.65</v>
      </c>
      <c r="G142" s="102">
        <f t="shared" si="36"/>
        <v>104224.38</v>
      </c>
      <c r="J142" s="438"/>
      <c r="K142" s="438">
        <f t="shared" si="34"/>
        <v>0</v>
      </c>
    </row>
    <row r="143" spans="1:11" ht="15.6" x14ac:dyDescent="0.3">
      <c r="A143" s="65">
        <f t="shared" si="37"/>
        <v>107</v>
      </c>
      <c r="B143" s="66" t="s">
        <v>535</v>
      </c>
      <c r="C143" s="65" t="s">
        <v>239</v>
      </c>
      <c r="D143" s="226">
        <v>1.65</v>
      </c>
      <c r="E143" s="171">
        <v>44540.33481916981</v>
      </c>
      <c r="F143" s="101">
        <f t="shared" si="35"/>
        <v>73491.55</v>
      </c>
      <c r="G143" s="101">
        <f t="shared" si="36"/>
        <v>88189.86</v>
      </c>
      <c r="J143" s="438"/>
      <c r="K143" s="438">
        <f t="shared" si="34"/>
        <v>0</v>
      </c>
    </row>
    <row r="144" spans="1:11" ht="15.6" x14ac:dyDescent="0.3">
      <c r="A144" s="65">
        <f t="shared" si="37"/>
        <v>108</v>
      </c>
      <c r="B144" s="66" t="s">
        <v>536</v>
      </c>
      <c r="C144" s="65" t="s">
        <v>239</v>
      </c>
      <c r="D144" s="226">
        <v>20</v>
      </c>
      <c r="E144" s="171">
        <v>357.56100000000004</v>
      </c>
      <c r="F144" s="101">
        <f t="shared" si="35"/>
        <v>7151.22</v>
      </c>
      <c r="G144" s="101">
        <f t="shared" si="36"/>
        <v>8581.4599999999991</v>
      </c>
      <c r="J144" s="438"/>
      <c r="K144" s="438">
        <f t="shared" si="34"/>
        <v>0</v>
      </c>
    </row>
    <row r="145" spans="1:11" ht="15.6" x14ac:dyDescent="0.3">
      <c r="A145" s="65">
        <f t="shared" si="37"/>
        <v>109</v>
      </c>
      <c r="B145" s="79" t="s">
        <v>446</v>
      </c>
      <c r="C145" s="65" t="s">
        <v>193</v>
      </c>
      <c r="D145" s="226">
        <v>20</v>
      </c>
      <c r="E145" s="171">
        <v>71.512200000000007</v>
      </c>
      <c r="F145" s="101">
        <f t="shared" si="35"/>
        <v>1430.24</v>
      </c>
      <c r="G145" s="101">
        <f t="shared" si="36"/>
        <v>1716.29</v>
      </c>
      <c r="J145" s="438"/>
      <c r="K145" s="438">
        <f t="shared" si="34"/>
        <v>0</v>
      </c>
    </row>
    <row r="146" spans="1:11" ht="15.6" x14ac:dyDescent="0.3">
      <c r="A146" s="65"/>
      <c r="B146" s="186" t="s">
        <v>513</v>
      </c>
      <c r="C146" s="73"/>
      <c r="D146" s="227"/>
      <c r="E146" s="171">
        <v>0</v>
      </c>
      <c r="F146" s="87"/>
      <c r="G146" s="127"/>
      <c r="J146" s="438"/>
      <c r="K146" s="438">
        <f t="shared" si="34"/>
        <v>0</v>
      </c>
    </row>
    <row r="147" spans="1:11" ht="19.5" customHeight="1" x14ac:dyDescent="0.3">
      <c r="A147" s="65">
        <f>A144+1</f>
        <v>109</v>
      </c>
      <c r="B147" s="66" t="s">
        <v>514</v>
      </c>
      <c r="C147" s="65" t="s">
        <v>193</v>
      </c>
      <c r="D147" s="227">
        <v>77.400000000000006</v>
      </c>
      <c r="E147" s="171">
        <v>464.82929999999999</v>
      </c>
      <c r="F147" s="101">
        <f>ROUND(E147*D147,2)</f>
        <v>35977.79</v>
      </c>
      <c r="G147" s="101">
        <f t="shared" ref="G147:G151" si="38">ROUND(F147*1.2,2)</f>
        <v>43173.35</v>
      </c>
      <c r="J147" s="438"/>
      <c r="K147" s="438">
        <f t="shared" si="34"/>
        <v>0</v>
      </c>
    </row>
    <row r="148" spans="1:11" ht="15.6" x14ac:dyDescent="0.3">
      <c r="A148" s="65">
        <f>A147+1</f>
        <v>110</v>
      </c>
      <c r="B148" s="66" t="s">
        <v>515</v>
      </c>
      <c r="C148" s="65" t="s">
        <v>193</v>
      </c>
      <c r="D148" s="227">
        <v>1.5</v>
      </c>
      <c r="E148" s="171">
        <v>2541.02870016</v>
      </c>
      <c r="F148" s="101">
        <f>ROUND(E148*D148,2)</f>
        <v>3811.54</v>
      </c>
      <c r="G148" s="101">
        <f t="shared" si="38"/>
        <v>4573.8500000000004</v>
      </c>
      <c r="J148" s="438"/>
      <c r="K148" s="438">
        <f t="shared" si="34"/>
        <v>0</v>
      </c>
    </row>
    <row r="149" spans="1:11" ht="15.6" x14ac:dyDescent="0.3">
      <c r="A149" s="65">
        <f t="shared" ref="A149:A151" si="39">A148+1</f>
        <v>111</v>
      </c>
      <c r="B149" s="66" t="s">
        <v>537</v>
      </c>
      <c r="C149" s="65" t="s">
        <v>193</v>
      </c>
      <c r="D149" s="227">
        <v>80.099999999999994</v>
      </c>
      <c r="E149" s="171">
        <v>178.78050000000002</v>
      </c>
      <c r="F149" s="101">
        <f>ROUND(E149*D149,2)</f>
        <v>14320.32</v>
      </c>
      <c r="G149" s="101">
        <f t="shared" si="38"/>
        <v>17184.38</v>
      </c>
      <c r="J149" s="438"/>
      <c r="K149" s="438">
        <f t="shared" si="34"/>
        <v>0</v>
      </c>
    </row>
    <row r="150" spans="1:11" ht="15.6" x14ac:dyDescent="0.3">
      <c r="A150" s="65">
        <f t="shared" si="39"/>
        <v>112</v>
      </c>
      <c r="B150" s="66" t="s">
        <v>538</v>
      </c>
      <c r="C150" s="65" t="s">
        <v>193</v>
      </c>
      <c r="D150" s="227">
        <v>4.2</v>
      </c>
      <c r="E150" s="171">
        <v>1285.5748194000003</v>
      </c>
      <c r="F150" s="101">
        <f>ROUND(E150*D150,2)</f>
        <v>5399.41</v>
      </c>
      <c r="G150" s="101">
        <f t="shared" si="38"/>
        <v>6479.29</v>
      </c>
      <c r="J150" s="438"/>
      <c r="K150" s="438">
        <f t="shared" si="34"/>
        <v>0</v>
      </c>
    </row>
    <row r="151" spans="1:11" ht="15.6" x14ac:dyDescent="0.3">
      <c r="A151" s="65">
        <f t="shared" si="39"/>
        <v>113</v>
      </c>
      <c r="B151" s="66" t="s">
        <v>539</v>
      </c>
      <c r="C151" s="65" t="s">
        <v>239</v>
      </c>
      <c r="D151" s="226">
        <v>8.64</v>
      </c>
      <c r="E151" s="171">
        <v>178.78050000000002</v>
      </c>
      <c r="F151" s="101">
        <f>ROUND(E151*D151,2)</f>
        <v>1544.66</v>
      </c>
      <c r="G151" s="101">
        <f t="shared" si="38"/>
        <v>1853.59</v>
      </c>
      <c r="J151" s="438"/>
      <c r="K151" s="438">
        <f t="shared" si="34"/>
        <v>0</v>
      </c>
    </row>
    <row r="152" spans="1:11" ht="15.6" x14ac:dyDescent="0.3">
      <c r="A152" s="65"/>
      <c r="B152" s="61" t="s">
        <v>513</v>
      </c>
      <c r="C152" s="73"/>
      <c r="D152" s="152"/>
      <c r="E152" s="171">
        <v>0</v>
      </c>
      <c r="F152" s="87"/>
      <c r="G152" s="127"/>
      <c r="J152" s="438"/>
      <c r="K152" s="438">
        <f t="shared" si="34"/>
        <v>0</v>
      </c>
    </row>
    <row r="153" spans="1:11" ht="23.25" customHeight="1" x14ac:dyDescent="0.3">
      <c r="A153" s="65">
        <f>A151+1</f>
        <v>114</v>
      </c>
      <c r="B153" s="66" t="s">
        <v>514</v>
      </c>
      <c r="C153" s="65" t="s">
        <v>193</v>
      </c>
      <c r="D153" s="227">
        <f>490.6+217.7</f>
        <v>708.3</v>
      </c>
      <c r="E153" s="171">
        <v>464.82929999999999</v>
      </c>
      <c r="F153" s="101">
        <f t="shared" ref="F153:F159" si="40">ROUND(E153*D153,2)</f>
        <v>329238.59000000003</v>
      </c>
      <c r="G153" s="101">
        <f t="shared" ref="G153:G159" si="41">ROUND(F153*1.2,2)</f>
        <v>395086.31</v>
      </c>
      <c r="J153" s="438"/>
      <c r="K153" s="438">
        <f t="shared" si="34"/>
        <v>0</v>
      </c>
    </row>
    <row r="154" spans="1:11" ht="21" customHeight="1" x14ac:dyDescent="0.3">
      <c r="A154" s="65">
        <f>A153+1</f>
        <v>115</v>
      </c>
      <c r="B154" s="66" t="s">
        <v>515</v>
      </c>
      <c r="C154" s="65" t="s">
        <v>193</v>
      </c>
      <c r="D154" s="227">
        <f>14.72+3.81</f>
        <v>18.53</v>
      </c>
      <c r="E154" s="171">
        <v>2541.4444886966298</v>
      </c>
      <c r="F154" s="101">
        <f t="shared" si="40"/>
        <v>47092.97</v>
      </c>
      <c r="G154" s="101">
        <f t="shared" si="41"/>
        <v>56511.56</v>
      </c>
      <c r="J154" s="438"/>
      <c r="K154" s="438">
        <f t="shared" si="34"/>
        <v>0</v>
      </c>
    </row>
    <row r="155" spans="1:11" ht="19.5" customHeight="1" x14ac:dyDescent="0.3">
      <c r="A155" s="65">
        <f t="shared" ref="A155:A159" si="42">A154+1</f>
        <v>116</v>
      </c>
      <c r="B155" s="66" t="s">
        <v>540</v>
      </c>
      <c r="C155" s="65" t="s">
        <v>193</v>
      </c>
      <c r="D155" s="227">
        <f>337.86+170.18</f>
        <v>508.04</v>
      </c>
      <c r="E155" s="171">
        <v>178.78050000000002</v>
      </c>
      <c r="F155" s="101">
        <f t="shared" si="40"/>
        <v>90827.65</v>
      </c>
      <c r="G155" s="101">
        <f t="shared" si="41"/>
        <v>108993.18</v>
      </c>
      <c r="J155" s="438"/>
      <c r="K155" s="438">
        <f t="shared" si="34"/>
        <v>0</v>
      </c>
    </row>
    <row r="156" spans="1:11" ht="15.6" x14ac:dyDescent="0.3">
      <c r="A156" s="65">
        <f t="shared" si="42"/>
        <v>117</v>
      </c>
      <c r="B156" s="66" t="s">
        <v>517</v>
      </c>
      <c r="C156" s="65" t="s">
        <v>193</v>
      </c>
      <c r="D156" s="152">
        <f>84.46+42.54</f>
        <v>127</v>
      </c>
      <c r="E156" s="171">
        <v>1285.3412128800001</v>
      </c>
      <c r="F156" s="101">
        <f t="shared" si="40"/>
        <v>163238.32999999999</v>
      </c>
      <c r="G156" s="101">
        <f t="shared" si="41"/>
        <v>195886</v>
      </c>
      <c r="J156" s="438"/>
      <c r="K156" s="438">
        <f t="shared" si="34"/>
        <v>0</v>
      </c>
    </row>
    <row r="157" spans="1:11" ht="15.6" x14ac:dyDescent="0.3">
      <c r="A157" s="65">
        <f t="shared" si="42"/>
        <v>118</v>
      </c>
      <c r="B157" s="66" t="s">
        <v>518</v>
      </c>
      <c r="C157" s="65" t="s">
        <v>239</v>
      </c>
      <c r="D157" s="227">
        <f>132.8+14.1</f>
        <v>146.9</v>
      </c>
      <c r="E157" s="171">
        <v>464.82929999999999</v>
      </c>
      <c r="F157" s="101">
        <f t="shared" si="40"/>
        <v>68283.42</v>
      </c>
      <c r="G157" s="101">
        <f t="shared" si="41"/>
        <v>81940.100000000006</v>
      </c>
      <c r="J157" s="438"/>
      <c r="K157" s="438">
        <f t="shared" si="34"/>
        <v>0</v>
      </c>
    </row>
    <row r="158" spans="1:11" ht="15.6" x14ac:dyDescent="0.3">
      <c r="A158" s="65">
        <f t="shared" si="42"/>
        <v>119</v>
      </c>
      <c r="B158" s="66" t="s">
        <v>541</v>
      </c>
      <c r="C158" s="65" t="s">
        <v>239</v>
      </c>
      <c r="D158" s="227">
        <f t="shared" ref="D158:D159" si="43">132.8+14.1</f>
        <v>146.9</v>
      </c>
      <c r="E158" s="171">
        <v>357.56100000000004</v>
      </c>
      <c r="F158" s="101">
        <f t="shared" si="40"/>
        <v>52525.71</v>
      </c>
      <c r="G158" s="101">
        <f t="shared" si="41"/>
        <v>63030.85</v>
      </c>
      <c r="J158" s="438"/>
      <c r="K158" s="438">
        <f t="shared" si="34"/>
        <v>0</v>
      </c>
    </row>
    <row r="159" spans="1:11" ht="15.6" x14ac:dyDescent="0.3">
      <c r="A159" s="65">
        <f t="shared" si="42"/>
        <v>120</v>
      </c>
      <c r="B159" s="79" t="s">
        <v>446</v>
      </c>
      <c r="C159" s="65" t="s">
        <v>193</v>
      </c>
      <c r="D159" s="227">
        <f t="shared" si="43"/>
        <v>146.9</v>
      </c>
      <c r="E159" s="171">
        <v>71.512200000000007</v>
      </c>
      <c r="F159" s="101">
        <f t="shared" si="40"/>
        <v>10505.14</v>
      </c>
      <c r="G159" s="101">
        <f t="shared" si="41"/>
        <v>12606.17</v>
      </c>
      <c r="J159" s="438"/>
      <c r="K159" s="438">
        <f t="shared" si="34"/>
        <v>0</v>
      </c>
    </row>
    <row r="160" spans="1:11" ht="27.6" x14ac:dyDescent="0.3">
      <c r="A160" s="65"/>
      <c r="B160" s="61" t="s">
        <v>945</v>
      </c>
      <c r="C160" s="65"/>
      <c r="D160" s="71"/>
      <c r="E160" s="171">
        <v>0</v>
      </c>
      <c r="F160" s="87"/>
      <c r="G160" s="127"/>
      <c r="J160" s="438"/>
      <c r="K160" s="438">
        <f t="shared" si="34"/>
        <v>0</v>
      </c>
    </row>
    <row r="161" spans="1:11" ht="27.6" x14ac:dyDescent="0.3">
      <c r="A161" s="65">
        <f>A159+1</f>
        <v>121</v>
      </c>
      <c r="B161" s="66" t="s">
        <v>542</v>
      </c>
      <c r="C161" s="65" t="s">
        <v>220</v>
      </c>
      <c r="D161" s="152">
        <v>11</v>
      </c>
      <c r="E161" s="171">
        <v>8924.7225600000002</v>
      </c>
      <c r="F161" s="101">
        <f t="shared" ref="F161:F183" si="44">ROUND(E161*D161,2)</f>
        <v>98171.95</v>
      </c>
      <c r="G161" s="101">
        <f t="shared" ref="G161:G224" si="45">ROUND(F161*1.2,2)</f>
        <v>117806.34</v>
      </c>
      <c r="J161" s="438"/>
      <c r="K161" s="438">
        <f t="shared" si="34"/>
        <v>0</v>
      </c>
    </row>
    <row r="162" spans="1:11" ht="27.6" x14ac:dyDescent="0.3">
      <c r="A162" s="65">
        <f t="shared" ref="A162:A202" si="46">A161+1</f>
        <v>122</v>
      </c>
      <c r="B162" s="66" t="s">
        <v>543</v>
      </c>
      <c r="C162" s="65" t="s">
        <v>220</v>
      </c>
      <c r="D162" s="152">
        <v>43</v>
      </c>
      <c r="E162" s="171">
        <v>2231.18064</v>
      </c>
      <c r="F162" s="101">
        <f t="shared" si="44"/>
        <v>95940.77</v>
      </c>
      <c r="G162" s="101">
        <f t="shared" si="45"/>
        <v>115128.92</v>
      </c>
      <c r="J162" s="438"/>
      <c r="K162" s="438">
        <f t="shared" si="34"/>
        <v>0</v>
      </c>
    </row>
    <row r="163" spans="1:11" ht="41.4" x14ac:dyDescent="0.3">
      <c r="A163" s="65">
        <f t="shared" si="46"/>
        <v>123</v>
      </c>
      <c r="B163" s="66" t="s">
        <v>544</v>
      </c>
      <c r="C163" s="65" t="s">
        <v>220</v>
      </c>
      <c r="D163" s="152">
        <v>14</v>
      </c>
      <c r="E163" s="171">
        <v>1516.05864</v>
      </c>
      <c r="F163" s="101">
        <f t="shared" si="44"/>
        <v>21224.82</v>
      </c>
      <c r="G163" s="101">
        <f t="shared" si="45"/>
        <v>25469.78</v>
      </c>
      <c r="J163" s="438"/>
      <c r="K163" s="438">
        <f t="shared" si="34"/>
        <v>0</v>
      </c>
    </row>
    <row r="164" spans="1:11" ht="27.6" x14ac:dyDescent="0.3">
      <c r="A164" s="65">
        <f t="shared" si="46"/>
        <v>124</v>
      </c>
      <c r="B164" s="66" t="s">
        <v>545</v>
      </c>
      <c r="C164" s="65" t="s">
        <v>193</v>
      </c>
      <c r="D164" s="226">
        <v>0.02</v>
      </c>
      <c r="E164" s="171">
        <v>182207.36462399998</v>
      </c>
      <c r="F164" s="101">
        <f t="shared" si="44"/>
        <v>3644.15</v>
      </c>
      <c r="G164" s="101">
        <f t="shared" si="45"/>
        <v>4372.9799999999996</v>
      </c>
      <c r="J164" s="438"/>
      <c r="K164" s="438">
        <f t="shared" si="34"/>
        <v>0</v>
      </c>
    </row>
    <row r="165" spans="1:11" ht="27.6" x14ac:dyDescent="0.3">
      <c r="A165" s="65">
        <f t="shared" si="46"/>
        <v>125</v>
      </c>
      <c r="B165" s="66" t="s">
        <v>546</v>
      </c>
      <c r="C165" s="65" t="s">
        <v>193</v>
      </c>
      <c r="D165" s="226">
        <v>5.63</v>
      </c>
      <c r="E165" s="171">
        <v>8242.7785535076946</v>
      </c>
      <c r="F165" s="101">
        <f t="shared" si="44"/>
        <v>46406.84</v>
      </c>
      <c r="G165" s="101">
        <f t="shared" si="45"/>
        <v>55688.21</v>
      </c>
      <c r="J165" s="438"/>
      <c r="K165" s="438">
        <f t="shared" si="34"/>
        <v>0</v>
      </c>
    </row>
    <row r="166" spans="1:11" ht="27.6" x14ac:dyDescent="0.3">
      <c r="A166" s="86">
        <f t="shared" si="46"/>
        <v>126</v>
      </c>
      <c r="B166" s="243" t="s">
        <v>933</v>
      </c>
      <c r="C166" s="86" t="s">
        <v>431</v>
      </c>
      <c r="D166" s="226">
        <v>171.64</v>
      </c>
      <c r="E166" s="171">
        <v>1441.2535526511631</v>
      </c>
      <c r="F166" s="102">
        <f t="shared" si="44"/>
        <v>247376.76</v>
      </c>
      <c r="G166" s="102">
        <f t="shared" si="45"/>
        <v>296852.11</v>
      </c>
      <c r="J166" s="438"/>
      <c r="K166" s="438">
        <f t="shared" si="34"/>
        <v>0</v>
      </c>
    </row>
    <row r="167" spans="1:11" ht="27.6" x14ac:dyDescent="0.3">
      <c r="A167" s="86">
        <f t="shared" si="46"/>
        <v>127</v>
      </c>
      <c r="B167" s="243" t="s">
        <v>934</v>
      </c>
      <c r="C167" s="250" t="s">
        <v>431</v>
      </c>
      <c r="D167" s="226">
        <v>171.64</v>
      </c>
      <c r="E167" s="171">
        <v>217.397088</v>
      </c>
      <c r="F167" s="102">
        <f t="shared" si="44"/>
        <v>37314.04</v>
      </c>
      <c r="G167" s="102">
        <f t="shared" si="45"/>
        <v>44776.85</v>
      </c>
      <c r="J167" s="438"/>
      <c r="K167" s="438">
        <f t="shared" si="34"/>
        <v>0</v>
      </c>
    </row>
    <row r="168" spans="1:11" ht="27.6" x14ac:dyDescent="0.3">
      <c r="A168" s="86">
        <f t="shared" si="46"/>
        <v>128</v>
      </c>
      <c r="B168" s="243" t="s">
        <v>935</v>
      </c>
      <c r="C168" s="86" t="s">
        <v>431</v>
      </c>
      <c r="D168" s="226">
        <v>171.64</v>
      </c>
      <c r="E168" s="171">
        <v>451.29919176000004</v>
      </c>
      <c r="F168" s="102">
        <f t="shared" si="44"/>
        <v>77460.990000000005</v>
      </c>
      <c r="G168" s="102">
        <f t="shared" si="45"/>
        <v>92953.19</v>
      </c>
      <c r="J168" s="438"/>
      <c r="K168" s="438">
        <f t="shared" si="34"/>
        <v>0</v>
      </c>
    </row>
    <row r="169" spans="1:11" ht="27.6" x14ac:dyDescent="0.3">
      <c r="A169" s="285">
        <f t="shared" si="46"/>
        <v>129</v>
      </c>
      <c r="B169" s="290" t="s">
        <v>1071</v>
      </c>
      <c r="C169" s="285" t="s">
        <v>193</v>
      </c>
      <c r="D169" s="287">
        <v>0.34</v>
      </c>
      <c r="E169" s="171">
        <v>43412.110317359999</v>
      </c>
      <c r="F169" s="288">
        <f t="shared" si="44"/>
        <v>14760.12</v>
      </c>
      <c r="G169" s="288">
        <f t="shared" si="45"/>
        <v>17712.14</v>
      </c>
      <c r="H169" s="210"/>
      <c r="J169" s="438"/>
      <c r="K169" s="438">
        <f t="shared" si="34"/>
        <v>0</v>
      </c>
    </row>
    <row r="170" spans="1:11" ht="27.6" x14ac:dyDescent="0.3">
      <c r="A170" s="285">
        <f t="shared" si="46"/>
        <v>130</v>
      </c>
      <c r="B170" s="290" t="s">
        <v>936</v>
      </c>
      <c r="C170" s="285" t="s">
        <v>193</v>
      </c>
      <c r="D170" s="287">
        <v>0.62</v>
      </c>
      <c r="E170" s="171">
        <v>43412.110317359999</v>
      </c>
      <c r="F170" s="288">
        <f t="shared" si="44"/>
        <v>26915.51</v>
      </c>
      <c r="G170" s="288">
        <f t="shared" si="45"/>
        <v>32298.61</v>
      </c>
      <c r="J170" s="438"/>
      <c r="K170" s="438">
        <f t="shared" si="34"/>
        <v>0</v>
      </c>
    </row>
    <row r="171" spans="1:11" ht="27.6" x14ac:dyDescent="0.3">
      <c r="A171" s="86">
        <f t="shared" si="46"/>
        <v>131</v>
      </c>
      <c r="B171" s="243" t="s">
        <v>933</v>
      </c>
      <c r="C171" s="86" t="s">
        <v>431</v>
      </c>
      <c r="D171" s="226">
        <v>0.8</v>
      </c>
      <c r="E171" s="171">
        <v>1441.2535526511631</v>
      </c>
      <c r="F171" s="102">
        <f t="shared" si="44"/>
        <v>1153</v>
      </c>
      <c r="G171" s="102">
        <f t="shared" si="45"/>
        <v>1383.6</v>
      </c>
      <c r="J171" s="438"/>
      <c r="K171" s="438">
        <f t="shared" si="34"/>
        <v>0</v>
      </c>
    </row>
    <row r="172" spans="1:11" ht="27.6" x14ac:dyDescent="0.3">
      <c r="A172" s="86">
        <f t="shared" si="46"/>
        <v>132</v>
      </c>
      <c r="B172" s="243" t="s">
        <v>934</v>
      </c>
      <c r="C172" s="250" t="s">
        <v>431</v>
      </c>
      <c r="D172" s="226">
        <v>3.8</v>
      </c>
      <c r="E172" s="171">
        <v>217.397088</v>
      </c>
      <c r="F172" s="102">
        <f t="shared" si="44"/>
        <v>826.11</v>
      </c>
      <c r="G172" s="102">
        <f t="shared" si="45"/>
        <v>991.33</v>
      </c>
      <c r="J172" s="438"/>
      <c r="K172" s="438">
        <f t="shared" si="34"/>
        <v>0</v>
      </c>
    </row>
    <row r="173" spans="1:11" ht="27.6" x14ac:dyDescent="0.3">
      <c r="A173" s="86">
        <f t="shared" si="46"/>
        <v>133</v>
      </c>
      <c r="B173" s="243" t="s">
        <v>935</v>
      </c>
      <c r="C173" s="86" t="s">
        <v>431</v>
      </c>
      <c r="D173" s="226">
        <v>3.8</v>
      </c>
      <c r="E173" s="171">
        <v>451.29919176000004</v>
      </c>
      <c r="F173" s="102">
        <f t="shared" si="44"/>
        <v>1714.94</v>
      </c>
      <c r="G173" s="102">
        <f t="shared" si="45"/>
        <v>2057.9299999999998</v>
      </c>
      <c r="J173" s="438"/>
      <c r="K173" s="438">
        <f t="shared" si="34"/>
        <v>0</v>
      </c>
    </row>
    <row r="174" spans="1:11" ht="15.6" x14ac:dyDescent="0.3">
      <c r="A174" s="86">
        <f t="shared" si="46"/>
        <v>134</v>
      </c>
      <c r="B174" s="243" t="s">
        <v>937</v>
      </c>
      <c r="C174" s="86" t="s">
        <v>193</v>
      </c>
      <c r="D174" s="226">
        <v>1.5</v>
      </c>
      <c r="E174" s="171">
        <v>8239.6978685217382</v>
      </c>
      <c r="F174" s="102">
        <f t="shared" si="44"/>
        <v>12359.55</v>
      </c>
      <c r="G174" s="102">
        <f t="shared" si="45"/>
        <v>14831.46</v>
      </c>
      <c r="J174" s="438"/>
      <c r="K174" s="438">
        <f t="shared" si="34"/>
        <v>0</v>
      </c>
    </row>
    <row r="175" spans="1:11" ht="27.6" x14ac:dyDescent="0.3">
      <c r="A175" s="323">
        <f t="shared" si="46"/>
        <v>135</v>
      </c>
      <c r="B175" s="324" t="s">
        <v>938</v>
      </c>
      <c r="C175" s="323" t="s">
        <v>193</v>
      </c>
      <c r="D175" s="325">
        <v>0.16</v>
      </c>
      <c r="E175" s="171">
        <v>9931.2567749999998</v>
      </c>
      <c r="F175" s="288">
        <f t="shared" si="44"/>
        <v>1589</v>
      </c>
      <c r="G175" s="288">
        <f t="shared" si="45"/>
        <v>1906.8</v>
      </c>
      <c r="J175" s="438"/>
      <c r="K175" s="438">
        <f t="shared" si="34"/>
        <v>0</v>
      </c>
    </row>
    <row r="176" spans="1:11" ht="15.6" x14ac:dyDescent="0.3">
      <c r="A176" s="323">
        <f t="shared" si="46"/>
        <v>136</v>
      </c>
      <c r="B176" s="324" t="s">
        <v>939</v>
      </c>
      <c r="C176" s="323" t="s">
        <v>193</v>
      </c>
      <c r="D176" s="325">
        <v>0.6</v>
      </c>
      <c r="E176" s="171">
        <v>9930.6608400000005</v>
      </c>
      <c r="F176" s="288">
        <f t="shared" si="44"/>
        <v>5958.4</v>
      </c>
      <c r="G176" s="288">
        <f t="shared" si="45"/>
        <v>7150.08</v>
      </c>
      <c r="J176" s="438"/>
      <c r="K176" s="438">
        <f t="shared" si="34"/>
        <v>0</v>
      </c>
    </row>
    <row r="177" spans="1:11" ht="27.6" x14ac:dyDescent="0.3">
      <c r="A177" s="86">
        <f t="shared" si="46"/>
        <v>137</v>
      </c>
      <c r="B177" s="243" t="s">
        <v>933</v>
      </c>
      <c r="C177" s="86" t="s">
        <v>431</v>
      </c>
      <c r="D177" s="226">
        <v>4.5</v>
      </c>
      <c r="E177" s="171">
        <v>1441.2535526511631</v>
      </c>
      <c r="F177" s="102">
        <f t="shared" si="44"/>
        <v>6485.64</v>
      </c>
      <c r="G177" s="102">
        <f t="shared" si="45"/>
        <v>7782.77</v>
      </c>
      <c r="J177" s="438"/>
      <c r="K177" s="438">
        <f t="shared" si="34"/>
        <v>0</v>
      </c>
    </row>
    <row r="178" spans="1:11" ht="27.6" x14ac:dyDescent="0.3">
      <c r="A178" s="86">
        <f t="shared" si="46"/>
        <v>138</v>
      </c>
      <c r="B178" s="243" t="s">
        <v>934</v>
      </c>
      <c r="C178" s="250" t="s">
        <v>431</v>
      </c>
      <c r="D178" s="226">
        <v>4.5</v>
      </c>
      <c r="E178" s="171">
        <v>217.397088</v>
      </c>
      <c r="F178" s="102">
        <f t="shared" si="44"/>
        <v>978.29</v>
      </c>
      <c r="G178" s="102">
        <f t="shared" si="45"/>
        <v>1173.95</v>
      </c>
      <c r="J178" s="438"/>
      <c r="K178" s="438">
        <f t="shared" si="34"/>
        <v>0</v>
      </c>
    </row>
    <row r="179" spans="1:11" ht="27.6" x14ac:dyDescent="0.3">
      <c r="A179" s="86">
        <f t="shared" si="46"/>
        <v>139</v>
      </c>
      <c r="B179" s="243" t="s">
        <v>935</v>
      </c>
      <c r="C179" s="86" t="s">
        <v>431</v>
      </c>
      <c r="D179" s="226">
        <v>4.5</v>
      </c>
      <c r="E179" s="171">
        <v>451.29919176000004</v>
      </c>
      <c r="F179" s="102">
        <f t="shared" si="44"/>
        <v>2030.85</v>
      </c>
      <c r="G179" s="102">
        <f t="shared" si="45"/>
        <v>2437.02</v>
      </c>
      <c r="J179" s="438"/>
      <c r="K179" s="438">
        <f t="shared" si="34"/>
        <v>0</v>
      </c>
    </row>
    <row r="180" spans="1:11" ht="15.6" x14ac:dyDescent="0.3">
      <c r="A180" s="285">
        <f t="shared" si="46"/>
        <v>140</v>
      </c>
      <c r="B180" s="290" t="s">
        <v>940</v>
      </c>
      <c r="C180" s="285" t="s">
        <v>193</v>
      </c>
      <c r="D180" s="287">
        <v>0.08</v>
      </c>
      <c r="E180" s="171">
        <v>40761.953999999998</v>
      </c>
      <c r="F180" s="288">
        <f t="shared" si="44"/>
        <v>3260.96</v>
      </c>
      <c r="G180" s="288">
        <f t="shared" si="45"/>
        <v>3913.15</v>
      </c>
      <c r="J180" s="438"/>
      <c r="K180" s="438">
        <f t="shared" si="34"/>
        <v>0</v>
      </c>
    </row>
    <row r="181" spans="1:11" ht="15.6" x14ac:dyDescent="0.3">
      <c r="A181" s="285">
        <f t="shared" si="46"/>
        <v>141</v>
      </c>
      <c r="B181" s="290" t="s">
        <v>944</v>
      </c>
      <c r="C181" s="285" t="s">
        <v>220</v>
      </c>
      <c r="D181" s="298">
        <v>1</v>
      </c>
      <c r="E181" s="171">
        <v>37525.311827999998</v>
      </c>
      <c r="F181" s="288">
        <f t="shared" si="44"/>
        <v>37525.31</v>
      </c>
      <c r="G181" s="288">
        <f t="shared" si="45"/>
        <v>45030.37</v>
      </c>
      <c r="J181" s="438"/>
      <c r="K181" s="438">
        <f t="shared" si="34"/>
        <v>0</v>
      </c>
    </row>
    <row r="182" spans="1:11" ht="15.6" x14ac:dyDescent="0.3">
      <c r="A182" s="285">
        <f t="shared" si="46"/>
        <v>142</v>
      </c>
      <c r="B182" s="290" t="s">
        <v>1257</v>
      </c>
      <c r="C182" s="285" t="s">
        <v>254</v>
      </c>
      <c r="D182" s="287">
        <v>138.83000000000001</v>
      </c>
      <c r="E182" s="171">
        <v>31.287553324209458</v>
      </c>
      <c r="F182" s="288">
        <f t="shared" si="44"/>
        <v>4343.6499999999996</v>
      </c>
      <c r="G182" s="288">
        <f t="shared" si="45"/>
        <v>5212.38</v>
      </c>
      <c r="J182" s="438"/>
      <c r="K182" s="438">
        <f t="shared" si="34"/>
        <v>0</v>
      </c>
    </row>
    <row r="183" spans="1:11" ht="15.6" x14ac:dyDescent="0.3">
      <c r="A183" s="285">
        <f t="shared" si="46"/>
        <v>143</v>
      </c>
      <c r="B183" s="290" t="s">
        <v>943</v>
      </c>
      <c r="C183" s="285" t="s">
        <v>254</v>
      </c>
      <c r="D183" s="287">
        <v>45</v>
      </c>
      <c r="E183" s="171">
        <v>164.82131856000001</v>
      </c>
      <c r="F183" s="288">
        <f t="shared" si="44"/>
        <v>7416.96</v>
      </c>
      <c r="G183" s="288">
        <f t="shared" si="45"/>
        <v>8900.35</v>
      </c>
      <c r="J183" s="438"/>
      <c r="K183" s="438">
        <f t="shared" si="34"/>
        <v>0</v>
      </c>
    </row>
    <row r="184" spans="1:11" ht="15.6" x14ac:dyDescent="0.3">
      <c r="A184" s="86"/>
      <c r="B184" s="225" t="s">
        <v>946</v>
      </c>
      <c r="C184" s="86"/>
      <c r="D184" s="226"/>
      <c r="E184" s="171">
        <v>0</v>
      </c>
      <c r="F184" s="102"/>
      <c r="G184" s="102"/>
      <c r="J184" s="438"/>
      <c r="K184" s="438">
        <f t="shared" si="34"/>
        <v>0</v>
      </c>
    </row>
    <row r="185" spans="1:11" s="316" customFormat="1" ht="15.6" x14ac:dyDescent="0.3">
      <c r="A185" s="285">
        <f>A183+1</f>
        <v>144</v>
      </c>
      <c r="B185" s="290" t="s">
        <v>947</v>
      </c>
      <c r="C185" s="285" t="s">
        <v>193</v>
      </c>
      <c r="D185" s="287">
        <v>9.9</v>
      </c>
      <c r="E185" s="171">
        <v>19512.135553199998</v>
      </c>
      <c r="F185" s="288">
        <f t="shared" ref="F185:F205" si="47">ROUND(E185*D185,2)</f>
        <v>193170.14</v>
      </c>
      <c r="G185" s="288">
        <f t="shared" ref="G185:G205" si="48">ROUND(F185*1.2,2)</f>
        <v>231804.17</v>
      </c>
      <c r="H185" s="326"/>
      <c r="J185" s="438"/>
      <c r="K185" s="438">
        <f t="shared" si="34"/>
        <v>0</v>
      </c>
    </row>
    <row r="186" spans="1:11" ht="15.6" x14ac:dyDescent="0.3">
      <c r="A186" s="86">
        <f>A185+1</f>
        <v>145</v>
      </c>
      <c r="B186" s="243" t="s">
        <v>948</v>
      </c>
      <c r="C186" s="86" t="s">
        <v>193</v>
      </c>
      <c r="D186" s="226">
        <v>1.7</v>
      </c>
      <c r="E186" s="171">
        <v>18982.412904599998</v>
      </c>
      <c r="F186" s="102">
        <f t="shared" si="47"/>
        <v>32270.1</v>
      </c>
      <c r="G186" s="102">
        <f t="shared" si="48"/>
        <v>38724.120000000003</v>
      </c>
      <c r="J186" s="438"/>
      <c r="K186" s="438">
        <f t="shared" si="34"/>
        <v>0</v>
      </c>
    </row>
    <row r="187" spans="1:11" s="316" customFormat="1" ht="15.6" x14ac:dyDescent="0.3">
      <c r="A187" s="285">
        <f t="shared" ref="A187:A192" si="49">A186+1</f>
        <v>146</v>
      </c>
      <c r="B187" s="290" t="s">
        <v>1258</v>
      </c>
      <c r="C187" s="323" t="s">
        <v>220</v>
      </c>
      <c r="D187" s="327">
        <v>3</v>
      </c>
      <c r="E187" s="171">
        <v>4349.3720039999998</v>
      </c>
      <c r="F187" s="288">
        <f t="shared" si="47"/>
        <v>13048.12</v>
      </c>
      <c r="G187" s="288">
        <f t="shared" si="48"/>
        <v>15657.74</v>
      </c>
      <c r="H187" s="328" t="s">
        <v>1261</v>
      </c>
      <c r="J187" s="438"/>
      <c r="K187" s="438">
        <f t="shared" si="34"/>
        <v>0</v>
      </c>
    </row>
    <row r="188" spans="1:11" s="316" customFormat="1" ht="15.6" x14ac:dyDescent="0.3">
      <c r="A188" s="285">
        <f t="shared" si="49"/>
        <v>147</v>
      </c>
      <c r="B188" s="290" t="s">
        <v>1259</v>
      </c>
      <c r="C188" s="323" t="s">
        <v>220</v>
      </c>
      <c r="D188" s="327">
        <v>2</v>
      </c>
      <c r="E188" s="171">
        <v>2025.225504</v>
      </c>
      <c r="F188" s="288">
        <f t="shared" si="47"/>
        <v>4050.45</v>
      </c>
      <c r="G188" s="288">
        <f t="shared" si="48"/>
        <v>4860.54</v>
      </c>
      <c r="H188" s="328" t="s">
        <v>1261</v>
      </c>
      <c r="J188" s="438"/>
      <c r="K188" s="438">
        <f t="shared" si="34"/>
        <v>0</v>
      </c>
    </row>
    <row r="189" spans="1:11" s="316" customFormat="1" ht="15.6" x14ac:dyDescent="0.3">
      <c r="A189" s="285">
        <f t="shared" si="49"/>
        <v>148</v>
      </c>
      <c r="B189" s="290" t="s">
        <v>1260</v>
      </c>
      <c r="C189" s="323" t="s">
        <v>220</v>
      </c>
      <c r="D189" s="327">
        <v>1</v>
      </c>
      <c r="E189" s="171">
        <v>1850.7357359999999</v>
      </c>
      <c r="F189" s="288">
        <f t="shared" si="47"/>
        <v>1850.74</v>
      </c>
      <c r="G189" s="288">
        <f t="shared" si="48"/>
        <v>2220.89</v>
      </c>
      <c r="H189" s="328" t="s">
        <v>1261</v>
      </c>
      <c r="J189" s="438"/>
      <c r="K189" s="438">
        <f t="shared" si="34"/>
        <v>0</v>
      </c>
    </row>
    <row r="190" spans="1:11" s="316" customFormat="1" ht="15.6" x14ac:dyDescent="0.3">
      <c r="A190" s="285">
        <f t="shared" si="49"/>
        <v>149</v>
      </c>
      <c r="B190" s="290" t="s">
        <v>949</v>
      </c>
      <c r="C190" s="285" t="s">
        <v>220</v>
      </c>
      <c r="D190" s="298">
        <v>2</v>
      </c>
      <c r="E190" s="171">
        <v>6134.3165159999999</v>
      </c>
      <c r="F190" s="288">
        <f t="shared" si="47"/>
        <v>12268.63</v>
      </c>
      <c r="G190" s="288">
        <f t="shared" si="48"/>
        <v>14722.36</v>
      </c>
      <c r="H190" s="326"/>
      <c r="J190" s="438"/>
      <c r="K190" s="438">
        <f t="shared" si="34"/>
        <v>0</v>
      </c>
    </row>
    <row r="191" spans="1:11" s="316" customFormat="1" ht="15.6" x14ac:dyDescent="0.3">
      <c r="A191" s="285">
        <f t="shared" si="49"/>
        <v>150</v>
      </c>
      <c r="B191" s="290" t="s">
        <v>950</v>
      </c>
      <c r="C191" s="285" t="s">
        <v>220</v>
      </c>
      <c r="D191" s="298">
        <v>2</v>
      </c>
      <c r="E191" s="171">
        <v>2972.0470319999999</v>
      </c>
      <c r="F191" s="288">
        <f t="shared" si="47"/>
        <v>5944.09</v>
      </c>
      <c r="G191" s="288">
        <f t="shared" si="48"/>
        <v>7132.91</v>
      </c>
      <c r="H191" s="326"/>
      <c r="J191" s="438"/>
      <c r="K191" s="438">
        <f t="shared" si="34"/>
        <v>0</v>
      </c>
    </row>
    <row r="192" spans="1:11" s="316" customFormat="1" ht="15.6" x14ac:dyDescent="0.3">
      <c r="A192" s="285">
        <f t="shared" si="49"/>
        <v>151</v>
      </c>
      <c r="B192" s="290" t="s">
        <v>951</v>
      </c>
      <c r="C192" s="285" t="s">
        <v>220</v>
      </c>
      <c r="D192" s="298">
        <v>2</v>
      </c>
      <c r="E192" s="171">
        <v>2972.0470319999999</v>
      </c>
      <c r="F192" s="288">
        <f t="shared" si="47"/>
        <v>5944.09</v>
      </c>
      <c r="G192" s="288">
        <f t="shared" si="48"/>
        <v>7132.91</v>
      </c>
      <c r="H192" s="326"/>
      <c r="J192" s="438"/>
      <c r="K192" s="438">
        <f t="shared" si="34"/>
        <v>0</v>
      </c>
    </row>
    <row r="193" spans="1:11" s="316" customFormat="1" ht="27.6" x14ac:dyDescent="0.3">
      <c r="A193" s="285">
        <f>A192+1</f>
        <v>152</v>
      </c>
      <c r="B193" s="290" t="s">
        <v>952</v>
      </c>
      <c r="C193" s="285" t="s">
        <v>220</v>
      </c>
      <c r="D193" s="298">
        <v>2</v>
      </c>
      <c r="E193" s="171">
        <v>8105.1927479999995</v>
      </c>
      <c r="F193" s="288">
        <f t="shared" si="47"/>
        <v>16210.39</v>
      </c>
      <c r="G193" s="288">
        <f t="shared" si="48"/>
        <v>19452.47</v>
      </c>
      <c r="H193" s="326"/>
      <c r="J193" s="438"/>
      <c r="K193" s="438">
        <f t="shared" si="34"/>
        <v>0</v>
      </c>
    </row>
    <row r="194" spans="1:11" s="316" customFormat="1" ht="27.6" x14ac:dyDescent="0.3">
      <c r="A194" s="285">
        <f t="shared" ref="A194:A196" si="50">A193+1</f>
        <v>153</v>
      </c>
      <c r="B194" s="290" t="s">
        <v>953</v>
      </c>
      <c r="C194" s="285" t="s">
        <v>220</v>
      </c>
      <c r="D194" s="298">
        <v>2</v>
      </c>
      <c r="E194" s="171">
        <v>26749.853531999997</v>
      </c>
      <c r="F194" s="288">
        <f t="shared" si="47"/>
        <v>53499.71</v>
      </c>
      <c r="G194" s="288">
        <f t="shared" si="48"/>
        <v>64199.65</v>
      </c>
      <c r="H194" s="326"/>
      <c r="J194" s="438"/>
      <c r="K194" s="438">
        <f t="shared" si="34"/>
        <v>0</v>
      </c>
    </row>
    <row r="195" spans="1:11" s="316" customFormat="1" ht="27.6" x14ac:dyDescent="0.3">
      <c r="A195" s="285">
        <f t="shared" si="50"/>
        <v>154</v>
      </c>
      <c r="B195" s="290" t="s">
        <v>954</v>
      </c>
      <c r="C195" s="285" t="s">
        <v>220</v>
      </c>
      <c r="D195" s="298">
        <v>2</v>
      </c>
      <c r="E195" s="171">
        <v>9954.4982400000008</v>
      </c>
      <c r="F195" s="288">
        <f t="shared" si="47"/>
        <v>19909</v>
      </c>
      <c r="G195" s="288">
        <f t="shared" si="48"/>
        <v>23890.799999999999</v>
      </c>
      <c r="H195" s="326"/>
      <c r="J195" s="438"/>
      <c r="K195" s="438">
        <f t="shared" si="34"/>
        <v>0</v>
      </c>
    </row>
    <row r="196" spans="1:11" s="316" customFormat="1" ht="27.6" x14ac:dyDescent="0.3">
      <c r="A196" s="285">
        <f t="shared" si="50"/>
        <v>155</v>
      </c>
      <c r="B196" s="290" t="s">
        <v>955</v>
      </c>
      <c r="C196" s="285" t="s">
        <v>220</v>
      </c>
      <c r="D196" s="298">
        <v>2</v>
      </c>
      <c r="E196" s="171">
        <v>3598.4939039999999</v>
      </c>
      <c r="F196" s="288">
        <f t="shared" si="47"/>
        <v>7196.99</v>
      </c>
      <c r="G196" s="288">
        <f t="shared" si="48"/>
        <v>8636.39</v>
      </c>
      <c r="H196" s="326"/>
      <c r="J196" s="438"/>
      <c r="K196" s="438">
        <f t="shared" si="34"/>
        <v>0</v>
      </c>
    </row>
    <row r="197" spans="1:11" s="316" customFormat="1" ht="15.6" x14ac:dyDescent="0.3">
      <c r="A197" s="285">
        <f>A196+1</f>
        <v>156</v>
      </c>
      <c r="B197" s="290" t="s">
        <v>956</v>
      </c>
      <c r="C197" s="285" t="s">
        <v>239</v>
      </c>
      <c r="D197" s="301">
        <v>7.8E-2</v>
      </c>
      <c r="E197" s="171">
        <v>179605.64076923075</v>
      </c>
      <c r="F197" s="288">
        <f t="shared" si="47"/>
        <v>14009.24</v>
      </c>
      <c r="G197" s="288">
        <f t="shared" si="48"/>
        <v>16811.09</v>
      </c>
      <c r="H197" s="326"/>
      <c r="J197" s="438"/>
      <c r="K197" s="438">
        <f t="shared" si="34"/>
        <v>0</v>
      </c>
    </row>
    <row r="198" spans="1:11" ht="27.6" x14ac:dyDescent="0.3">
      <c r="A198" s="86">
        <f t="shared" si="46"/>
        <v>157</v>
      </c>
      <c r="B198" s="243" t="s">
        <v>934</v>
      </c>
      <c r="C198" s="86" t="s">
        <v>431</v>
      </c>
      <c r="D198" s="226">
        <v>54.1</v>
      </c>
      <c r="E198" s="171">
        <v>217.397088</v>
      </c>
      <c r="F198" s="102">
        <f t="shared" si="47"/>
        <v>11761.18</v>
      </c>
      <c r="G198" s="102">
        <f t="shared" si="48"/>
        <v>14113.42</v>
      </c>
      <c r="J198" s="438"/>
      <c r="K198" s="438">
        <f t="shared" ref="K198:K235" si="51">E198*J198*1.2</f>
        <v>0</v>
      </c>
    </row>
    <row r="199" spans="1:11" ht="27.6" x14ac:dyDescent="0.3">
      <c r="A199" s="86">
        <f t="shared" si="46"/>
        <v>158</v>
      </c>
      <c r="B199" s="243" t="s">
        <v>935</v>
      </c>
      <c r="C199" s="86" t="s">
        <v>431</v>
      </c>
      <c r="D199" s="226">
        <v>54.1</v>
      </c>
      <c r="E199" s="171">
        <v>451.29919176000004</v>
      </c>
      <c r="F199" s="102">
        <f t="shared" si="47"/>
        <v>24415.29</v>
      </c>
      <c r="G199" s="102">
        <f t="shared" si="48"/>
        <v>29298.35</v>
      </c>
      <c r="J199" s="438"/>
      <c r="K199" s="438">
        <f t="shared" si="51"/>
        <v>0</v>
      </c>
    </row>
    <row r="200" spans="1:11" ht="27.6" x14ac:dyDescent="0.3">
      <c r="A200" s="65">
        <f t="shared" si="46"/>
        <v>159</v>
      </c>
      <c r="B200" s="66" t="s">
        <v>547</v>
      </c>
      <c r="C200" s="65" t="s">
        <v>431</v>
      </c>
      <c r="D200" s="152">
        <v>2</v>
      </c>
      <c r="E200" s="171">
        <v>260.30440800000002</v>
      </c>
      <c r="F200" s="101">
        <f t="shared" si="47"/>
        <v>520.61</v>
      </c>
      <c r="G200" s="101">
        <f t="shared" si="48"/>
        <v>624.73</v>
      </c>
      <c r="J200" s="438"/>
      <c r="K200" s="438">
        <f t="shared" si="51"/>
        <v>0</v>
      </c>
    </row>
    <row r="201" spans="1:11" ht="15.6" x14ac:dyDescent="0.3">
      <c r="A201" s="65">
        <f t="shared" si="46"/>
        <v>160</v>
      </c>
      <c r="B201" s="66" t="s">
        <v>548</v>
      </c>
      <c r="C201" s="65" t="s">
        <v>431</v>
      </c>
      <c r="D201" s="152">
        <v>2</v>
      </c>
      <c r="E201" s="171">
        <v>260.30440800000002</v>
      </c>
      <c r="F201" s="101">
        <f t="shared" si="47"/>
        <v>520.61</v>
      </c>
      <c r="G201" s="101">
        <f t="shared" si="48"/>
        <v>624.73</v>
      </c>
      <c r="J201" s="438"/>
      <c r="K201" s="438">
        <f t="shared" si="51"/>
        <v>0</v>
      </c>
    </row>
    <row r="202" spans="1:11" ht="27.6" x14ac:dyDescent="0.3">
      <c r="A202" s="65">
        <f t="shared" si="46"/>
        <v>161</v>
      </c>
      <c r="B202" s="66" t="s">
        <v>549</v>
      </c>
      <c r="C202" s="65" t="s">
        <v>193</v>
      </c>
      <c r="D202" s="71">
        <v>0.2</v>
      </c>
      <c r="E202" s="171">
        <v>18982.412904599998</v>
      </c>
      <c r="F202" s="101">
        <f t="shared" si="47"/>
        <v>3796.48</v>
      </c>
      <c r="G202" s="101">
        <f t="shared" si="48"/>
        <v>4555.78</v>
      </c>
      <c r="J202" s="438"/>
      <c r="K202" s="438">
        <f t="shared" si="51"/>
        <v>0</v>
      </c>
    </row>
    <row r="203" spans="1:11" ht="27.6" x14ac:dyDescent="0.3">
      <c r="A203" s="285">
        <f>A202+1</f>
        <v>162</v>
      </c>
      <c r="B203" s="290" t="s">
        <v>957</v>
      </c>
      <c r="C203" s="285" t="s">
        <v>193</v>
      </c>
      <c r="D203" s="301">
        <v>0.621</v>
      </c>
      <c r="E203" s="171">
        <v>121271.33304347825</v>
      </c>
      <c r="F203" s="288">
        <f t="shared" si="47"/>
        <v>75309.5</v>
      </c>
      <c r="G203" s="288">
        <f t="shared" si="48"/>
        <v>90371.4</v>
      </c>
      <c r="J203" s="438"/>
      <c r="K203" s="438">
        <f t="shared" si="51"/>
        <v>0</v>
      </c>
    </row>
    <row r="204" spans="1:11" ht="27.6" x14ac:dyDescent="0.3">
      <c r="A204" s="285">
        <f>A203+1</f>
        <v>163</v>
      </c>
      <c r="B204" s="290" t="s">
        <v>958</v>
      </c>
      <c r="C204" s="285" t="s">
        <v>960</v>
      </c>
      <c r="D204" s="287">
        <v>23.55</v>
      </c>
      <c r="E204" s="171">
        <v>895.43286108000018</v>
      </c>
      <c r="F204" s="288">
        <f t="shared" si="47"/>
        <v>21087.439999999999</v>
      </c>
      <c r="G204" s="288">
        <f t="shared" si="48"/>
        <v>25304.93</v>
      </c>
      <c r="J204" s="438"/>
      <c r="K204" s="438">
        <f t="shared" si="51"/>
        <v>0</v>
      </c>
    </row>
    <row r="205" spans="1:11" ht="15.6" x14ac:dyDescent="0.3">
      <c r="A205" s="285">
        <f>A204+1</f>
        <v>164</v>
      </c>
      <c r="B205" s="290" t="s">
        <v>959</v>
      </c>
      <c r="C205" s="285" t="s">
        <v>431</v>
      </c>
      <c r="D205" s="287">
        <v>0.3</v>
      </c>
      <c r="E205" s="171">
        <v>486.28296</v>
      </c>
      <c r="F205" s="288">
        <f t="shared" si="47"/>
        <v>145.88</v>
      </c>
      <c r="G205" s="288">
        <f t="shared" si="48"/>
        <v>175.06</v>
      </c>
      <c r="J205" s="438"/>
      <c r="K205" s="438">
        <f t="shared" si="51"/>
        <v>0</v>
      </c>
    </row>
    <row r="206" spans="1:11" ht="15.6" x14ac:dyDescent="0.3">
      <c r="A206" s="65"/>
      <c r="B206" s="61" t="s">
        <v>404</v>
      </c>
      <c r="C206" s="65"/>
      <c r="D206" s="71"/>
      <c r="E206" s="171">
        <v>0</v>
      </c>
      <c r="F206" s="101"/>
      <c r="G206" s="101"/>
      <c r="J206" s="438"/>
      <c r="K206" s="438">
        <f t="shared" si="51"/>
        <v>0</v>
      </c>
    </row>
    <row r="207" spans="1:11" ht="41.4" x14ac:dyDescent="0.3">
      <c r="A207" s="106">
        <f>A205+1</f>
        <v>165</v>
      </c>
      <c r="B207" s="329" t="s">
        <v>961</v>
      </c>
      <c r="C207" s="65" t="s">
        <v>194</v>
      </c>
      <c r="D207" s="227">
        <v>115</v>
      </c>
      <c r="E207" s="171">
        <v>3275.4847385519997</v>
      </c>
      <c r="F207" s="101">
        <f t="shared" ref="F207:F235" si="52">ROUND(E207*D207,2)</f>
        <v>376680.74</v>
      </c>
      <c r="G207" s="101">
        <f t="shared" si="45"/>
        <v>452016.89</v>
      </c>
      <c r="H207" s="428" t="s">
        <v>1080</v>
      </c>
      <c r="J207" s="438"/>
      <c r="K207" s="438">
        <f t="shared" si="51"/>
        <v>0</v>
      </c>
    </row>
    <row r="208" spans="1:11" ht="15.6" x14ac:dyDescent="0.3">
      <c r="A208" s="106">
        <f>A207+1</f>
        <v>166</v>
      </c>
      <c r="B208" s="329" t="s">
        <v>1081</v>
      </c>
      <c r="C208" s="65" t="s">
        <v>220</v>
      </c>
      <c r="D208" s="71">
        <v>24</v>
      </c>
      <c r="E208" s="171">
        <v>13358.18851044923</v>
      </c>
      <c r="F208" s="101">
        <f t="shared" si="52"/>
        <v>320596.52</v>
      </c>
      <c r="G208" s="101">
        <f t="shared" si="45"/>
        <v>384715.82</v>
      </c>
      <c r="H208" s="229" t="s">
        <v>1627</v>
      </c>
      <c r="J208" s="438"/>
      <c r="K208" s="438">
        <f t="shared" si="51"/>
        <v>0</v>
      </c>
    </row>
    <row r="209" spans="1:11" ht="15.6" x14ac:dyDescent="0.3">
      <c r="A209" s="106">
        <f t="shared" ref="A209:A211" si="53">A208+1</f>
        <v>167</v>
      </c>
      <c r="B209" s="329" t="s">
        <v>1082</v>
      </c>
      <c r="C209" s="65" t="s">
        <v>220</v>
      </c>
      <c r="D209" s="71">
        <v>24</v>
      </c>
      <c r="E209" s="171">
        <v>2669.9165134546156</v>
      </c>
      <c r="F209" s="101">
        <f t="shared" si="52"/>
        <v>64078</v>
      </c>
      <c r="G209" s="101">
        <f t="shared" si="45"/>
        <v>76893.600000000006</v>
      </c>
      <c r="H209" s="229" t="s">
        <v>1627</v>
      </c>
      <c r="J209" s="438"/>
      <c r="K209" s="438">
        <f t="shared" si="51"/>
        <v>0</v>
      </c>
    </row>
    <row r="210" spans="1:11" ht="19.5" customHeight="1" x14ac:dyDescent="0.3">
      <c r="A210" s="285">
        <f t="shared" si="53"/>
        <v>168</v>
      </c>
      <c r="B210" s="290" t="s">
        <v>1048</v>
      </c>
      <c r="C210" s="285" t="s">
        <v>217</v>
      </c>
      <c r="D210" s="291">
        <f>12+12</f>
        <v>24</v>
      </c>
      <c r="E210" s="171">
        <v>15415.169832</v>
      </c>
      <c r="F210" s="288">
        <f t="shared" si="52"/>
        <v>369964.08</v>
      </c>
      <c r="G210" s="288">
        <f t="shared" si="45"/>
        <v>443956.9</v>
      </c>
      <c r="H210" s="270"/>
      <c r="J210" s="438"/>
      <c r="K210" s="438">
        <f t="shared" si="51"/>
        <v>0</v>
      </c>
    </row>
    <row r="211" spans="1:11" ht="41.4" x14ac:dyDescent="0.3">
      <c r="A211" s="285">
        <f t="shared" si="53"/>
        <v>169</v>
      </c>
      <c r="B211" s="290" t="s">
        <v>1262</v>
      </c>
      <c r="C211" s="285" t="s">
        <v>194</v>
      </c>
      <c r="D211" s="291">
        <v>11</v>
      </c>
      <c r="E211" s="171">
        <v>1403.4594305454546</v>
      </c>
      <c r="F211" s="288">
        <f t="shared" si="52"/>
        <v>15438.05</v>
      </c>
      <c r="G211" s="288">
        <f t="shared" si="45"/>
        <v>18525.66</v>
      </c>
      <c r="J211" s="438"/>
      <c r="K211" s="438">
        <f t="shared" si="51"/>
        <v>0</v>
      </c>
    </row>
    <row r="212" spans="1:11" ht="27.6" x14ac:dyDescent="0.3">
      <c r="A212" s="285">
        <f>A211+1</f>
        <v>170</v>
      </c>
      <c r="B212" s="290" t="s">
        <v>962</v>
      </c>
      <c r="C212" s="285" t="s">
        <v>194</v>
      </c>
      <c r="D212" s="291">
        <v>10.5</v>
      </c>
      <c r="E212" s="171">
        <v>1313.1070164</v>
      </c>
      <c r="F212" s="288">
        <f t="shared" si="52"/>
        <v>13787.62</v>
      </c>
      <c r="G212" s="288">
        <f t="shared" si="45"/>
        <v>16545.14</v>
      </c>
      <c r="H212" s="257"/>
      <c r="J212" s="438"/>
      <c r="K212" s="438">
        <f t="shared" si="51"/>
        <v>0</v>
      </c>
    </row>
    <row r="213" spans="1:11" ht="15.6" x14ac:dyDescent="0.3">
      <c r="A213" s="86">
        <f>A212+1</f>
        <v>171</v>
      </c>
      <c r="B213" s="243" t="s">
        <v>963</v>
      </c>
      <c r="C213" s="86" t="s">
        <v>220</v>
      </c>
      <c r="D213" s="152">
        <v>16</v>
      </c>
      <c r="E213" s="171">
        <v>6693.5419200000006</v>
      </c>
      <c r="F213" s="102">
        <f t="shared" si="52"/>
        <v>107096.67</v>
      </c>
      <c r="G213" s="102">
        <f t="shared" si="45"/>
        <v>128516</v>
      </c>
      <c r="H213" s="258"/>
      <c r="J213" s="438"/>
      <c r="K213" s="438">
        <f t="shared" si="51"/>
        <v>0</v>
      </c>
    </row>
    <row r="214" spans="1:11" ht="15.6" x14ac:dyDescent="0.3">
      <c r="A214" s="285">
        <f>A213+1</f>
        <v>172</v>
      </c>
      <c r="B214" s="290" t="s">
        <v>964</v>
      </c>
      <c r="C214" s="285" t="s">
        <v>220</v>
      </c>
      <c r="D214" s="298">
        <v>6</v>
      </c>
      <c r="E214" s="171">
        <v>1927.0106485199999</v>
      </c>
      <c r="F214" s="288">
        <f t="shared" si="52"/>
        <v>11562.06</v>
      </c>
      <c r="G214" s="288">
        <f t="shared" si="45"/>
        <v>13874.47</v>
      </c>
      <c r="H214" s="258"/>
      <c r="J214" s="438"/>
      <c r="K214" s="438">
        <f t="shared" si="51"/>
        <v>0</v>
      </c>
    </row>
    <row r="215" spans="1:11" ht="15.6" x14ac:dyDescent="0.3">
      <c r="A215" s="285">
        <f>A214+1</f>
        <v>173</v>
      </c>
      <c r="B215" s="290" t="s">
        <v>965</v>
      </c>
      <c r="C215" s="285" t="s">
        <v>220</v>
      </c>
      <c r="D215" s="298">
        <v>8</v>
      </c>
      <c r="E215" s="171">
        <v>393.86059272</v>
      </c>
      <c r="F215" s="288">
        <f t="shared" si="52"/>
        <v>3150.88</v>
      </c>
      <c r="G215" s="288">
        <f t="shared" si="45"/>
        <v>3781.06</v>
      </c>
      <c r="J215" s="438"/>
      <c r="K215" s="438">
        <f t="shared" si="51"/>
        <v>0</v>
      </c>
    </row>
    <row r="216" spans="1:11" ht="27.6" x14ac:dyDescent="0.3">
      <c r="A216" s="285">
        <f t="shared" ref="A216:A224" si="54">A215+1</f>
        <v>174</v>
      </c>
      <c r="B216" s="290" t="s">
        <v>966</v>
      </c>
      <c r="C216" s="285" t="s">
        <v>220</v>
      </c>
      <c r="D216" s="298">
        <v>4</v>
      </c>
      <c r="E216" s="171">
        <v>19029.396420000001</v>
      </c>
      <c r="F216" s="288">
        <f t="shared" si="52"/>
        <v>76117.59</v>
      </c>
      <c r="G216" s="288">
        <f t="shared" si="45"/>
        <v>91341.11</v>
      </c>
      <c r="J216" s="438"/>
      <c r="K216" s="438">
        <f t="shared" si="51"/>
        <v>0</v>
      </c>
    </row>
    <row r="217" spans="1:11" ht="27.6" x14ac:dyDescent="0.3">
      <c r="A217" s="285">
        <f t="shared" si="54"/>
        <v>175</v>
      </c>
      <c r="B217" s="290" t="s">
        <v>967</v>
      </c>
      <c r="C217" s="285" t="s">
        <v>220</v>
      </c>
      <c r="D217" s="298">
        <v>2</v>
      </c>
      <c r="E217" s="171">
        <v>10988.564651999999</v>
      </c>
      <c r="F217" s="288">
        <f t="shared" si="52"/>
        <v>21977.13</v>
      </c>
      <c r="G217" s="288">
        <f t="shared" si="45"/>
        <v>26372.560000000001</v>
      </c>
      <c r="J217" s="438"/>
      <c r="K217" s="438">
        <f t="shared" si="51"/>
        <v>0</v>
      </c>
    </row>
    <row r="218" spans="1:11" ht="27.6" x14ac:dyDescent="0.3">
      <c r="A218" s="285">
        <f t="shared" si="54"/>
        <v>176</v>
      </c>
      <c r="B218" s="290" t="s">
        <v>968</v>
      </c>
      <c r="C218" s="285" t="s">
        <v>220</v>
      </c>
      <c r="D218" s="298">
        <v>4</v>
      </c>
      <c r="E218" s="171">
        <v>6860.8804679999994</v>
      </c>
      <c r="F218" s="288">
        <f t="shared" si="52"/>
        <v>27443.52</v>
      </c>
      <c r="G218" s="288">
        <f t="shared" si="45"/>
        <v>32932.22</v>
      </c>
      <c r="J218" s="438"/>
      <c r="K218" s="438">
        <f t="shared" si="51"/>
        <v>0</v>
      </c>
    </row>
    <row r="219" spans="1:11" ht="15.6" x14ac:dyDescent="0.3">
      <c r="A219" s="285">
        <f t="shared" si="54"/>
        <v>177</v>
      </c>
      <c r="B219" s="290" t="s">
        <v>969</v>
      </c>
      <c r="C219" s="285" t="s">
        <v>220</v>
      </c>
      <c r="D219" s="298">
        <v>2</v>
      </c>
      <c r="E219" s="171">
        <v>2186.8430760000001</v>
      </c>
      <c r="F219" s="288">
        <f t="shared" si="52"/>
        <v>4373.6899999999996</v>
      </c>
      <c r="G219" s="288">
        <f t="shared" si="45"/>
        <v>5248.43</v>
      </c>
      <c r="J219" s="438"/>
      <c r="K219" s="438">
        <f t="shared" si="51"/>
        <v>0</v>
      </c>
    </row>
    <row r="220" spans="1:11" ht="15.6" x14ac:dyDescent="0.3">
      <c r="A220" s="285">
        <f t="shared" si="54"/>
        <v>178</v>
      </c>
      <c r="B220" s="290" t="s">
        <v>970</v>
      </c>
      <c r="C220" s="285" t="s">
        <v>194</v>
      </c>
      <c r="D220" s="291">
        <v>2.2999999999999998</v>
      </c>
      <c r="E220" s="171">
        <v>992.46496695652161</v>
      </c>
      <c r="F220" s="288">
        <f t="shared" si="52"/>
        <v>2282.67</v>
      </c>
      <c r="G220" s="288">
        <f t="shared" si="45"/>
        <v>2739.2</v>
      </c>
      <c r="J220" s="438"/>
      <c r="K220" s="438">
        <f t="shared" si="51"/>
        <v>0</v>
      </c>
    </row>
    <row r="221" spans="1:11" ht="15.6" x14ac:dyDescent="0.3">
      <c r="A221" s="285">
        <f t="shared" si="54"/>
        <v>179</v>
      </c>
      <c r="B221" s="290" t="s">
        <v>971</v>
      </c>
      <c r="C221" s="285" t="s">
        <v>220</v>
      </c>
      <c r="D221" s="298">
        <v>1</v>
      </c>
      <c r="E221" s="171">
        <v>4938.6325319999996</v>
      </c>
      <c r="F221" s="288">
        <f t="shared" si="52"/>
        <v>4938.63</v>
      </c>
      <c r="G221" s="288">
        <f t="shared" si="45"/>
        <v>5926.36</v>
      </c>
      <c r="J221" s="438"/>
      <c r="K221" s="438">
        <f t="shared" si="51"/>
        <v>0</v>
      </c>
    </row>
    <row r="222" spans="1:11" ht="15.6" x14ac:dyDescent="0.3">
      <c r="A222" s="285">
        <f t="shared" si="54"/>
        <v>180</v>
      </c>
      <c r="B222" s="290" t="s">
        <v>972</v>
      </c>
      <c r="C222" s="285" t="s">
        <v>220</v>
      </c>
      <c r="D222" s="298">
        <v>4</v>
      </c>
      <c r="E222" s="171">
        <v>4592.5134839999992</v>
      </c>
      <c r="F222" s="288">
        <f t="shared" si="52"/>
        <v>18370.05</v>
      </c>
      <c r="G222" s="288">
        <f t="shared" si="45"/>
        <v>22044.06</v>
      </c>
      <c r="H222" s="270" t="s">
        <v>1264</v>
      </c>
      <c r="J222" s="438"/>
      <c r="K222" s="438">
        <f t="shared" si="51"/>
        <v>0</v>
      </c>
    </row>
    <row r="223" spans="1:11" ht="15.6" x14ac:dyDescent="0.3">
      <c r="A223" s="285">
        <f t="shared" si="54"/>
        <v>181</v>
      </c>
      <c r="B223" s="290" t="s">
        <v>1041</v>
      </c>
      <c r="C223" s="285" t="s">
        <v>217</v>
      </c>
      <c r="D223" s="298">
        <v>4</v>
      </c>
      <c r="E223" s="171">
        <v>607.8537</v>
      </c>
      <c r="F223" s="288">
        <f t="shared" si="52"/>
        <v>2431.41</v>
      </c>
      <c r="G223" s="288">
        <f t="shared" si="45"/>
        <v>2917.69</v>
      </c>
      <c r="H223" s="270" t="s">
        <v>1265</v>
      </c>
      <c r="J223" s="438"/>
      <c r="K223" s="438">
        <f t="shared" si="51"/>
        <v>0</v>
      </c>
    </row>
    <row r="224" spans="1:11" ht="15.6" x14ac:dyDescent="0.3">
      <c r="A224" s="86">
        <f t="shared" si="54"/>
        <v>182</v>
      </c>
      <c r="B224" s="243" t="s">
        <v>974</v>
      </c>
      <c r="C224" s="86" t="s">
        <v>193</v>
      </c>
      <c r="D224" s="227">
        <f>0.31+0.34+0.27+0.403</f>
        <v>1.323</v>
      </c>
      <c r="E224" s="171">
        <v>25993.254456000002</v>
      </c>
      <c r="F224" s="102">
        <f t="shared" si="52"/>
        <v>34389.08</v>
      </c>
      <c r="G224" s="102">
        <f t="shared" si="45"/>
        <v>41266.9</v>
      </c>
      <c r="J224" s="438"/>
      <c r="K224" s="438">
        <f t="shared" si="51"/>
        <v>0</v>
      </c>
    </row>
    <row r="225" spans="1:11" ht="15.6" x14ac:dyDescent="0.3">
      <c r="A225" s="285">
        <f>A224+1</f>
        <v>183</v>
      </c>
      <c r="B225" s="290" t="s">
        <v>951</v>
      </c>
      <c r="C225" s="285" t="s">
        <v>220</v>
      </c>
      <c r="D225" s="298">
        <v>1</v>
      </c>
      <c r="E225" s="171">
        <v>2972.0470319999999</v>
      </c>
      <c r="F225" s="288">
        <f t="shared" si="52"/>
        <v>2972.05</v>
      </c>
      <c r="G225" s="288">
        <f t="shared" ref="G225:G235" si="55">ROUND(F225*1.2,2)</f>
        <v>3566.46</v>
      </c>
      <c r="J225" s="438"/>
      <c r="K225" s="438">
        <f t="shared" si="51"/>
        <v>0</v>
      </c>
    </row>
    <row r="226" spans="1:11" ht="15.6" x14ac:dyDescent="0.3">
      <c r="A226" s="285">
        <f>A225+1</f>
        <v>184</v>
      </c>
      <c r="B226" s="290" t="s">
        <v>981</v>
      </c>
      <c r="C226" s="285" t="s">
        <v>193</v>
      </c>
      <c r="D226" s="287">
        <v>0.28000000000000003</v>
      </c>
      <c r="E226" s="171">
        <v>24022.991185714283</v>
      </c>
      <c r="F226" s="288">
        <f t="shared" si="52"/>
        <v>6726.44</v>
      </c>
      <c r="G226" s="288">
        <f t="shared" si="55"/>
        <v>8071.73</v>
      </c>
      <c r="J226" s="438"/>
      <c r="K226" s="438">
        <f t="shared" si="51"/>
        <v>0</v>
      </c>
    </row>
    <row r="227" spans="1:11" ht="15.6" x14ac:dyDescent="0.3">
      <c r="A227" s="285">
        <f t="shared" ref="A227:A235" si="56">A226+1</f>
        <v>185</v>
      </c>
      <c r="B227" s="290" t="s">
        <v>982</v>
      </c>
      <c r="C227" s="285" t="s">
        <v>193</v>
      </c>
      <c r="D227" s="287">
        <v>0.05</v>
      </c>
      <c r="E227" s="171">
        <v>37872.861120000001</v>
      </c>
      <c r="F227" s="288">
        <f t="shared" si="52"/>
        <v>1893.64</v>
      </c>
      <c r="G227" s="288">
        <f t="shared" si="55"/>
        <v>2272.37</v>
      </c>
      <c r="H227" s="270" t="s">
        <v>1266</v>
      </c>
      <c r="J227" s="438"/>
      <c r="K227" s="438">
        <f t="shared" si="51"/>
        <v>0</v>
      </c>
    </row>
    <row r="228" spans="1:11" ht="15.6" x14ac:dyDescent="0.3">
      <c r="A228" s="285">
        <f t="shared" si="56"/>
        <v>186</v>
      </c>
      <c r="B228" s="290" t="s">
        <v>983</v>
      </c>
      <c r="C228" s="285" t="s">
        <v>193</v>
      </c>
      <c r="D228" s="291">
        <v>0.3</v>
      </c>
      <c r="E228" s="171">
        <v>1973.7367200000001</v>
      </c>
      <c r="F228" s="288">
        <f t="shared" si="52"/>
        <v>592.12</v>
      </c>
      <c r="G228" s="288">
        <f t="shared" si="55"/>
        <v>710.54</v>
      </c>
      <c r="J228" s="438"/>
      <c r="K228" s="438">
        <f t="shared" si="51"/>
        <v>0</v>
      </c>
    </row>
    <row r="229" spans="1:11" ht="15.6" x14ac:dyDescent="0.3">
      <c r="A229" s="285">
        <f t="shared" si="56"/>
        <v>187</v>
      </c>
      <c r="B229" s="290" t="s">
        <v>984</v>
      </c>
      <c r="C229" s="285" t="s">
        <v>239</v>
      </c>
      <c r="D229" s="301">
        <v>0.123</v>
      </c>
      <c r="E229" s="171">
        <v>100454.29199999999</v>
      </c>
      <c r="F229" s="288">
        <f t="shared" si="52"/>
        <v>12355.88</v>
      </c>
      <c r="G229" s="288">
        <f t="shared" si="55"/>
        <v>14827.06</v>
      </c>
      <c r="J229" s="438"/>
      <c r="K229" s="438">
        <f t="shared" si="51"/>
        <v>0</v>
      </c>
    </row>
    <row r="230" spans="1:11" ht="15.6" x14ac:dyDescent="0.3">
      <c r="A230" s="285">
        <f t="shared" si="56"/>
        <v>188</v>
      </c>
      <c r="B230" s="290" t="s">
        <v>986</v>
      </c>
      <c r="C230" s="285" t="s">
        <v>220</v>
      </c>
      <c r="D230" s="298">
        <v>3</v>
      </c>
      <c r="E230" s="171">
        <v>1250.0332559999999</v>
      </c>
      <c r="F230" s="288">
        <f t="shared" si="52"/>
        <v>3750.1</v>
      </c>
      <c r="G230" s="288">
        <f t="shared" si="55"/>
        <v>4500.12</v>
      </c>
      <c r="J230" s="438"/>
      <c r="K230" s="438">
        <f t="shared" si="51"/>
        <v>0</v>
      </c>
    </row>
    <row r="231" spans="1:11" ht="15.6" x14ac:dyDescent="0.3">
      <c r="A231" s="285">
        <f t="shared" si="56"/>
        <v>189</v>
      </c>
      <c r="B231" s="290" t="s">
        <v>980</v>
      </c>
      <c r="C231" s="285" t="s">
        <v>193</v>
      </c>
      <c r="D231" s="287">
        <v>0.02</v>
      </c>
      <c r="E231" s="171">
        <v>99473.470199999996</v>
      </c>
      <c r="F231" s="288">
        <f t="shared" si="52"/>
        <v>1989.47</v>
      </c>
      <c r="G231" s="288">
        <f t="shared" si="55"/>
        <v>2387.36</v>
      </c>
      <c r="J231" s="438"/>
      <c r="K231" s="438">
        <f t="shared" si="51"/>
        <v>0</v>
      </c>
    </row>
    <row r="232" spans="1:11" ht="15.6" x14ac:dyDescent="0.3">
      <c r="A232" s="285">
        <f t="shared" si="56"/>
        <v>190</v>
      </c>
      <c r="B232" s="290" t="s">
        <v>1263</v>
      </c>
      <c r="C232" s="285" t="s">
        <v>193</v>
      </c>
      <c r="D232" s="301">
        <v>4.3890000000000002</v>
      </c>
      <c r="E232" s="171">
        <v>20112.704415584412</v>
      </c>
      <c r="F232" s="288">
        <f t="shared" si="52"/>
        <v>88274.66</v>
      </c>
      <c r="G232" s="288">
        <f t="shared" si="55"/>
        <v>105929.59</v>
      </c>
      <c r="J232" s="438"/>
      <c r="K232" s="438">
        <f t="shared" si="51"/>
        <v>0</v>
      </c>
    </row>
    <row r="233" spans="1:11" ht="15.6" x14ac:dyDescent="0.3">
      <c r="A233" s="86">
        <f t="shared" si="56"/>
        <v>191</v>
      </c>
      <c r="B233" s="243" t="s">
        <v>978</v>
      </c>
      <c r="C233" s="86" t="s">
        <v>431</v>
      </c>
      <c r="D233" s="226">
        <v>41.6</v>
      </c>
      <c r="E233" s="171">
        <v>217.397088</v>
      </c>
      <c r="F233" s="102">
        <f t="shared" si="52"/>
        <v>9043.7199999999993</v>
      </c>
      <c r="G233" s="102">
        <f t="shared" si="55"/>
        <v>10852.46</v>
      </c>
      <c r="J233" s="438"/>
      <c r="K233" s="438">
        <f t="shared" si="51"/>
        <v>0</v>
      </c>
    </row>
    <row r="234" spans="1:11" ht="15.6" x14ac:dyDescent="0.3">
      <c r="A234" s="86">
        <f t="shared" si="56"/>
        <v>192</v>
      </c>
      <c r="B234" s="243" t="s">
        <v>979</v>
      </c>
      <c r="C234" s="86" t="s">
        <v>431</v>
      </c>
      <c r="D234" s="226">
        <v>41.6</v>
      </c>
      <c r="E234" s="171">
        <v>451.29919176000004</v>
      </c>
      <c r="F234" s="102">
        <f t="shared" si="52"/>
        <v>18774.05</v>
      </c>
      <c r="G234" s="102">
        <f t="shared" si="55"/>
        <v>22528.86</v>
      </c>
      <c r="J234" s="438"/>
      <c r="K234" s="438">
        <f t="shared" si="51"/>
        <v>0</v>
      </c>
    </row>
    <row r="235" spans="1:11" ht="15.6" x14ac:dyDescent="0.3">
      <c r="A235" s="285">
        <f t="shared" si="56"/>
        <v>193</v>
      </c>
      <c r="B235" s="290" t="s">
        <v>985</v>
      </c>
      <c r="C235" s="285" t="s">
        <v>239</v>
      </c>
      <c r="D235" s="301">
        <v>0.13300000000000001</v>
      </c>
      <c r="E235" s="171">
        <v>100450.44514285713</v>
      </c>
      <c r="F235" s="288">
        <f t="shared" si="52"/>
        <v>13359.91</v>
      </c>
      <c r="G235" s="288">
        <f t="shared" si="55"/>
        <v>16031.89</v>
      </c>
      <c r="J235" s="438"/>
      <c r="K235" s="438">
        <f t="shared" si="51"/>
        <v>0</v>
      </c>
    </row>
    <row r="236" spans="1:11" x14ac:dyDescent="0.3">
      <c r="A236" s="533" t="s">
        <v>721</v>
      </c>
      <c r="B236" s="534"/>
      <c r="C236" s="534"/>
      <c r="D236" s="534"/>
      <c r="E236" s="535"/>
      <c r="F236" s="157">
        <f>SUM(F7:F235)</f>
        <v>37686547.549999997</v>
      </c>
      <c r="G236" s="157">
        <f>SUM(G7:G235)</f>
        <v>45223857.109999999</v>
      </c>
      <c r="J236" s="436"/>
      <c r="K236" s="436">
        <f>SUM(K5:K235)</f>
        <v>742008.01477920008</v>
      </c>
    </row>
  </sheetData>
  <autoFilter ref="A1:H236" xr:uid="{00000000-0001-0000-0200-000000000000}"/>
  <mergeCells count="15">
    <mergeCell ref="A236:E236"/>
    <mergeCell ref="J1:J3"/>
    <mergeCell ref="K1:K3"/>
    <mergeCell ref="B5:D5"/>
    <mergeCell ref="B62:D62"/>
    <mergeCell ref="B83:D83"/>
    <mergeCell ref="B107:D107"/>
    <mergeCell ref="B137:D137"/>
    <mergeCell ref="A1:A3"/>
    <mergeCell ref="B1:B3"/>
    <mergeCell ref="C1:C3"/>
    <mergeCell ref="D1:D3"/>
    <mergeCell ref="G1:G3"/>
    <mergeCell ref="F1:F3"/>
    <mergeCell ref="E1:E3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L301"/>
  <sheetViews>
    <sheetView zoomScaleNormal="100" zoomScaleSheetLayoutView="85" workbookViewId="0">
      <selection activeCell="J1" sqref="J1:K1048576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109375" customWidth="1"/>
    <col min="5" max="5" width="15.88671875" bestFit="1" customWidth="1"/>
    <col min="6" max="6" width="16.21875" customWidth="1"/>
    <col min="7" max="7" width="16.6640625" style="52" customWidth="1"/>
    <col min="8" max="8" width="12" customWidth="1"/>
    <col min="10" max="11" width="17" style="440" customWidth="1"/>
  </cols>
  <sheetData>
    <row r="1" spans="1:12" ht="14.55" customHeight="1" x14ac:dyDescent="0.3">
      <c r="A1" s="539" t="s">
        <v>226</v>
      </c>
      <c r="B1" s="542" t="s">
        <v>201</v>
      </c>
      <c r="C1" s="545" t="s">
        <v>230</v>
      </c>
      <c r="D1" s="545" t="s">
        <v>202</v>
      </c>
      <c r="E1" s="550" t="s">
        <v>231</v>
      </c>
      <c r="F1" s="548" t="s">
        <v>410</v>
      </c>
      <c r="G1" s="553" t="s">
        <v>409</v>
      </c>
      <c r="J1" s="536" t="s">
        <v>1657</v>
      </c>
      <c r="K1" s="536" t="s">
        <v>1658</v>
      </c>
    </row>
    <row r="2" spans="1:12" ht="14.55" customHeight="1" x14ac:dyDescent="0.3">
      <c r="A2" s="540"/>
      <c r="B2" s="543"/>
      <c r="C2" s="545"/>
      <c r="D2" s="545"/>
      <c r="E2" s="550"/>
      <c r="F2" s="548"/>
      <c r="G2" s="553"/>
      <c r="J2" s="536"/>
      <c r="K2" s="536"/>
      <c r="L2" s="381"/>
    </row>
    <row r="3" spans="1:12" ht="27.6" customHeight="1" x14ac:dyDescent="0.3">
      <c r="A3" s="541"/>
      <c r="B3" s="544"/>
      <c r="C3" s="545"/>
      <c r="D3" s="545"/>
      <c r="E3" s="551"/>
      <c r="F3" s="549"/>
      <c r="G3" s="554"/>
      <c r="J3" s="536"/>
      <c r="K3" s="536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7"/>
      <c r="K4" s="437"/>
      <c r="L4" s="381"/>
    </row>
    <row r="5" spans="1:12" ht="20.25" customHeight="1" x14ac:dyDescent="0.3">
      <c r="A5" s="173"/>
      <c r="B5" s="537" t="s">
        <v>232</v>
      </c>
      <c r="C5" s="538"/>
      <c r="D5" s="538"/>
      <c r="E5" s="174"/>
      <c r="F5" s="175"/>
      <c r="G5" s="337"/>
      <c r="J5" s="438"/>
      <c r="K5" s="438">
        <f>E5*J5*1.2</f>
        <v>0</v>
      </c>
    </row>
    <row r="6" spans="1:12" x14ac:dyDescent="0.3">
      <c r="A6" s="306"/>
      <c r="B6" s="61" t="s">
        <v>233</v>
      </c>
      <c r="C6" s="62"/>
      <c r="D6" s="62"/>
      <c r="E6" s="63"/>
      <c r="F6" s="64"/>
      <c r="G6" s="55"/>
      <c r="J6" s="438"/>
      <c r="K6" s="438">
        <f t="shared" ref="K6:K69" si="0">E6*J6*1.2</f>
        <v>0</v>
      </c>
    </row>
    <row r="7" spans="1:12" ht="15.6" x14ac:dyDescent="0.3">
      <c r="A7" s="65">
        <v>1</v>
      </c>
      <c r="B7" s="66" t="s">
        <v>234</v>
      </c>
      <c r="C7" s="65" t="s">
        <v>193</v>
      </c>
      <c r="D7" s="67">
        <v>218.4</v>
      </c>
      <c r="E7" s="213">
        <v>1701.1764000000003</v>
      </c>
      <c r="F7" s="101">
        <f t="shared" ref="F7:F14" si="1">ROUND(E7*D7,2)</f>
        <v>371536.93</v>
      </c>
      <c r="G7" s="101">
        <f t="shared" ref="G7:G14" si="2">ROUND(F7*1.2,2)</f>
        <v>445844.32</v>
      </c>
      <c r="J7" s="438"/>
      <c r="K7" s="438">
        <f t="shared" si="0"/>
        <v>0</v>
      </c>
    </row>
    <row r="8" spans="1:12" ht="15.6" x14ac:dyDescent="0.3">
      <c r="A8" s="65">
        <f>A7+1</f>
        <v>2</v>
      </c>
      <c r="B8" s="66" t="s">
        <v>235</v>
      </c>
      <c r="C8" s="65" t="s">
        <v>193</v>
      </c>
      <c r="D8" s="67">
        <v>370.8</v>
      </c>
      <c r="E8" s="213">
        <v>2037.54537</v>
      </c>
      <c r="F8" s="101">
        <f t="shared" si="1"/>
        <v>755521.82</v>
      </c>
      <c r="G8" s="101">
        <f t="shared" si="2"/>
        <v>906626.18</v>
      </c>
      <c r="J8" s="438"/>
      <c r="K8" s="438">
        <f t="shared" si="0"/>
        <v>0</v>
      </c>
    </row>
    <row r="9" spans="1:12" ht="15.6" x14ac:dyDescent="0.3">
      <c r="A9" s="65">
        <f>A8+1</f>
        <v>3</v>
      </c>
      <c r="B9" s="66" t="s">
        <v>236</v>
      </c>
      <c r="C9" s="65" t="s">
        <v>193</v>
      </c>
      <c r="D9" s="67">
        <v>337.22199999999998</v>
      </c>
      <c r="E9" s="213">
        <v>5162.8126200000006</v>
      </c>
      <c r="F9" s="101">
        <f t="shared" si="1"/>
        <v>1741014</v>
      </c>
      <c r="G9" s="101">
        <f t="shared" si="2"/>
        <v>2089216.8</v>
      </c>
      <c r="J9" s="438"/>
      <c r="K9" s="438">
        <f t="shared" si="0"/>
        <v>0</v>
      </c>
    </row>
    <row r="10" spans="1:12" ht="15.6" x14ac:dyDescent="0.3">
      <c r="A10" s="65">
        <f t="shared" ref="A10:A14" si="3">A9+1</f>
        <v>4</v>
      </c>
      <c r="B10" s="66" t="s">
        <v>237</v>
      </c>
      <c r="C10" s="65" t="s">
        <v>193</v>
      </c>
      <c r="D10" s="67">
        <v>141.57</v>
      </c>
      <c r="E10" s="213">
        <v>5434.7430899999999</v>
      </c>
      <c r="F10" s="101">
        <f t="shared" si="1"/>
        <v>769396.58</v>
      </c>
      <c r="G10" s="101">
        <f t="shared" si="2"/>
        <v>923275.9</v>
      </c>
      <c r="J10" s="438"/>
      <c r="K10" s="438">
        <f t="shared" si="0"/>
        <v>0</v>
      </c>
    </row>
    <row r="11" spans="1:12" ht="15.6" x14ac:dyDescent="0.3">
      <c r="A11" s="65">
        <f t="shared" si="3"/>
        <v>5</v>
      </c>
      <c r="B11" s="66" t="s">
        <v>238</v>
      </c>
      <c r="C11" s="65" t="s">
        <v>239</v>
      </c>
      <c r="D11" s="67">
        <v>123.17</v>
      </c>
      <c r="E11" s="213">
        <v>8016.1494000000002</v>
      </c>
      <c r="F11" s="101">
        <f t="shared" si="1"/>
        <v>987349.12</v>
      </c>
      <c r="G11" s="101">
        <f t="shared" si="2"/>
        <v>1184818.94</v>
      </c>
      <c r="J11" s="438"/>
      <c r="K11" s="438">
        <f t="shared" si="0"/>
        <v>0</v>
      </c>
    </row>
    <row r="12" spans="1:12" ht="15.6" x14ac:dyDescent="0.3">
      <c r="A12" s="65">
        <f t="shared" si="3"/>
        <v>6</v>
      </c>
      <c r="B12" s="66" t="s">
        <v>240</v>
      </c>
      <c r="C12" s="65" t="s">
        <v>220</v>
      </c>
      <c r="D12" s="70">
        <v>100</v>
      </c>
      <c r="E12" s="213">
        <v>516.79677000000004</v>
      </c>
      <c r="F12" s="101">
        <f t="shared" si="1"/>
        <v>51679.68</v>
      </c>
      <c r="G12" s="101">
        <f t="shared" si="2"/>
        <v>62015.62</v>
      </c>
      <c r="J12" s="438"/>
      <c r="K12" s="438">
        <f t="shared" si="0"/>
        <v>0</v>
      </c>
    </row>
    <row r="13" spans="1:12" ht="15.6" x14ac:dyDescent="0.3">
      <c r="A13" s="65">
        <f t="shared" si="3"/>
        <v>7</v>
      </c>
      <c r="B13" s="66" t="s">
        <v>241</v>
      </c>
      <c r="C13" s="65" t="s">
        <v>193</v>
      </c>
      <c r="D13" s="71">
        <v>5.9</v>
      </c>
      <c r="E13" s="213">
        <v>6521.1762000000008</v>
      </c>
      <c r="F13" s="101">
        <f t="shared" si="1"/>
        <v>38474.94</v>
      </c>
      <c r="G13" s="101">
        <f t="shared" si="2"/>
        <v>46169.93</v>
      </c>
      <c r="J13" s="438"/>
      <c r="K13" s="438">
        <f t="shared" si="0"/>
        <v>0</v>
      </c>
    </row>
    <row r="14" spans="1:12" ht="27.6" x14ac:dyDescent="0.3">
      <c r="A14" s="65">
        <f t="shared" si="3"/>
        <v>8</v>
      </c>
      <c r="B14" s="66" t="s">
        <v>242</v>
      </c>
      <c r="C14" s="65" t="s">
        <v>243</v>
      </c>
      <c r="D14" s="70">
        <v>1</v>
      </c>
      <c r="E14" s="213">
        <v>42529.41</v>
      </c>
      <c r="F14" s="101">
        <f t="shared" si="1"/>
        <v>42529.41</v>
      </c>
      <c r="G14" s="101">
        <f t="shared" si="2"/>
        <v>51035.29</v>
      </c>
      <c r="J14" s="438"/>
      <c r="K14" s="438">
        <f t="shared" si="0"/>
        <v>0</v>
      </c>
    </row>
    <row r="15" spans="1:12" ht="15.6" x14ac:dyDescent="0.3">
      <c r="A15" s="306"/>
      <c r="B15" s="61" t="s">
        <v>244</v>
      </c>
      <c r="C15" s="62"/>
      <c r="D15" s="62"/>
      <c r="E15" s="213">
        <v>0</v>
      </c>
      <c r="F15" s="101"/>
      <c r="G15" s="101"/>
      <c r="J15" s="438"/>
      <c r="K15" s="438">
        <f t="shared" si="0"/>
        <v>0</v>
      </c>
    </row>
    <row r="16" spans="1:12" ht="15.6" x14ac:dyDescent="0.3">
      <c r="A16" s="65">
        <f>A14+1</f>
        <v>9</v>
      </c>
      <c r="B16" s="66" t="s">
        <v>245</v>
      </c>
      <c r="C16" s="65" t="s">
        <v>220</v>
      </c>
      <c r="D16" s="70">
        <v>284</v>
      </c>
      <c r="E16" s="213">
        <v>3395.9089500000005</v>
      </c>
      <c r="F16" s="101">
        <f t="shared" ref="F16:F21" si="4">ROUND(E16*D16,2)</f>
        <v>964438.14</v>
      </c>
      <c r="G16" s="101">
        <f t="shared" ref="G16:G21" si="5">ROUND(F16*1.2,2)</f>
        <v>1157325.77</v>
      </c>
      <c r="J16" s="438"/>
      <c r="K16" s="438">
        <f t="shared" si="0"/>
        <v>0</v>
      </c>
    </row>
    <row r="17" spans="1:11" ht="15.6" x14ac:dyDescent="0.3">
      <c r="A17" s="65">
        <f>A16+1</f>
        <v>10</v>
      </c>
      <c r="B17" s="66" t="s">
        <v>246</v>
      </c>
      <c r="C17" s="65" t="s">
        <v>220</v>
      </c>
      <c r="D17" s="70">
        <v>16</v>
      </c>
      <c r="E17" s="213">
        <v>104610.74967</v>
      </c>
      <c r="F17" s="101">
        <f t="shared" si="4"/>
        <v>1673771.99</v>
      </c>
      <c r="G17" s="101">
        <f t="shared" si="5"/>
        <v>2008526.39</v>
      </c>
      <c r="J17" s="438"/>
      <c r="K17" s="438">
        <f t="shared" si="0"/>
        <v>0</v>
      </c>
    </row>
    <row r="18" spans="1:11" ht="15.6" x14ac:dyDescent="0.3">
      <c r="A18" s="65">
        <f t="shared" ref="A18:A21" si="6">A17+1</f>
        <v>11</v>
      </c>
      <c r="B18" s="66" t="s">
        <v>247</v>
      </c>
      <c r="C18" s="65" t="s">
        <v>239</v>
      </c>
      <c r="D18" s="67">
        <v>4.04</v>
      </c>
      <c r="E18" s="213">
        <v>326058.81000000006</v>
      </c>
      <c r="F18" s="101">
        <f t="shared" si="4"/>
        <v>1317277.5900000001</v>
      </c>
      <c r="G18" s="101">
        <f t="shared" si="5"/>
        <v>1580733.11</v>
      </c>
      <c r="J18" s="438"/>
      <c r="K18" s="438">
        <f t="shared" si="0"/>
        <v>0</v>
      </c>
    </row>
    <row r="19" spans="1:11" ht="15.6" x14ac:dyDescent="0.3">
      <c r="A19" s="65">
        <f t="shared" si="6"/>
        <v>12</v>
      </c>
      <c r="B19" s="66" t="s">
        <v>248</v>
      </c>
      <c r="C19" s="65" t="s">
        <v>220</v>
      </c>
      <c r="D19" s="70">
        <v>574</v>
      </c>
      <c r="E19" s="213">
        <v>101.81283000000001</v>
      </c>
      <c r="F19" s="101">
        <f t="shared" si="4"/>
        <v>58440.56</v>
      </c>
      <c r="G19" s="101">
        <f t="shared" si="5"/>
        <v>70128.67</v>
      </c>
      <c r="J19" s="438"/>
      <c r="K19" s="438">
        <f t="shared" si="0"/>
        <v>0</v>
      </c>
    </row>
    <row r="20" spans="1:11" ht="15.6" x14ac:dyDescent="0.3">
      <c r="A20" s="65">
        <f t="shared" si="6"/>
        <v>13</v>
      </c>
      <c r="B20" s="66" t="s">
        <v>249</v>
      </c>
      <c r="C20" s="65" t="s">
        <v>220</v>
      </c>
      <c r="D20" s="70">
        <v>574</v>
      </c>
      <c r="E20" s="213">
        <v>91.502670000000023</v>
      </c>
      <c r="F20" s="101">
        <f t="shared" si="4"/>
        <v>52522.53</v>
      </c>
      <c r="G20" s="101">
        <f t="shared" si="5"/>
        <v>63027.040000000001</v>
      </c>
      <c r="J20" s="438"/>
      <c r="K20" s="438">
        <f t="shared" si="0"/>
        <v>0</v>
      </c>
    </row>
    <row r="21" spans="1:11" ht="27.6" x14ac:dyDescent="0.3">
      <c r="A21" s="65">
        <f t="shared" si="6"/>
        <v>14</v>
      </c>
      <c r="B21" s="66" t="s">
        <v>250</v>
      </c>
      <c r="C21" s="65" t="s">
        <v>243</v>
      </c>
      <c r="D21" s="70">
        <v>1</v>
      </c>
      <c r="E21" s="213">
        <v>425294.10000000003</v>
      </c>
      <c r="F21" s="101">
        <f t="shared" si="4"/>
        <v>425294.1</v>
      </c>
      <c r="G21" s="101">
        <f t="shared" si="5"/>
        <v>510352.92</v>
      </c>
      <c r="J21" s="438"/>
      <c r="K21" s="438">
        <f t="shared" si="0"/>
        <v>0</v>
      </c>
    </row>
    <row r="22" spans="1:11" ht="15.6" x14ac:dyDescent="0.3">
      <c r="A22" s="306"/>
      <c r="B22" s="61" t="s">
        <v>251</v>
      </c>
      <c r="C22" s="62"/>
      <c r="D22" s="62"/>
      <c r="E22" s="213">
        <v>0</v>
      </c>
      <c r="F22" s="101"/>
      <c r="G22" s="101"/>
      <c r="J22" s="438"/>
      <c r="K22" s="438">
        <f t="shared" si="0"/>
        <v>0</v>
      </c>
    </row>
    <row r="23" spans="1:11" ht="15.6" x14ac:dyDescent="0.3">
      <c r="A23" s="65"/>
      <c r="B23" s="72" t="s">
        <v>252</v>
      </c>
      <c r="C23" s="73"/>
      <c r="D23" s="74"/>
      <c r="E23" s="213">
        <v>0</v>
      </c>
      <c r="F23" s="101"/>
      <c r="G23" s="101"/>
      <c r="J23" s="438"/>
      <c r="K23" s="438">
        <f t="shared" si="0"/>
        <v>0</v>
      </c>
    </row>
    <row r="24" spans="1:11" ht="15.6" x14ac:dyDescent="0.3">
      <c r="A24" s="65">
        <f>A21+1</f>
        <v>15</v>
      </c>
      <c r="B24" s="66" t="s">
        <v>253</v>
      </c>
      <c r="C24" s="65" t="s">
        <v>254</v>
      </c>
      <c r="D24" s="67">
        <f>10*1.73*4*2</f>
        <v>138.4</v>
      </c>
      <c r="E24" s="213">
        <v>81.192509999999999</v>
      </c>
      <c r="F24" s="101">
        <f t="shared" ref="F24:F33" si="7">ROUND(E24*D24,2)</f>
        <v>11237.04</v>
      </c>
      <c r="G24" s="101">
        <f t="shared" ref="G24:G33" si="8">ROUND(F24*1.2,2)</f>
        <v>13484.45</v>
      </c>
      <c r="J24" s="438"/>
      <c r="K24" s="438">
        <f t="shared" si="0"/>
        <v>0</v>
      </c>
    </row>
    <row r="25" spans="1:11" ht="15.6" x14ac:dyDescent="0.3">
      <c r="A25" s="65">
        <f>A24+1</f>
        <v>16</v>
      </c>
      <c r="B25" s="66" t="s">
        <v>255</v>
      </c>
      <c r="C25" s="65" t="s">
        <v>254</v>
      </c>
      <c r="D25" s="75">
        <f>8*2.524*4</f>
        <v>80.768000000000001</v>
      </c>
      <c r="E25" s="213">
        <v>87.636359999999996</v>
      </c>
      <c r="F25" s="101">
        <f t="shared" si="7"/>
        <v>7078.21</v>
      </c>
      <c r="G25" s="101">
        <f t="shared" si="8"/>
        <v>8493.85</v>
      </c>
      <c r="J25" s="438"/>
      <c r="K25" s="438">
        <f t="shared" si="0"/>
        <v>0</v>
      </c>
    </row>
    <row r="26" spans="1:11" ht="15.6" x14ac:dyDescent="0.3">
      <c r="A26" s="65">
        <f t="shared" ref="A26:A32" si="9">A25+1</f>
        <v>17</v>
      </c>
      <c r="B26" s="66" t="s">
        <v>256</v>
      </c>
      <c r="C26" s="65" t="s">
        <v>254</v>
      </c>
      <c r="D26" s="75">
        <f>4*1.191*4</f>
        <v>19.056000000000001</v>
      </c>
      <c r="E26" s="213">
        <v>90.21390000000001</v>
      </c>
      <c r="F26" s="101">
        <f t="shared" si="7"/>
        <v>1719.12</v>
      </c>
      <c r="G26" s="101">
        <f t="shared" si="8"/>
        <v>2062.94</v>
      </c>
      <c r="J26" s="438"/>
      <c r="K26" s="438">
        <f t="shared" si="0"/>
        <v>0</v>
      </c>
    </row>
    <row r="27" spans="1:11" ht="15.6" x14ac:dyDescent="0.3">
      <c r="A27" s="65">
        <f t="shared" si="9"/>
        <v>18</v>
      </c>
      <c r="B27" s="66" t="s">
        <v>256</v>
      </c>
      <c r="C27" s="65" t="s">
        <v>254</v>
      </c>
      <c r="D27" s="67">
        <f>4*0.86*4</f>
        <v>13.76</v>
      </c>
      <c r="E27" s="213">
        <v>90.21390000000001</v>
      </c>
      <c r="F27" s="101">
        <f t="shared" si="7"/>
        <v>1241.3399999999999</v>
      </c>
      <c r="G27" s="101">
        <f t="shared" si="8"/>
        <v>1489.61</v>
      </c>
      <c r="J27" s="438"/>
      <c r="K27" s="438">
        <f t="shared" si="0"/>
        <v>0</v>
      </c>
    </row>
    <row r="28" spans="1:11" ht="15.6" x14ac:dyDescent="0.3">
      <c r="A28" s="65">
        <f t="shared" si="9"/>
        <v>19</v>
      </c>
      <c r="B28" s="66" t="s">
        <v>257</v>
      </c>
      <c r="C28" s="65" t="s">
        <v>254</v>
      </c>
      <c r="D28" s="67">
        <f>4*6.77*4</f>
        <v>108.32</v>
      </c>
      <c r="E28" s="213">
        <v>237.13368</v>
      </c>
      <c r="F28" s="101">
        <f t="shared" si="7"/>
        <v>25686.32</v>
      </c>
      <c r="G28" s="101">
        <f t="shared" si="8"/>
        <v>30823.58</v>
      </c>
      <c r="J28" s="438"/>
      <c r="K28" s="438">
        <f t="shared" si="0"/>
        <v>0</v>
      </c>
    </row>
    <row r="29" spans="1:11" ht="15.6" x14ac:dyDescent="0.3">
      <c r="A29" s="65">
        <f t="shared" si="9"/>
        <v>20</v>
      </c>
      <c r="B29" s="66" t="s">
        <v>258</v>
      </c>
      <c r="C29" s="65" t="s">
        <v>254</v>
      </c>
      <c r="D29" s="67">
        <f>(2+2)*1.51*4</f>
        <v>24.16</v>
      </c>
      <c r="E29" s="213">
        <v>96.657750000000007</v>
      </c>
      <c r="F29" s="101">
        <f t="shared" si="7"/>
        <v>2335.25</v>
      </c>
      <c r="G29" s="101">
        <f t="shared" si="8"/>
        <v>2802.3</v>
      </c>
      <c r="J29" s="438"/>
      <c r="K29" s="438">
        <f t="shared" si="0"/>
        <v>0</v>
      </c>
    </row>
    <row r="30" spans="1:11" ht="15.6" x14ac:dyDescent="0.3">
      <c r="A30" s="65">
        <f t="shared" si="9"/>
        <v>21</v>
      </c>
      <c r="B30" s="66" t="s">
        <v>259</v>
      </c>
      <c r="C30" s="65" t="s">
        <v>193</v>
      </c>
      <c r="D30" s="75">
        <f>1.8*4*1.015</f>
        <v>7.3079999999999998</v>
      </c>
      <c r="E30" s="213">
        <v>7879.539780000001</v>
      </c>
      <c r="F30" s="101">
        <f t="shared" si="7"/>
        <v>57583.68</v>
      </c>
      <c r="G30" s="101">
        <f t="shared" si="8"/>
        <v>69100.42</v>
      </c>
      <c r="J30" s="438"/>
      <c r="K30" s="438">
        <f t="shared" si="0"/>
        <v>0</v>
      </c>
    </row>
    <row r="31" spans="1:11" ht="15.6" x14ac:dyDescent="0.3">
      <c r="A31" s="65">
        <f t="shared" si="9"/>
        <v>22</v>
      </c>
      <c r="B31" s="66" t="s">
        <v>260</v>
      </c>
      <c r="C31" s="65" t="s">
        <v>193</v>
      </c>
      <c r="D31" s="76">
        <f>0.48*4*1.02</f>
        <v>1.9583999999999999</v>
      </c>
      <c r="E31" s="213">
        <v>6521.1762000000008</v>
      </c>
      <c r="F31" s="101">
        <f t="shared" si="7"/>
        <v>12771.07</v>
      </c>
      <c r="G31" s="101">
        <f t="shared" si="8"/>
        <v>15325.28</v>
      </c>
      <c r="J31" s="438"/>
      <c r="K31" s="438">
        <f t="shared" si="0"/>
        <v>0</v>
      </c>
    </row>
    <row r="32" spans="1:11" ht="15.6" x14ac:dyDescent="0.3">
      <c r="A32" s="65">
        <f t="shared" si="9"/>
        <v>23</v>
      </c>
      <c r="B32" s="66" t="s">
        <v>261</v>
      </c>
      <c r="C32" s="65" t="s">
        <v>254</v>
      </c>
      <c r="D32" s="75">
        <v>86.016000000000005</v>
      </c>
      <c r="E32" s="213">
        <v>202.33689000000001</v>
      </c>
      <c r="F32" s="101">
        <f t="shared" si="7"/>
        <v>17404.21</v>
      </c>
      <c r="G32" s="101">
        <f t="shared" si="8"/>
        <v>20885.05</v>
      </c>
      <c r="J32" s="438"/>
      <c r="K32" s="438">
        <f t="shared" si="0"/>
        <v>0</v>
      </c>
    </row>
    <row r="33" spans="1:11" ht="27.6" x14ac:dyDescent="0.3">
      <c r="A33" s="65">
        <f>A32+1</f>
        <v>24</v>
      </c>
      <c r="B33" s="66" t="s">
        <v>262</v>
      </c>
      <c r="C33" s="65" t="s">
        <v>243</v>
      </c>
      <c r="D33" s="70">
        <v>1</v>
      </c>
      <c r="E33" s="213">
        <v>42529.41</v>
      </c>
      <c r="F33" s="101">
        <f t="shared" si="7"/>
        <v>42529.41</v>
      </c>
      <c r="G33" s="101">
        <f t="shared" si="8"/>
        <v>51035.29</v>
      </c>
      <c r="J33" s="438"/>
      <c r="K33" s="438">
        <f t="shared" si="0"/>
        <v>0</v>
      </c>
    </row>
    <row r="34" spans="1:11" ht="15.6" x14ac:dyDescent="0.3">
      <c r="A34" s="65"/>
      <c r="B34" s="72" t="s">
        <v>263</v>
      </c>
      <c r="C34" s="65"/>
      <c r="D34" s="70"/>
      <c r="E34" s="213">
        <v>0</v>
      </c>
      <c r="F34" s="101"/>
      <c r="G34" s="101"/>
      <c r="J34" s="438"/>
      <c r="K34" s="438">
        <f t="shared" si="0"/>
        <v>0</v>
      </c>
    </row>
    <row r="35" spans="1:11" ht="15.6" x14ac:dyDescent="0.3">
      <c r="A35" s="65">
        <f>A33+1</f>
        <v>25</v>
      </c>
      <c r="B35" s="66" t="s">
        <v>264</v>
      </c>
      <c r="C35" s="65" t="s">
        <v>254</v>
      </c>
      <c r="D35" s="75">
        <f>12*2.618*4</f>
        <v>125.66399999999999</v>
      </c>
      <c r="E35" s="213">
        <v>81.192509999999999</v>
      </c>
      <c r="F35" s="101">
        <f t="shared" ref="F35:F41" si="10">ROUND(E35*D35,2)</f>
        <v>10202.98</v>
      </c>
      <c r="G35" s="101">
        <f t="shared" ref="G35:G41" si="11">ROUND(F35*1.2,2)</f>
        <v>12243.58</v>
      </c>
      <c r="J35" s="438"/>
      <c r="K35" s="438">
        <f t="shared" si="0"/>
        <v>0</v>
      </c>
    </row>
    <row r="36" spans="1:11" ht="15.6" x14ac:dyDescent="0.3">
      <c r="A36" s="65">
        <f>A35+1</f>
        <v>26</v>
      </c>
      <c r="B36" s="66" t="s">
        <v>265</v>
      </c>
      <c r="C36" s="65" t="s">
        <v>254</v>
      </c>
      <c r="D36" s="67">
        <f>30*1.02*4</f>
        <v>122.4</v>
      </c>
      <c r="E36" s="213">
        <v>87.636359999999996</v>
      </c>
      <c r="F36" s="101">
        <f t="shared" si="10"/>
        <v>10726.69</v>
      </c>
      <c r="G36" s="101">
        <f t="shared" si="11"/>
        <v>12872.03</v>
      </c>
      <c r="J36" s="438"/>
      <c r="K36" s="438">
        <f t="shared" si="0"/>
        <v>0</v>
      </c>
    </row>
    <row r="37" spans="1:11" ht="15.6" x14ac:dyDescent="0.3">
      <c r="A37" s="65">
        <f t="shared" ref="A37:A42" si="12">A36+1</f>
        <v>27</v>
      </c>
      <c r="B37" s="66" t="s">
        <v>266</v>
      </c>
      <c r="C37" s="65" t="s">
        <v>254</v>
      </c>
      <c r="D37" s="75">
        <f>(42+4)*0.371*4</f>
        <v>68.263999999999996</v>
      </c>
      <c r="E37" s="213">
        <v>90.21390000000001</v>
      </c>
      <c r="F37" s="101">
        <f t="shared" si="10"/>
        <v>6158.36</v>
      </c>
      <c r="G37" s="101">
        <f t="shared" si="11"/>
        <v>7390.03</v>
      </c>
      <c r="J37" s="438"/>
      <c r="K37" s="438">
        <f t="shared" si="0"/>
        <v>0</v>
      </c>
    </row>
    <row r="38" spans="1:11" ht="15.6" x14ac:dyDescent="0.3">
      <c r="A38" s="65">
        <f t="shared" si="12"/>
        <v>28</v>
      </c>
      <c r="B38" s="66" t="s">
        <v>259</v>
      </c>
      <c r="C38" s="65" t="s">
        <v>193</v>
      </c>
      <c r="D38" s="75">
        <f>0.9*4*1.015</f>
        <v>3.6539999999999999</v>
      </c>
      <c r="E38" s="213">
        <v>7879.539780000001</v>
      </c>
      <c r="F38" s="101">
        <f t="shared" si="10"/>
        <v>28791.84</v>
      </c>
      <c r="G38" s="101">
        <f t="shared" si="11"/>
        <v>34550.21</v>
      </c>
      <c r="J38" s="438"/>
      <c r="K38" s="438">
        <f t="shared" si="0"/>
        <v>0</v>
      </c>
    </row>
    <row r="39" spans="1:11" ht="15.6" x14ac:dyDescent="0.3">
      <c r="A39" s="65">
        <f t="shared" si="12"/>
        <v>29</v>
      </c>
      <c r="B39" s="66" t="s">
        <v>260</v>
      </c>
      <c r="C39" s="65" t="s">
        <v>193</v>
      </c>
      <c r="D39" s="75">
        <f>0.45*4*1.02</f>
        <v>1.8360000000000001</v>
      </c>
      <c r="E39" s="213">
        <v>6521.1762000000008</v>
      </c>
      <c r="F39" s="101">
        <f t="shared" si="10"/>
        <v>11972.88</v>
      </c>
      <c r="G39" s="101">
        <f t="shared" si="11"/>
        <v>14367.46</v>
      </c>
      <c r="J39" s="438"/>
      <c r="K39" s="438">
        <f t="shared" si="0"/>
        <v>0</v>
      </c>
    </row>
    <row r="40" spans="1:11" ht="15.6" x14ac:dyDescent="0.3">
      <c r="A40" s="65">
        <f t="shared" si="12"/>
        <v>30</v>
      </c>
      <c r="B40" s="66" t="s">
        <v>261</v>
      </c>
      <c r="C40" s="65" t="s">
        <v>254</v>
      </c>
      <c r="D40" s="67">
        <v>63.36</v>
      </c>
      <c r="E40" s="213">
        <v>202.33689000000001</v>
      </c>
      <c r="F40" s="101">
        <f t="shared" si="10"/>
        <v>12820.07</v>
      </c>
      <c r="G40" s="101">
        <f t="shared" si="11"/>
        <v>15384.08</v>
      </c>
      <c r="J40" s="438"/>
      <c r="K40" s="438">
        <f t="shared" si="0"/>
        <v>0</v>
      </c>
    </row>
    <row r="41" spans="1:11" ht="27.6" x14ac:dyDescent="0.3">
      <c r="A41" s="65">
        <f t="shared" si="12"/>
        <v>31</v>
      </c>
      <c r="B41" s="66" t="s">
        <v>267</v>
      </c>
      <c r="C41" s="65" t="s">
        <v>243</v>
      </c>
      <c r="D41" s="70">
        <v>1</v>
      </c>
      <c r="E41" s="213">
        <v>7088.2349999999997</v>
      </c>
      <c r="F41" s="101">
        <f t="shared" si="10"/>
        <v>7088.24</v>
      </c>
      <c r="G41" s="101">
        <f t="shared" si="11"/>
        <v>8505.89</v>
      </c>
      <c r="J41" s="438"/>
      <c r="K41" s="438">
        <f t="shared" si="0"/>
        <v>0</v>
      </c>
    </row>
    <row r="42" spans="1:11" ht="15.6" x14ac:dyDescent="0.3">
      <c r="A42" s="65">
        <f t="shared" si="12"/>
        <v>32</v>
      </c>
      <c r="B42" s="77" t="s">
        <v>268</v>
      </c>
      <c r="C42" s="65"/>
      <c r="D42" s="70"/>
      <c r="E42" s="213">
        <v>0</v>
      </c>
      <c r="F42" s="101"/>
      <c r="G42" s="101"/>
      <c r="J42" s="438"/>
      <c r="K42" s="438">
        <f t="shared" si="0"/>
        <v>0</v>
      </c>
    </row>
    <row r="43" spans="1:11" ht="15.6" x14ac:dyDescent="0.3">
      <c r="A43" s="78" t="s">
        <v>269</v>
      </c>
      <c r="B43" s="66" t="s">
        <v>270</v>
      </c>
      <c r="C43" s="65" t="s">
        <v>254</v>
      </c>
      <c r="D43" s="67">
        <f>1*10.73*2*4</f>
        <v>85.84</v>
      </c>
      <c r="E43" s="213">
        <v>146.91978000000003</v>
      </c>
      <c r="F43" s="101">
        <f t="shared" ref="F43:F49" si="13">ROUND(E43*D43,2)</f>
        <v>12611.59</v>
      </c>
      <c r="G43" s="101">
        <f t="shared" ref="G43:G49" si="14">ROUND(F43*1.2,2)</f>
        <v>15133.91</v>
      </c>
      <c r="J43" s="438"/>
      <c r="K43" s="438">
        <f t="shared" si="0"/>
        <v>0</v>
      </c>
    </row>
    <row r="44" spans="1:11" ht="15.6" x14ac:dyDescent="0.3">
      <c r="A44" s="78" t="s">
        <v>271</v>
      </c>
      <c r="B44" s="66" t="s">
        <v>272</v>
      </c>
      <c r="C44" s="65" t="s">
        <v>254</v>
      </c>
      <c r="D44" s="67">
        <f>1*11.3*2*4</f>
        <v>90.4</v>
      </c>
      <c r="E44" s="213">
        <v>114.70053</v>
      </c>
      <c r="F44" s="101">
        <f t="shared" si="13"/>
        <v>10368.93</v>
      </c>
      <c r="G44" s="101">
        <f t="shared" si="14"/>
        <v>12442.72</v>
      </c>
      <c r="J44" s="438"/>
      <c r="K44" s="438">
        <f t="shared" si="0"/>
        <v>0</v>
      </c>
    </row>
    <row r="45" spans="1:11" ht="15.6" x14ac:dyDescent="0.3">
      <c r="A45" s="78" t="s">
        <v>273</v>
      </c>
      <c r="B45" s="66" t="s">
        <v>274</v>
      </c>
      <c r="C45" s="65" t="s">
        <v>254</v>
      </c>
      <c r="D45" s="67">
        <f>2*5.54*2*4</f>
        <v>88.64</v>
      </c>
      <c r="E45" s="213">
        <v>114.70053</v>
      </c>
      <c r="F45" s="101">
        <f t="shared" si="13"/>
        <v>10167.049999999999</v>
      </c>
      <c r="G45" s="101">
        <f t="shared" si="14"/>
        <v>12200.46</v>
      </c>
      <c r="J45" s="438"/>
      <c r="K45" s="438">
        <f t="shared" si="0"/>
        <v>0</v>
      </c>
    </row>
    <row r="46" spans="1:11" ht="15.6" x14ac:dyDescent="0.3">
      <c r="A46" s="78" t="s">
        <v>275</v>
      </c>
      <c r="B46" s="66" t="s">
        <v>276</v>
      </c>
      <c r="C46" s="65" t="s">
        <v>254</v>
      </c>
      <c r="D46" s="67">
        <f>1*3.46*2*4</f>
        <v>27.68</v>
      </c>
      <c r="E46" s="213">
        <v>114.70053</v>
      </c>
      <c r="F46" s="101">
        <f t="shared" si="13"/>
        <v>3174.91</v>
      </c>
      <c r="G46" s="101">
        <f t="shared" si="14"/>
        <v>3809.89</v>
      </c>
      <c r="J46" s="438"/>
      <c r="K46" s="438">
        <f t="shared" si="0"/>
        <v>0</v>
      </c>
    </row>
    <row r="47" spans="1:11" ht="15.6" x14ac:dyDescent="0.3">
      <c r="A47" s="78" t="s">
        <v>277</v>
      </c>
      <c r="B47" s="66" t="s">
        <v>278</v>
      </c>
      <c r="C47" s="65" t="s">
        <v>254</v>
      </c>
      <c r="D47" s="67">
        <f>9*0.31*2*4</f>
        <v>22.32</v>
      </c>
      <c r="E47" s="213">
        <v>114.70053</v>
      </c>
      <c r="F47" s="101">
        <f t="shared" si="13"/>
        <v>2560.12</v>
      </c>
      <c r="G47" s="101">
        <f t="shared" si="14"/>
        <v>3072.14</v>
      </c>
      <c r="J47" s="438"/>
      <c r="K47" s="438">
        <f t="shared" si="0"/>
        <v>0</v>
      </c>
    </row>
    <row r="48" spans="1:11" ht="15.6" x14ac:dyDescent="0.3">
      <c r="A48" s="78" t="s">
        <v>279</v>
      </c>
      <c r="B48" s="66" t="s">
        <v>280</v>
      </c>
      <c r="C48" s="65" t="s">
        <v>254</v>
      </c>
      <c r="D48" s="67">
        <f>9*0.19*2*4</f>
        <v>13.68</v>
      </c>
      <c r="E48" s="213">
        <v>88.925129999999996</v>
      </c>
      <c r="F48" s="101">
        <f t="shared" si="13"/>
        <v>1216.5</v>
      </c>
      <c r="G48" s="101">
        <f t="shared" si="14"/>
        <v>1459.8</v>
      </c>
      <c r="J48" s="438"/>
      <c r="K48" s="438">
        <f t="shared" si="0"/>
        <v>0</v>
      </c>
    </row>
    <row r="49" spans="1:11" ht="15.6" x14ac:dyDescent="0.3">
      <c r="A49" s="78" t="s">
        <v>281</v>
      </c>
      <c r="B49" s="66" t="s">
        <v>282</v>
      </c>
      <c r="C49" s="65" t="s">
        <v>254</v>
      </c>
      <c r="D49" s="67">
        <f>16*0.3</f>
        <v>4.8</v>
      </c>
      <c r="E49" s="213">
        <v>408.54008999999996</v>
      </c>
      <c r="F49" s="101">
        <f t="shared" si="13"/>
        <v>1960.99</v>
      </c>
      <c r="G49" s="101">
        <f t="shared" si="14"/>
        <v>2353.19</v>
      </c>
      <c r="J49" s="438"/>
      <c r="K49" s="438">
        <f t="shared" si="0"/>
        <v>0</v>
      </c>
    </row>
    <row r="50" spans="1:11" ht="15.6" x14ac:dyDescent="0.3">
      <c r="A50" s="65"/>
      <c r="B50" s="61" t="s">
        <v>283</v>
      </c>
      <c r="C50" s="65"/>
      <c r="D50" s="70"/>
      <c r="E50" s="213">
        <v>0</v>
      </c>
      <c r="F50" s="101"/>
      <c r="G50" s="101"/>
      <c r="J50" s="438"/>
      <c r="K50" s="438">
        <f t="shared" si="0"/>
        <v>0</v>
      </c>
    </row>
    <row r="51" spans="1:11" ht="15.6" x14ac:dyDescent="0.3">
      <c r="A51" s="65"/>
      <c r="B51" s="72" t="s">
        <v>284</v>
      </c>
      <c r="C51" s="65"/>
      <c r="D51" s="70"/>
      <c r="E51" s="213">
        <v>0</v>
      </c>
      <c r="F51" s="101"/>
      <c r="G51" s="101"/>
      <c r="J51" s="438"/>
      <c r="K51" s="438">
        <f t="shared" si="0"/>
        <v>0</v>
      </c>
    </row>
    <row r="52" spans="1:11" ht="15.6" x14ac:dyDescent="0.3">
      <c r="A52" s="65">
        <f>A42+1</f>
        <v>33</v>
      </c>
      <c r="B52" s="66" t="s">
        <v>285</v>
      </c>
      <c r="C52" s="65" t="s">
        <v>254</v>
      </c>
      <c r="D52" s="67">
        <f>0.9*5.8*4</f>
        <v>20.88</v>
      </c>
      <c r="E52" s="213">
        <v>96.657750000000007</v>
      </c>
      <c r="F52" s="101">
        <f t="shared" ref="F52:F61" si="15">ROUND(E52*D52,2)</f>
        <v>2018.21</v>
      </c>
      <c r="G52" s="101">
        <f t="shared" ref="G52:G61" si="16">ROUND(F52*1.2,2)</f>
        <v>2421.85</v>
      </c>
      <c r="J52" s="438"/>
      <c r="K52" s="438">
        <f t="shared" si="0"/>
        <v>0</v>
      </c>
    </row>
    <row r="53" spans="1:11" ht="15.6" x14ac:dyDescent="0.3">
      <c r="A53" s="65">
        <f>A52+1</f>
        <v>34</v>
      </c>
      <c r="B53" s="66" t="s">
        <v>286</v>
      </c>
      <c r="C53" s="65" t="s">
        <v>254</v>
      </c>
      <c r="D53" s="67">
        <f>7.5*59.07*4</f>
        <v>1772.1</v>
      </c>
      <c r="E53" s="213">
        <v>144.34224</v>
      </c>
      <c r="F53" s="101">
        <f t="shared" si="15"/>
        <v>255788.88</v>
      </c>
      <c r="G53" s="101">
        <f t="shared" si="16"/>
        <v>306946.65999999997</v>
      </c>
      <c r="J53" s="438"/>
      <c r="K53" s="438">
        <f t="shared" si="0"/>
        <v>0</v>
      </c>
    </row>
    <row r="54" spans="1:11" ht="15.6" x14ac:dyDescent="0.3">
      <c r="A54" s="65">
        <f t="shared" ref="A54:A61" si="17">A53+1</f>
        <v>35</v>
      </c>
      <c r="B54" s="66" t="s">
        <v>287</v>
      </c>
      <c r="C54" s="65" t="s">
        <v>254</v>
      </c>
      <c r="D54" s="67">
        <f>0.27*235.5*4</f>
        <v>254.34</v>
      </c>
      <c r="E54" s="213">
        <v>121.14438000000001</v>
      </c>
      <c r="F54" s="101">
        <f t="shared" si="15"/>
        <v>30811.86</v>
      </c>
      <c r="G54" s="101">
        <f t="shared" si="16"/>
        <v>36974.230000000003</v>
      </c>
      <c r="J54" s="438"/>
      <c r="K54" s="438">
        <f t="shared" si="0"/>
        <v>0</v>
      </c>
    </row>
    <row r="55" spans="1:11" ht="15.6" x14ac:dyDescent="0.3">
      <c r="A55" s="65">
        <f t="shared" si="17"/>
        <v>36</v>
      </c>
      <c r="B55" s="66" t="s">
        <v>288</v>
      </c>
      <c r="C55" s="65" t="s">
        <v>254</v>
      </c>
      <c r="D55" s="67">
        <f>0.53*94.2*4</f>
        <v>199.70400000000001</v>
      </c>
      <c r="E55" s="213">
        <v>114.70053</v>
      </c>
      <c r="F55" s="101">
        <f t="shared" si="15"/>
        <v>22906.15</v>
      </c>
      <c r="G55" s="101">
        <f t="shared" si="16"/>
        <v>27487.38</v>
      </c>
      <c r="J55" s="438"/>
      <c r="K55" s="438">
        <f t="shared" si="0"/>
        <v>0</v>
      </c>
    </row>
    <row r="56" spans="1:11" ht="15.6" x14ac:dyDescent="0.3">
      <c r="A56" s="65">
        <f t="shared" si="17"/>
        <v>37</v>
      </c>
      <c r="B56" s="66" t="s">
        <v>289</v>
      </c>
      <c r="C56" s="65" t="s">
        <v>254</v>
      </c>
      <c r="D56" s="67">
        <f>0.07*39.25*4</f>
        <v>10.99</v>
      </c>
      <c r="E56" s="213">
        <v>114.70053</v>
      </c>
      <c r="F56" s="101">
        <f t="shared" si="15"/>
        <v>1260.56</v>
      </c>
      <c r="G56" s="101">
        <f t="shared" si="16"/>
        <v>1512.67</v>
      </c>
      <c r="J56" s="438"/>
      <c r="K56" s="438">
        <f t="shared" si="0"/>
        <v>0</v>
      </c>
    </row>
    <row r="57" spans="1:11" ht="15.6" x14ac:dyDescent="0.3">
      <c r="A57" s="65">
        <f t="shared" si="17"/>
        <v>38</v>
      </c>
      <c r="B57" s="66" t="s">
        <v>290</v>
      </c>
      <c r="C57" s="65" t="s">
        <v>193</v>
      </c>
      <c r="D57" s="76">
        <f>0.21*4*1.015</f>
        <v>0.85259999999999991</v>
      </c>
      <c r="E57" s="213">
        <v>6793.106670000001</v>
      </c>
      <c r="F57" s="101">
        <f t="shared" si="15"/>
        <v>5791.8</v>
      </c>
      <c r="G57" s="101">
        <f t="shared" si="16"/>
        <v>6950.16</v>
      </c>
      <c r="J57" s="438"/>
      <c r="K57" s="438">
        <f t="shared" si="0"/>
        <v>0</v>
      </c>
    </row>
    <row r="58" spans="1:11" ht="15.6" x14ac:dyDescent="0.3">
      <c r="A58" s="65">
        <f t="shared" si="17"/>
        <v>39</v>
      </c>
      <c r="B58" s="66" t="s">
        <v>291</v>
      </c>
      <c r="C58" s="65" t="s">
        <v>193</v>
      </c>
      <c r="D58" s="75">
        <v>8.7999999999999995E-2</v>
      </c>
      <c r="E58" s="213">
        <v>11412.058350000001</v>
      </c>
      <c r="F58" s="101">
        <f t="shared" si="15"/>
        <v>1004.26</v>
      </c>
      <c r="G58" s="101">
        <f t="shared" si="16"/>
        <v>1205.1099999999999</v>
      </c>
      <c r="J58" s="438"/>
      <c r="K58" s="438">
        <f t="shared" si="0"/>
        <v>0</v>
      </c>
    </row>
    <row r="59" spans="1:11" ht="15.6" x14ac:dyDescent="0.3">
      <c r="A59" s="65">
        <f t="shared" si="17"/>
        <v>40</v>
      </c>
      <c r="B59" s="66" t="s">
        <v>292</v>
      </c>
      <c r="C59" s="65" t="s">
        <v>254</v>
      </c>
      <c r="D59" s="67">
        <v>9.9600000000000009</v>
      </c>
      <c r="E59" s="213">
        <v>202.33689000000001</v>
      </c>
      <c r="F59" s="101">
        <f t="shared" si="15"/>
        <v>2015.28</v>
      </c>
      <c r="G59" s="101">
        <f t="shared" si="16"/>
        <v>2418.34</v>
      </c>
      <c r="J59" s="438"/>
      <c r="K59" s="438">
        <f t="shared" si="0"/>
        <v>0</v>
      </c>
    </row>
    <row r="60" spans="1:11" ht="15.6" x14ac:dyDescent="0.3">
      <c r="A60" s="65">
        <f t="shared" si="17"/>
        <v>41</v>
      </c>
      <c r="B60" s="66" t="s">
        <v>293</v>
      </c>
      <c r="C60" s="65" t="s">
        <v>254</v>
      </c>
      <c r="D60" s="67">
        <v>9.9600000000000009</v>
      </c>
      <c r="E60" s="213">
        <v>224.24598</v>
      </c>
      <c r="F60" s="101">
        <f t="shared" si="15"/>
        <v>2233.4899999999998</v>
      </c>
      <c r="G60" s="101">
        <f t="shared" si="16"/>
        <v>2680.19</v>
      </c>
      <c r="J60" s="438"/>
      <c r="K60" s="438">
        <f t="shared" si="0"/>
        <v>0</v>
      </c>
    </row>
    <row r="61" spans="1:11" ht="27.6" x14ac:dyDescent="0.3">
      <c r="A61" s="65">
        <f t="shared" si="17"/>
        <v>42</v>
      </c>
      <c r="B61" s="66" t="s">
        <v>262</v>
      </c>
      <c r="C61" s="65"/>
      <c r="D61" s="70">
        <v>1</v>
      </c>
      <c r="E61" s="213">
        <v>8505.8820000000032</v>
      </c>
      <c r="F61" s="101">
        <f t="shared" si="15"/>
        <v>8505.8799999999992</v>
      </c>
      <c r="G61" s="101">
        <f t="shared" si="16"/>
        <v>10207.06</v>
      </c>
      <c r="J61" s="438"/>
      <c r="K61" s="438">
        <f t="shared" si="0"/>
        <v>0</v>
      </c>
    </row>
    <row r="62" spans="1:11" ht="15.6" x14ac:dyDescent="0.3">
      <c r="A62" s="65"/>
      <c r="B62" s="72" t="s">
        <v>294</v>
      </c>
      <c r="C62" s="65"/>
      <c r="D62" s="70"/>
      <c r="E62" s="213">
        <v>0</v>
      </c>
      <c r="F62" s="101"/>
      <c r="G62" s="101"/>
      <c r="J62" s="438"/>
      <c r="K62" s="438">
        <f t="shared" si="0"/>
        <v>0</v>
      </c>
    </row>
    <row r="63" spans="1:11" ht="15.6" x14ac:dyDescent="0.3">
      <c r="A63" s="65">
        <f>A61+1</f>
        <v>43</v>
      </c>
      <c r="B63" s="66" t="s">
        <v>295</v>
      </c>
      <c r="C63" s="65" t="s">
        <v>254</v>
      </c>
      <c r="D63" s="67">
        <f>75.6*5.8*2</f>
        <v>876.95999999999992</v>
      </c>
      <c r="E63" s="213">
        <v>96.657750000000007</v>
      </c>
      <c r="F63" s="101">
        <f t="shared" ref="F63:F71" si="18">ROUND(E63*D63,2)</f>
        <v>84764.98</v>
      </c>
      <c r="G63" s="101">
        <f t="shared" ref="G63:G71" si="19">ROUND(F63*1.2,2)</f>
        <v>101717.98</v>
      </c>
      <c r="J63" s="438"/>
      <c r="K63" s="438">
        <f t="shared" si="0"/>
        <v>0</v>
      </c>
    </row>
    <row r="64" spans="1:11" ht="15.6" x14ac:dyDescent="0.3">
      <c r="A64" s="65">
        <f>A63+1</f>
        <v>44</v>
      </c>
      <c r="B64" s="66" t="s">
        <v>296</v>
      </c>
      <c r="C64" s="65" t="s">
        <v>254</v>
      </c>
      <c r="D64" s="67">
        <f>121.2*3.05*2</f>
        <v>739.31999999999994</v>
      </c>
      <c r="E64" s="213">
        <v>96.657750000000007</v>
      </c>
      <c r="F64" s="101">
        <f t="shared" si="18"/>
        <v>71461.009999999995</v>
      </c>
      <c r="G64" s="101">
        <f t="shared" si="19"/>
        <v>85753.21</v>
      </c>
      <c r="J64" s="438"/>
      <c r="K64" s="438">
        <f t="shared" si="0"/>
        <v>0</v>
      </c>
    </row>
    <row r="65" spans="1:11" ht="15.6" x14ac:dyDescent="0.3">
      <c r="A65" s="65">
        <f t="shared" ref="A65:A71" si="20">A64+1</f>
        <v>45</v>
      </c>
      <c r="B65" s="66" t="s">
        <v>297</v>
      </c>
      <c r="C65" s="65" t="s">
        <v>254</v>
      </c>
      <c r="D65" s="67">
        <f>0.15*125.6*2</f>
        <v>37.68</v>
      </c>
      <c r="E65" s="213">
        <v>114.70053</v>
      </c>
      <c r="F65" s="101">
        <f t="shared" si="18"/>
        <v>4321.92</v>
      </c>
      <c r="G65" s="101">
        <f t="shared" si="19"/>
        <v>5186.3</v>
      </c>
      <c r="J65" s="438"/>
      <c r="K65" s="438">
        <f t="shared" si="0"/>
        <v>0</v>
      </c>
    </row>
    <row r="66" spans="1:11" ht="15.6" x14ac:dyDescent="0.3">
      <c r="A66" s="65">
        <f t="shared" si="20"/>
        <v>46</v>
      </c>
      <c r="B66" s="66" t="s">
        <v>298</v>
      </c>
      <c r="C66" s="65" t="s">
        <v>254</v>
      </c>
      <c r="D66" s="67">
        <f>0.24*78.5*2</f>
        <v>37.68</v>
      </c>
      <c r="E66" s="213">
        <v>114.70053</v>
      </c>
      <c r="F66" s="101">
        <f t="shared" si="18"/>
        <v>4321.92</v>
      </c>
      <c r="G66" s="101">
        <f t="shared" si="19"/>
        <v>5186.3</v>
      </c>
      <c r="J66" s="438"/>
      <c r="K66" s="438">
        <f t="shared" si="0"/>
        <v>0</v>
      </c>
    </row>
    <row r="67" spans="1:11" ht="15.6" x14ac:dyDescent="0.3">
      <c r="A67" s="65">
        <f t="shared" si="20"/>
        <v>47</v>
      </c>
      <c r="B67" s="66" t="s">
        <v>299</v>
      </c>
      <c r="C67" s="65" t="s">
        <v>254</v>
      </c>
      <c r="D67" s="67">
        <f>1.62*39.25*2</f>
        <v>127.17</v>
      </c>
      <c r="E67" s="213">
        <v>114.70053</v>
      </c>
      <c r="F67" s="101">
        <f t="shared" si="18"/>
        <v>14586.47</v>
      </c>
      <c r="G67" s="101">
        <f t="shared" si="19"/>
        <v>17503.759999999998</v>
      </c>
      <c r="J67" s="438"/>
      <c r="K67" s="438">
        <f t="shared" si="0"/>
        <v>0</v>
      </c>
    </row>
    <row r="68" spans="1:11" ht="15.6" x14ac:dyDescent="0.3">
      <c r="A68" s="65">
        <f t="shared" si="20"/>
        <v>48</v>
      </c>
      <c r="B68" s="66" t="s">
        <v>300</v>
      </c>
      <c r="C68" s="65" t="s">
        <v>254</v>
      </c>
      <c r="D68" s="67">
        <f>16*0.137</f>
        <v>2.1920000000000002</v>
      </c>
      <c r="E68" s="213">
        <v>163.67379</v>
      </c>
      <c r="F68" s="101">
        <f t="shared" si="18"/>
        <v>358.77</v>
      </c>
      <c r="G68" s="101">
        <f t="shared" si="19"/>
        <v>430.52</v>
      </c>
      <c r="J68" s="438"/>
      <c r="K68" s="438">
        <f t="shared" si="0"/>
        <v>0</v>
      </c>
    </row>
    <row r="69" spans="1:11" ht="15.6" x14ac:dyDescent="0.3">
      <c r="A69" s="65">
        <f t="shared" si="20"/>
        <v>49</v>
      </c>
      <c r="B69" s="66" t="s">
        <v>301</v>
      </c>
      <c r="C69" s="65" t="s">
        <v>254</v>
      </c>
      <c r="D69" s="67">
        <f>16*0.032</f>
        <v>0.51200000000000001</v>
      </c>
      <c r="E69" s="213">
        <v>189.44919000000002</v>
      </c>
      <c r="F69" s="101">
        <f t="shared" si="18"/>
        <v>97</v>
      </c>
      <c r="G69" s="101">
        <f t="shared" si="19"/>
        <v>116.4</v>
      </c>
      <c r="J69" s="438"/>
      <c r="K69" s="438">
        <f t="shared" si="0"/>
        <v>0</v>
      </c>
    </row>
    <row r="70" spans="1:11" ht="15.6" x14ac:dyDescent="0.3">
      <c r="A70" s="65">
        <f t="shared" si="20"/>
        <v>50</v>
      </c>
      <c r="B70" s="66" t="s">
        <v>302</v>
      </c>
      <c r="C70" s="65" t="s">
        <v>254</v>
      </c>
      <c r="D70" s="67">
        <f>16*0.013</f>
        <v>0.20799999999999999</v>
      </c>
      <c r="E70" s="213">
        <v>253.88768999999999</v>
      </c>
      <c r="F70" s="101">
        <f t="shared" si="18"/>
        <v>52.81</v>
      </c>
      <c r="G70" s="101">
        <f t="shared" si="19"/>
        <v>63.37</v>
      </c>
      <c r="J70" s="438"/>
      <c r="K70" s="438">
        <f t="shared" ref="K70:K133" si="21">E70*J70*1.2</f>
        <v>0</v>
      </c>
    </row>
    <row r="71" spans="1:11" ht="15.6" x14ac:dyDescent="0.3">
      <c r="A71" s="65">
        <f t="shared" si="20"/>
        <v>51</v>
      </c>
      <c r="B71" s="66" t="s">
        <v>303</v>
      </c>
      <c r="C71" s="65" t="s">
        <v>254</v>
      </c>
      <c r="D71" s="67">
        <f>16*0.006</f>
        <v>9.6000000000000002E-2</v>
      </c>
      <c r="E71" s="213">
        <v>275.79678000000001</v>
      </c>
      <c r="F71" s="101">
        <f t="shared" si="18"/>
        <v>26.48</v>
      </c>
      <c r="G71" s="101">
        <f t="shared" si="19"/>
        <v>31.78</v>
      </c>
      <c r="J71" s="438"/>
      <c r="K71" s="438">
        <f t="shared" si="21"/>
        <v>0</v>
      </c>
    </row>
    <row r="72" spans="1:11" ht="15.6" x14ac:dyDescent="0.3">
      <c r="A72" s="65"/>
      <c r="B72" s="72" t="s">
        <v>304</v>
      </c>
      <c r="C72" s="65"/>
      <c r="D72" s="70"/>
      <c r="E72" s="213">
        <v>0</v>
      </c>
      <c r="F72" s="101"/>
      <c r="G72" s="101"/>
      <c r="J72" s="438"/>
      <c r="K72" s="438">
        <f t="shared" si="21"/>
        <v>0</v>
      </c>
    </row>
    <row r="73" spans="1:11" ht="15.6" x14ac:dyDescent="0.3">
      <c r="A73" s="65">
        <f>A71+1</f>
        <v>52</v>
      </c>
      <c r="B73" s="66" t="s">
        <v>305</v>
      </c>
      <c r="C73" s="65" t="s">
        <v>254</v>
      </c>
      <c r="D73" s="67">
        <f>56.4*5.8</f>
        <v>327.12</v>
      </c>
      <c r="E73" s="213">
        <v>96.657750000000007</v>
      </c>
      <c r="F73" s="101">
        <f t="shared" ref="F73:F84" si="22">ROUND(E73*D73,2)</f>
        <v>31618.68</v>
      </c>
      <c r="G73" s="101">
        <f t="shared" ref="G73:G84" si="23">ROUND(F73*1.2,2)</f>
        <v>37942.42</v>
      </c>
      <c r="J73" s="438"/>
      <c r="K73" s="438">
        <f t="shared" si="21"/>
        <v>0</v>
      </c>
    </row>
    <row r="74" spans="1:11" ht="15.6" x14ac:dyDescent="0.3">
      <c r="A74" s="65">
        <f>A73+1</f>
        <v>53</v>
      </c>
      <c r="B74" s="66" t="s">
        <v>306</v>
      </c>
      <c r="C74" s="65" t="s">
        <v>254</v>
      </c>
      <c r="D74" s="67">
        <f>107.7*3.05</f>
        <v>328.48500000000001</v>
      </c>
      <c r="E74" s="213">
        <v>96.657750000000007</v>
      </c>
      <c r="F74" s="101">
        <f t="shared" si="22"/>
        <v>31750.62</v>
      </c>
      <c r="G74" s="101">
        <f t="shared" si="23"/>
        <v>38100.74</v>
      </c>
      <c r="J74" s="438"/>
      <c r="K74" s="438">
        <f t="shared" si="21"/>
        <v>0</v>
      </c>
    </row>
    <row r="75" spans="1:11" ht="15.6" x14ac:dyDescent="0.3">
      <c r="A75" s="65">
        <f t="shared" ref="A75:A84" si="24">A74+1</f>
        <v>54</v>
      </c>
      <c r="B75" s="66" t="s">
        <v>307</v>
      </c>
      <c r="C75" s="65" t="s">
        <v>254</v>
      </c>
      <c r="D75" s="67">
        <f>0.15*125.6</f>
        <v>18.84</v>
      </c>
      <c r="E75" s="213">
        <v>114.70053</v>
      </c>
      <c r="F75" s="101">
        <f t="shared" si="22"/>
        <v>2160.96</v>
      </c>
      <c r="G75" s="101">
        <f t="shared" si="23"/>
        <v>2593.15</v>
      </c>
      <c r="J75" s="438"/>
      <c r="K75" s="438">
        <f t="shared" si="21"/>
        <v>0</v>
      </c>
    </row>
    <row r="76" spans="1:11" ht="15.6" x14ac:dyDescent="0.3">
      <c r="A76" s="65">
        <f t="shared" si="24"/>
        <v>55</v>
      </c>
      <c r="B76" s="66" t="s">
        <v>308</v>
      </c>
      <c r="C76" s="65" t="s">
        <v>254</v>
      </c>
      <c r="D76" s="67">
        <f>0.24*78.5</f>
        <v>18.84</v>
      </c>
      <c r="E76" s="213">
        <v>114.70053</v>
      </c>
      <c r="F76" s="101">
        <f t="shared" si="22"/>
        <v>2160.96</v>
      </c>
      <c r="G76" s="101">
        <f t="shared" si="23"/>
        <v>2593.15</v>
      </c>
      <c r="J76" s="438"/>
      <c r="K76" s="438">
        <f t="shared" si="21"/>
        <v>0</v>
      </c>
    </row>
    <row r="77" spans="1:11" ht="15.6" x14ac:dyDescent="0.3">
      <c r="A77" s="65">
        <f t="shared" si="24"/>
        <v>56</v>
      </c>
      <c r="B77" s="66" t="s">
        <v>309</v>
      </c>
      <c r="C77" s="65" t="s">
        <v>254</v>
      </c>
      <c r="D77" s="67">
        <f>1.62*39.25*2</f>
        <v>127.17</v>
      </c>
      <c r="E77" s="213">
        <v>114.70053</v>
      </c>
      <c r="F77" s="101">
        <f t="shared" si="22"/>
        <v>14586.47</v>
      </c>
      <c r="G77" s="101">
        <f t="shared" si="23"/>
        <v>17503.759999999998</v>
      </c>
      <c r="J77" s="438"/>
      <c r="K77" s="438">
        <f t="shared" si="21"/>
        <v>0</v>
      </c>
    </row>
    <row r="78" spans="1:11" ht="15.6" x14ac:dyDescent="0.3">
      <c r="A78" s="65">
        <f t="shared" si="24"/>
        <v>57</v>
      </c>
      <c r="B78" s="66" t="s">
        <v>310</v>
      </c>
      <c r="C78" s="65" t="s">
        <v>254</v>
      </c>
      <c r="D78" s="67">
        <f>8*0.137</f>
        <v>1.0960000000000001</v>
      </c>
      <c r="E78" s="213">
        <v>163.67379</v>
      </c>
      <c r="F78" s="101">
        <f t="shared" si="22"/>
        <v>179.39</v>
      </c>
      <c r="G78" s="101">
        <f t="shared" si="23"/>
        <v>215.27</v>
      </c>
      <c r="J78" s="438"/>
      <c r="K78" s="438">
        <f t="shared" si="21"/>
        <v>0</v>
      </c>
    </row>
    <row r="79" spans="1:11" ht="15.6" x14ac:dyDescent="0.3">
      <c r="A79" s="65">
        <f t="shared" si="24"/>
        <v>58</v>
      </c>
      <c r="B79" s="66" t="s">
        <v>311</v>
      </c>
      <c r="C79" s="65" t="s">
        <v>254</v>
      </c>
      <c r="D79" s="67">
        <f>8*0.032</f>
        <v>0.25600000000000001</v>
      </c>
      <c r="E79" s="213">
        <v>189.44919000000002</v>
      </c>
      <c r="F79" s="101">
        <f t="shared" si="22"/>
        <v>48.5</v>
      </c>
      <c r="G79" s="101">
        <f t="shared" si="23"/>
        <v>58.2</v>
      </c>
      <c r="J79" s="438"/>
      <c r="K79" s="438">
        <f t="shared" si="21"/>
        <v>0</v>
      </c>
    </row>
    <row r="80" spans="1:11" ht="15.6" x14ac:dyDescent="0.3">
      <c r="A80" s="65">
        <f t="shared" si="24"/>
        <v>59</v>
      </c>
      <c r="B80" s="66" t="s">
        <v>312</v>
      </c>
      <c r="C80" s="65" t="s">
        <v>254</v>
      </c>
      <c r="D80" s="67">
        <f>8*0.013</f>
        <v>0.104</v>
      </c>
      <c r="E80" s="213">
        <v>253.88768999999999</v>
      </c>
      <c r="F80" s="101">
        <f t="shared" si="22"/>
        <v>26.4</v>
      </c>
      <c r="G80" s="101">
        <f t="shared" si="23"/>
        <v>31.68</v>
      </c>
      <c r="J80" s="438"/>
      <c r="K80" s="438">
        <f t="shared" si="21"/>
        <v>0</v>
      </c>
    </row>
    <row r="81" spans="1:11" ht="15.6" x14ac:dyDescent="0.3">
      <c r="A81" s="65">
        <f t="shared" si="24"/>
        <v>60</v>
      </c>
      <c r="B81" s="66" t="s">
        <v>313</v>
      </c>
      <c r="C81" s="65" t="s">
        <v>254</v>
      </c>
      <c r="D81" s="67">
        <f>8*0.006</f>
        <v>4.8000000000000001E-2</v>
      </c>
      <c r="E81" s="213">
        <v>275.79678000000001</v>
      </c>
      <c r="F81" s="101">
        <f t="shared" si="22"/>
        <v>13.24</v>
      </c>
      <c r="G81" s="101">
        <f t="shared" si="23"/>
        <v>15.89</v>
      </c>
      <c r="J81" s="438"/>
      <c r="K81" s="438">
        <f t="shared" si="21"/>
        <v>0</v>
      </c>
    </row>
    <row r="82" spans="1:11" ht="15.6" x14ac:dyDescent="0.3">
      <c r="A82" s="65">
        <f t="shared" si="24"/>
        <v>61</v>
      </c>
      <c r="B82" s="66" t="s">
        <v>292</v>
      </c>
      <c r="C82" s="65" t="s">
        <v>254</v>
      </c>
      <c r="D82" s="67">
        <f>5.85*2</f>
        <v>11.7</v>
      </c>
      <c r="E82" s="213">
        <v>202.33689000000001</v>
      </c>
      <c r="F82" s="101">
        <f t="shared" si="22"/>
        <v>2367.34</v>
      </c>
      <c r="G82" s="101">
        <f t="shared" si="23"/>
        <v>2840.81</v>
      </c>
      <c r="J82" s="438"/>
      <c r="K82" s="438">
        <f t="shared" si="21"/>
        <v>0</v>
      </c>
    </row>
    <row r="83" spans="1:11" ht="15.6" x14ac:dyDescent="0.3">
      <c r="A83" s="65">
        <f t="shared" si="24"/>
        <v>62</v>
      </c>
      <c r="B83" s="66" t="s">
        <v>293</v>
      </c>
      <c r="C83" s="65" t="s">
        <v>254</v>
      </c>
      <c r="D83" s="67">
        <f>5.85*2</f>
        <v>11.7</v>
      </c>
      <c r="E83" s="213">
        <v>224.24598</v>
      </c>
      <c r="F83" s="101">
        <f t="shared" si="22"/>
        <v>2623.68</v>
      </c>
      <c r="G83" s="101">
        <f t="shared" si="23"/>
        <v>3148.42</v>
      </c>
      <c r="J83" s="438"/>
      <c r="K83" s="438">
        <f t="shared" si="21"/>
        <v>0</v>
      </c>
    </row>
    <row r="84" spans="1:11" ht="27.6" x14ac:dyDescent="0.3">
      <c r="A84" s="65">
        <f t="shared" si="24"/>
        <v>63</v>
      </c>
      <c r="B84" s="66" t="s">
        <v>262</v>
      </c>
      <c r="C84" s="65" t="s">
        <v>243</v>
      </c>
      <c r="D84" s="70">
        <v>1</v>
      </c>
      <c r="E84" s="213">
        <v>28352.94</v>
      </c>
      <c r="F84" s="101">
        <f t="shared" si="22"/>
        <v>28352.94</v>
      </c>
      <c r="G84" s="101">
        <f t="shared" si="23"/>
        <v>34023.53</v>
      </c>
      <c r="J84" s="438"/>
      <c r="K84" s="438">
        <f t="shared" si="21"/>
        <v>0</v>
      </c>
    </row>
    <row r="85" spans="1:11" ht="15.6" x14ac:dyDescent="0.3">
      <c r="A85" s="65"/>
      <c r="B85" s="61" t="s">
        <v>314</v>
      </c>
      <c r="C85" s="65"/>
      <c r="D85" s="70"/>
      <c r="E85" s="213">
        <v>0</v>
      </c>
      <c r="F85" s="101"/>
      <c r="G85" s="101"/>
      <c r="J85" s="438"/>
      <c r="K85" s="438">
        <f t="shared" si="21"/>
        <v>0</v>
      </c>
    </row>
    <row r="86" spans="1:11" ht="15.6" x14ac:dyDescent="0.3">
      <c r="A86" s="65"/>
      <c r="B86" s="72" t="s">
        <v>315</v>
      </c>
      <c r="C86" s="65"/>
      <c r="D86" s="70"/>
      <c r="E86" s="213">
        <v>0</v>
      </c>
      <c r="F86" s="101"/>
      <c r="G86" s="101"/>
      <c r="J86" s="438"/>
      <c r="K86" s="438">
        <f t="shared" si="21"/>
        <v>0</v>
      </c>
    </row>
    <row r="87" spans="1:11" ht="15.6" x14ac:dyDescent="0.3">
      <c r="A87" s="65">
        <f>A84+1</f>
        <v>64</v>
      </c>
      <c r="B87" s="66" t="s">
        <v>316</v>
      </c>
      <c r="C87" s="65" t="s">
        <v>254</v>
      </c>
      <c r="D87" s="67">
        <f>10*0.059</f>
        <v>0.59</v>
      </c>
      <c r="E87" s="213">
        <v>90.21390000000001</v>
      </c>
      <c r="F87" s="101">
        <f t="shared" ref="F87:F93" si="25">ROUND(E87*D87,2)</f>
        <v>53.23</v>
      </c>
      <c r="G87" s="101">
        <f t="shared" ref="G87:G93" si="26">ROUND(F87*1.2,2)</f>
        <v>63.88</v>
      </c>
      <c r="J87" s="438"/>
      <c r="K87" s="438">
        <f t="shared" si="21"/>
        <v>0</v>
      </c>
    </row>
    <row r="88" spans="1:11" ht="15.6" x14ac:dyDescent="0.3">
      <c r="A88" s="65">
        <f>A87+1</f>
        <v>65</v>
      </c>
      <c r="B88" s="66" t="s">
        <v>317</v>
      </c>
      <c r="C88" s="65" t="s">
        <v>254</v>
      </c>
      <c r="D88" s="67">
        <f>2*1.36</f>
        <v>2.72</v>
      </c>
      <c r="E88" s="213">
        <v>96.657750000000007</v>
      </c>
      <c r="F88" s="101">
        <f t="shared" si="25"/>
        <v>262.91000000000003</v>
      </c>
      <c r="G88" s="101">
        <f t="shared" si="26"/>
        <v>315.49</v>
      </c>
      <c r="J88" s="438"/>
      <c r="K88" s="438">
        <f t="shared" si="21"/>
        <v>0</v>
      </c>
    </row>
    <row r="89" spans="1:11" ht="15.6" x14ac:dyDescent="0.3">
      <c r="A89" s="65">
        <f t="shared" ref="A89:A93" si="27">A88+1</f>
        <v>66</v>
      </c>
      <c r="B89" s="66" t="s">
        <v>318</v>
      </c>
      <c r="C89" s="65" t="s">
        <v>254</v>
      </c>
      <c r="D89" s="71">
        <f>12.6</f>
        <v>12.6</v>
      </c>
      <c r="E89" s="213">
        <v>146.91978000000003</v>
      </c>
      <c r="F89" s="101">
        <f t="shared" si="25"/>
        <v>1851.19</v>
      </c>
      <c r="G89" s="101">
        <f t="shared" si="26"/>
        <v>2221.4299999999998</v>
      </c>
      <c r="J89" s="438"/>
      <c r="K89" s="438">
        <f t="shared" si="21"/>
        <v>0</v>
      </c>
    </row>
    <row r="90" spans="1:11" ht="15.6" x14ac:dyDescent="0.3">
      <c r="A90" s="65">
        <f t="shared" si="27"/>
        <v>67</v>
      </c>
      <c r="B90" s="66" t="s">
        <v>319</v>
      </c>
      <c r="C90" s="65" t="s">
        <v>254</v>
      </c>
      <c r="D90" s="71">
        <v>20.3</v>
      </c>
      <c r="E90" s="213">
        <v>844.14435000000014</v>
      </c>
      <c r="F90" s="101">
        <f t="shared" si="25"/>
        <v>17136.13</v>
      </c>
      <c r="G90" s="101">
        <f t="shared" si="26"/>
        <v>20563.36</v>
      </c>
      <c r="J90" s="438"/>
      <c r="K90" s="438">
        <f t="shared" si="21"/>
        <v>0</v>
      </c>
    </row>
    <row r="91" spans="1:11" ht="15.6" x14ac:dyDescent="0.3">
      <c r="A91" s="65">
        <f t="shared" si="27"/>
        <v>68</v>
      </c>
      <c r="B91" s="66" t="s">
        <v>259</v>
      </c>
      <c r="C91" s="65" t="s">
        <v>193</v>
      </c>
      <c r="D91" s="76">
        <f>0.5*1.015</f>
        <v>0.50749999999999995</v>
      </c>
      <c r="E91" s="213">
        <v>7879.539780000001</v>
      </c>
      <c r="F91" s="101">
        <f t="shared" si="25"/>
        <v>3998.87</v>
      </c>
      <c r="G91" s="101">
        <f t="shared" si="26"/>
        <v>4798.6400000000003</v>
      </c>
      <c r="J91" s="438"/>
      <c r="K91" s="438">
        <f t="shared" si="21"/>
        <v>0</v>
      </c>
    </row>
    <row r="92" spans="1:11" ht="15.6" x14ac:dyDescent="0.3">
      <c r="A92" s="65">
        <f t="shared" si="27"/>
        <v>69</v>
      </c>
      <c r="B92" s="66" t="s">
        <v>260</v>
      </c>
      <c r="C92" s="65" t="s">
        <v>193</v>
      </c>
      <c r="D92" s="76">
        <f>0.11*1.02</f>
        <v>0.11220000000000001</v>
      </c>
      <c r="E92" s="213">
        <v>6521.1762000000008</v>
      </c>
      <c r="F92" s="101">
        <f t="shared" si="25"/>
        <v>731.68</v>
      </c>
      <c r="G92" s="101">
        <f t="shared" si="26"/>
        <v>878.02</v>
      </c>
      <c r="J92" s="438"/>
      <c r="K92" s="438">
        <f t="shared" si="21"/>
        <v>0</v>
      </c>
    </row>
    <row r="93" spans="1:11" ht="27.6" x14ac:dyDescent="0.3">
      <c r="A93" s="65">
        <f t="shared" si="27"/>
        <v>70</v>
      </c>
      <c r="B93" s="66" t="s">
        <v>262</v>
      </c>
      <c r="C93" s="65" t="s">
        <v>243</v>
      </c>
      <c r="D93" s="70">
        <v>1</v>
      </c>
      <c r="E93" s="213">
        <v>4252.9410000000016</v>
      </c>
      <c r="F93" s="101">
        <f t="shared" si="25"/>
        <v>4252.9399999999996</v>
      </c>
      <c r="G93" s="101">
        <f t="shared" si="26"/>
        <v>5103.53</v>
      </c>
      <c r="J93" s="438"/>
      <c r="K93" s="438">
        <f t="shared" si="21"/>
        <v>0</v>
      </c>
    </row>
    <row r="94" spans="1:11" ht="15.6" x14ac:dyDescent="0.3">
      <c r="A94" s="65"/>
      <c r="B94" s="72" t="s">
        <v>320</v>
      </c>
      <c r="C94" s="65"/>
      <c r="D94" s="70"/>
      <c r="E94" s="213">
        <v>0</v>
      </c>
      <c r="F94" s="101"/>
      <c r="G94" s="101"/>
      <c r="J94" s="438"/>
      <c r="K94" s="438">
        <f t="shared" si="21"/>
        <v>0</v>
      </c>
    </row>
    <row r="95" spans="1:11" ht="27.6" x14ac:dyDescent="0.3">
      <c r="A95" s="65">
        <f>A93+1</f>
        <v>71</v>
      </c>
      <c r="B95" s="66" t="s">
        <v>321</v>
      </c>
      <c r="C95" s="65" t="s">
        <v>220</v>
      </c>
      <c r="D95" s="70">
        <v>1</v>
      </c>
      <c r="E95" s="213">
        <v>47786.302829999993</v>
      </c>
      <c r="F95" s="101">
        <f t="shared" ref="F95:F114" si="28">ROUND(E95*D95,2)</f>
        <v>47786.3</v>
      </c>
      <c r="G95" s="101">
        <f t="shared" ref="G95:G114" si="29">ROUND(F95*1.2,2)</f>
        <v>57343.56</v>
      </c>
      <c r="J95" s="438"/>
      <c r="K95" s="438">
        <f t="shared" si="21"/>
        <v>0</v>
      </c>
    </row>
    <row r="96" spans="1:11" ht="27.6" x14ac:dyDescent="0.3">
      <c r="A96" s="65">
        <f>A95+1</f>
        <v>72</v>
      </c>
      <c r="B96" s="66" t="s">
        <v>322</v>
      </c>
      <c r="C96" s="65" t="s">
        <v>220</v>
      </c>
      <c r="D96" s="70">
        <v>1</v>
      </c>
      <c r="E96" s="213">
        <v>47786.302829999993</v>
      </c>
      <c r="F96" s="101">
        <f t="shared" si="28"/>
        <v>47786.3</v>
      </c>
      <c r="G96" s="101">
        <f t="shared" si="29"/>
        <v>57343.56</v>
      </c>
      <c r="J96" s="438"/>
      <c r="K96" s="438">
        <f t="shared" si="21"/>
        <v>0</v>
      </c>
    </row>
    <row r="97" spans="1:11" ht="27.6" x14ac:dyDescent="0.3">
      <c r="A97" s="65">
        <f t="shared" ref="A97:A114" si="30">A96+1</f>
        <v>73</v>
      </c>
      <c r="B97" s="66" t="s">
        <v>323</v>
      </c>
      <c r="C97" s="65" t="s">
        <v>220</v>
      </c>
      <c r="D97" s="70">
        <v>1</v>
      </c>
      <c r="E97" s="213">
        <v>47786.302829999993</v>
      </c>
      <c r="F97" s="101">
        <f t="shared" si="28"/>
        <v>47786.3</v>
      </c>
      <c r="G97" s="101">
        <f t="shared" si="29"/>
        <v>57343.56</v>
      </c>
      <c r="J97" s="438"/>
      <c r="K97" s="438">
        <f t="shared" si="21"/>
        <v>0</v>
      </c>
    </row>
    <row r="98" spans="1:11" ht="27.6" x14ac:dyDescent="0.3">
      <c r="A98" s="65">
        <f t="shared" si="30"/>
        <v>74</v>
      </c>
      <c r="B98" s="66" t="s">
        <v>324</v>
      </c>
      <c r="C98" s="65" t="s">
        <v>220</v>
      </c>
      <c r="D98" s="70">
        <v>1</v>
      </c>
      <c r="E98" s="213">
        <v>47786.302829999993</v>
      </c>
      <c r="F98" s="101">
        <f t="shared" si="28"/>
        <v>47786.3</v>
      </c>
      <c r="G98" s="101">
        <f t="shared" si="29"/>
        <v>57343.56</v>
      </c>
      <c r="J98" s="438"/>
      <c r="K98" s="438">
        <f t="shared" si="21"/>
        <v>0</v>
      </c>
    </row>
    <row r="99" spans="1:11" ht="27.6" x14ac:dyDescent="0.3">
      <c r="A99" s="65">
        <f t="shared" si="30"/>
        <v>75</v>
      </c>
      <c r="B99" s="66" t="s">
        <v>325</v>
      </c>
      <c r="C99" s="65" t="s">
        <v>220</v>
      </c>
      <c r="D99" s="70">
        <v>1</v>
      </c>
      <c r="E99" s="213">
        <v>46801.682550000005</v>
      </c>
      <c r="F99" s="101">
        <f t="shared" si="28"/>
        <v>46801.68</v>
      </c>
      <c r="G99" s="101">
        <f t="shared" si="29"/>
        <v>56162.02</v>
      </c>
      <c r="J99" s="438"/>
      <c r="K99" s="438">
        <f t="shared" si="21"/>
        <v>0</v>
      </c>
    </row>
    <row r="100" spans="1:11" ht="27.6" x14ac:dyDescent="0.3">
      <c r="A100" s="65">
        <f t="shared" si="30"/>
        <v>76</v>
      </c>
      <c r="B100" s="66" t="s">
        <v>326</v>
      </c>
      <c r="C100" s="65" t="s">
        <v>220</v>
      </c>
      <c r="D100" s="70">
        <v>1</v>
      </c>
      <c r="E100" s="213">
        <v>46801.682550000005</v>
      </c>
      <c r="F100" s="101">
        <f t="shared" si="28"/>
        <v>46801.68</v>
      </c>
      <c r="G100" s="101">
        <f t="shared" si="29"/>
        <v>56162.02</v>
      </c>
      <c r="J100" s="438"/>
      <c r="K100" s="438">
        <f t="shared" si="21"/>
        <v>0</v>
      </c>
    </row>
    <row r="101" spans="1:11" ht="27.6" x14ac:dyDescent="0.3">
      <c r="A101" s="65">
        <f t="shared" si="30"/>
        <v>77</v>
      </c>
      <c r="B101" s="66" t="s">
        <v>327</v>
      </c>
      <c r="C101" s="65" t="s">
        <v>220</v>
      </c>
      <c r="D101" s="70">
        <v>1</v>
      </c>
      <c r="E101" s="213">
        <v>46801.682550000005</v>
      </c>
      <c r="F101" s="101">
        <f t="shared" si="28"/>
        <v>46801.68</v>
      </c>
      <c r="G101" s="101">
        <f t="shared" si="29"/>
        <v>56162.02</v>
      </c>
      <c r="J101" s="438"/>
      <c r="K101" s="438">
        <f t="shared" si="21"/>
        <v>0</v>
      </c>
    </row>
    <row r="102" spans="1:11" ht="27.6" x14ac:dyDescent="0.3">
      <c r="A102" s="65">
        <f t="shared" si="30"/>
        <v>78</v>
      </c>
      <c r="B102" s="66" t="s">
        <v>328</v>
      </c>
      <c r="C102" s="65" t="s">
        <v>220</v>
      </c>
      <c r="D102" s="70">
        <v>1</v>
      </c>
      <c r="E102" s="213">
        <v>46801.682550000005</v>
      </c>
      <c r="F102" s="101">
        <f t="shared" si="28"/>
        <v>46801.68</v>
      </c>
      <c r="G102" s="101">
        <f t="shared" si="29"/>
        <v>56162.02</v>
      </c>
      <c r="J102" s="438"/>
      <c r="K102" s="438">
        <f t="shared" si="21"/>
        <v>0</v>
      </c>
    </row>
    <row r="103" spans="1:11" ht="27.6" x14ac:dyDescent="0.3">
      <c r="A103" s="65">
        <f t="shared" si="30"/>
        <v>79</v>
      </c>
      <c r="B103" s="66" t="s">
        <v>329</v>
      </c>
      <c r="C103" s="65" t="s">
        <v>220</v>
      </c>
      <c r="D103" s="70">
        <v>1</v>
      </c>
      <c r="E103" s="213">
        <v>46801.682550000005</v>
      </c>
      <c r="F103" s="101">
        <f t="shared" si="28"/>
        <v>46801.68</v>
      </c>
      <c r="G103" s="101">
        <f t="shared" si="29"/>
        <v>56162.02</v>
      </c>
      <c r="J103" s="438"/>
      <c r="K103" s="438">
        <f t="shared" si="21"/>
        <v>0</v>
      </c>
    </row>
    <row r="104" spans="1:11" ht="27.6" x14ac:dyDescent="0.3">
      <c r="A104" s="65">
        <f t="shared" si="30"/>
        <v>80</v>
      </c>
      <c r="B104" s="66" t="s">
        <v>330</v>
      </c>
      <c r="C104" s="65" t="s">
        <v>220</v>
      </c>
      <c r="D104" s="70">
        <v>1</v>
      </c>
      <c r="E104" s="213">
        <v>45818.351040000009</v>
      </c>
      <c r="F104" s="101">
        <f t="shared" si="28"/>
        <v>45818.35</v>
      </c>
      <c r="G104" s="101">
        <f t="shared" si="29"/>
        <v>54982.02</v>
      </c>
      <c r="J104" s="438"/>
      <c r="K104" s="438">
        <f t="shared" si="21"/>
        <v>0</v>
      </c>
    </row>
    <row r="105" spans="1:11" ht="27.6" x14ac:dyDescent="0.3">
      <c r="A105" s="65">
        <f t="shared" si="30"/>
        <v>81</v>
      </c>
      <c r="B105" s="66" t="s">
        <v>331</v>
      </c>
      <c r="C105" s="65" t="s">
        <v>220</v>
      </c>
      <c r="D105" s="70">
        <v>1</v>
      </c>
      <c r="E105" s="213">
        <v>45818.351040000009</v>
      </c>
      <c r="F105" s="101">
        <f t="shared" si="28"/>
        <v>45818.35</v>
      </c>
      <c r="G105" s="101">
        <f t="shared" si="29"/>
        <v>54982.02</v>
      </c>
      <c r="J105" s="438"/>
      <c r="K105" s="438">
        <f t="shared" si="21"/>
        <v>0</v>
      </c>
    </row>
    <row r="106" spans="1:11" ht="27.6" x14ac:dyDescent="0.3">
      <c r="A106" s="65">
        <f t="shared" si="30"/>
        <v>82</v>
      </c>
      <c r="B106" s="66" t="s">
        <v>332</v>
      </c>
      <c r="C106" s="65" t="s">
        <v>220</v>
      </c>
      <c r="D106" s="70">
        <v>1</v>
      </c>
      <c r="E106" s="213">
        <v>45818.351040000009</v>
      </c>
      <c r="F106" s="101">
        <f t="shared" si="28"/>
        <v>45818.35</v>
      </c>
      <c r="G106" s="101">
        <f t="shared" si="29"/>
        <v>54982.02</v>
      </c>
      <c r="J106" s="438"/>
      <c r="K106" s="438">
        <f t="shared" si="21"/>
        <v>0</v>
      </c>
    </row>
    <row r="107" spans="1:11" ht="27.6" x14ac:dyDescent="0.3">
      <c r="A107" s="65">
        <f t="shared" si="30"/>
        <v>83</v>
      </c>
      <c r="B107" s="66" t="s">
        <v>333</v>
      </c>
      <c r="C107" s="65" t="s">
        <v>220</v>
      </c>
      <c r="D107" s="70">
        <v>26</v>
      </c>
      <c r="E107" s="213">
        <v>12254.913929999999</v>
      </c>
      <c r="F107" s="101">
        <f t="shared" si="28"/>
        <v>318627.76</v>
      </c>
      <c r="G107" s="101">
        <f t="shared" si="29"/>
        <v>382353.31</v>
      </c>
      <c r="J107" s="438"/>
      <c r="K107" s="438">
        <f t="shared" si="21"/>
        <v>0</v>
      </c>
    </row>
    <row r="108" spans="1:11" ht="15.6" x14ac:dyDescent="0.3">
      <c r="A108" s="65">
        <f t="shared" si="30"/>
        <v>84</v>
      </c>
      <c r="B108" s="66" t="s">
        <v>334</v>
      </c>
      <c r="C108" s="65" t="s">
        <v>254</v>
      </c>
      <c r="D108" s="70">
        <f>8*10</f>
        <v>80</v>
      </c>
      <c r="E108" s="213">
        <v>114.70053</v>
      </c>
      <c r="F108" s="101">
        <f t="shared" si="28"/>
        <v>9176.0400000000009</v>
      </c>
      <c r="G108" s="101">
        <f t="shared" si="29"/>
        <v>11011.25</v>
      </c>
      <c r="J108" s="438"/>
      <c r="K108" s="438">
        <f t="shared" si="21"/>
        <v>0</v>
      </c>
    </row>
    <row r="109" spans="1:11" ht="15.6" x14ac:dyDescent="0.3">
      <c r="A109" s="65">
        <f t="shared" si="30"/>
        <v>85</v>
      </c>
      <c r="B109" s="66" t="s">
        <v>335</v>
      </c>
      <c r="C109" s="65" t="s">
        <v>254</v>
      </c>
      <c r="D109" s="71">
        <v>8.1999999999999993</v>
      </c>
      <c r="E109" s="213">
        <v>114.70053</v>
      </c>
      <c r="F109" s="101">
        <f t="shared" si="28"/>
        <v>940.54</v>
      </c>
      <c r="G109" s="101">
        <f t="shared" si="29"/>
        <v>1128.6500000000001</v>
      </c>
      <c r="J109" s="438"/>
      <c r="K109" s="438">
        <f t="shared" si="21"/>
        <v>0</v>
      </c>
    </row>
    <row r="110" spans="1:11" ht="15.6" x14ac:dyDescent="0.3">
      <c r="A110" s="65">
        <f t="shared" si="30"/>
        <v>86</v>
      </c>
      <c r="B110" s="66" t="s">
        <v>336</v>
      </c>
      <c r="C110" s="65" t="s">
        <v>194</v>
      </c>
      <c r="D110" s="76">
        <f>2.49*2*1.01</f>
        <v>5.0298000000000007</v>
      </c>
      <c r="E110" s="213">
        <v>5706.6735599999993</v>
      </c>
      <c r="F110" s="101">
        <f t="shared" si="28"/>
        <v>28703.43</v>
      </c>
      <c r="G110" s="101">
        <f t="shared" si="29"/>
        <v>34444.120000000003</v>
      </c>
      <c r="J110" s="438"/>
      <c r="K110" s="438">
        <f t="shared" si="21"/>
        <v>0</v>
      </c>
    </row>
    <row r="111" spans="1:11" ht="15.6" x14ac:dyDescent="0.3">
      <c r="A111" s="65">
        <f t="shared" si="30"/>
        <v>87</v>
      </c>
      <c r="B111" s="66" t="s">
        <v>337</v>
      </c>
      <c r="C111" s="65" t="s">
        <v>194</v>
      </c>
      <c r="D111" s="76">
        <f>2.29*2*1.01</f>
        <v>4.6257999999999999</v>
      </c>
      <c r="E111" s="213">
        <v>5706.6735599999993</v>
      </c>
      <c r="F111" s="101">
        <f t="shared" si="28"/>
        <v>26397.93</v>
      </c>
      <c r="G111" s="101">
        <f t="shared" si="29"/>
        <v>31677.52</v>
      </c>
      <c r="J111" s="438"/>
      <c r="K111" s="438">
        <f t="shared" si="21"/>
        <v>0</v>
      </c>
    </row>
    <row r="112" spans="1:11" ht="15.6" x14ac:dyDescent="0.3">
      <c r="A112" s="65">
        <f t="shared" si="30"/>
        <v>88</v>
      </c>
      <c r="B112" s="79" t="s">
        <v>338</v>
      </c>
      <c r="C112" s="65" t="s">
        <v>254</v>
      </c>
      <c r="D112" s="75">
        <v>2.7519999999999998</v>
      </c>
      <c r="E112" s="213">
        <v>234.55614000000003</v>
      </c>
      <c r="F112" s="101">
        <f t="shared" si="28"/>
        <v>645.5</v>
      </c>
      <c r="G112" s="101">
        <f t="shared" si="29"/>
        <v>774.6</v>
      </c>
      <c r="J112" s="438"/>
      <c r="K112" s="438">
        <f t="shared" si="21"/>
        <v>0</v>
      </c>
    </row>
    <row r="113" spans="1:11" ht="15.6" x14ac:dyDescent="0.3">
      <c r="A113" s="65">
        <f t="shared" si="30"/>
        <v>89</v>
      </c>
      <c r="B113" s="66" t="s">
        <v>339</v>
      </c>
      <c r="C113" s="65" t="s">
        <v>254</v>
      </c>
      <c r="D113" s="67">
        <v>1.29</v>
      </c>
      <c r="E113" s="213">
        <v>1773.3475200000003</v>
      </c>
      <c r="F113" s="101">
        <f t="shared" si="28"/>
        <v>2287.62</v>
      </c>
      <c r="G113" s="101">
        <f t="shared" si="29"/>
        <v>2745.14</v>
      </c>
      <c r="J113" s="438"/>
      <c r="K113" s="438">
        <f t="shared" si="21"/>
        <v>0</v>
      </c>
    </row>
    <row r="114" spans="1:11" ht="27.6" x14ac:dyDescent="0.3">
      <c r="A114" s="65">
        <f t="shared" si="30"/>
        <v>90</v>
      </c>
      <c r="B114" s="66" t="s">
        <v>340</v>
      </c>
      <c r="C114" s="65" t="s">
        <v>254</v>
      </c>
      <c r="D114" s="67">
        <v>2.81</v>
      </c>
      <c r="E114" s="213">
        <v>850.58820000000014</v>
      </c>
      <c r="F114" s="101">
        <f t="shared" si="28"/>
        <v>2390.15</v>
      </c>
      <c r="G114" s="101">
        <f t="shared" si="29"/>
        <v>2868.18</v>
      </c>
      <c r="J114" s="438"/>
      <c r="K114" s="438">
        <f t="shared" si="21"/>
        <v>0</v>
      </c>
    </row>
    <row r="115" spans="1:11" ht="15.6" x14ac:dyDescent="0.3">
      <c r="A115" s="173"/>
      <c r="B115" s="537" t="s">
        <v>341</v>
      </c>
      <c r="C115" s="538"/>
      <c r="D115" s="538"/>
      <c r="E115" s="213">
        <v>0</v>
      </c>
      <c r="F115" s="175"/>
      <c r="G115" s="337"/>
      <c r="J115" s="438"/>
      <c r="K115" s="438">
        <f t="shared" si="21"/>
        <v>0</v>
      </c>
    </row>
    <row r="116" spans="1:11" ht="15.6" x14ac:dyDescent="0.3">
      <c r="A116" s="65"/>
      <c r="B116" s="61" t="s">
        <v>342</v>
      </c>
      <c r="C116" s="73"/>
      <c r="D116" s="74"/>
      <c r="E116" s="213">
        <v>0</v>
      </c>
      <c r="F116" s="69"/>
      <c r="G116" s="55"/>
      <c r="J116" s="438"/>
      <c r="K116" s="438">
        <f t="shared" si="21"/>
        <v>0</v>
      </c>
    </row>
    <row r="117" spans="1:11" ht="15.6" x14ac:dyDescent="0.3">
      <c r="A117" s="65">
        <f>A114+1</f>
        <v>91</v>
      </c>
      <c r="B117" s="66" t="s">
        <v>343</v>
      </c>
      <c r="C117" s="65" t="s">
        <v>193</v>
      </c>
      <c r="D117" s="67">
        <v>7.36</v>
      </c>
      <c r="E117" s="213">
        <v>3395.9089500000005</v>
      </c>
      <c r="F117" s="101">
        <f t="shared" ref="F117:F126" si="31">ROUND(E117*D117,2)</f>
        <v>24993.89</v>
      </c>
      <c r="G117" s="101">
        <f t="shared" ref="G117:G143" si="32">ROUND(F117*1.2,2)</f>
        <v>29992.67</v>
      </c>
      <c r="J117" s="438"/>
      <c r="K117" s="438">
        <f t="shared" si="21"/>
        <v>0</v>
      </c>
    </row>
    <row r="118" spans="1:11" ht="15.6" x14ac:dyDescent="0.3">
      <c r="A118" s="65">
        <f t="shared" ref="A118:A143" si="33">A117+1</f>
        <v>92</v>
      </c>
      <c r="B118" s="66" t="s">
        <v>344</v>
      </c>
      <c r="C118" s="73" t="s">
        <v>220</v>
      </c>
      <c r="D118" s="70">
        <v>26</v>
      </c>
      <c r="E118" s="213">
        <v>16302.940500000004</v>
      </c>
      <c r="F118" s="101">
        <f t="shared" si="31"/>
        <v>423876.45</v>
      </c>
      <c r="G118" s="101">
        <f t="shared" si="32"/>
        <v>508651.74</v>
      </c>
      <c r="J118" s="438"/>
      <c r="K118" s="438">
        <f t="shared" si="21"/>
        <v>0</v>
      </c>
    </row>
    <row r="119" spans="1:11" ht="15.6" x14ac:dyDescent="0.3">
      <c r="A119" s="65">
        <f t="shared" si="33"/>
        <v>93</v>
      </c>
      <c r="B119" s="66" t="s">
        <v>345</v>
      </c>
      <c r="C119" s="73" t="s">
        <v>220</v>
      </c>
      <c r="D119" s="70">
        <v>27</v>
      </c>
      <c r="E119" s="213">
        <v>5162.8126200000006</v>
      </c>
      <c r="F119" s="101">
        <f t="shared" si="31"/>
        <v>139395.94</v>
      </c>
      <c r="G119" s="101">
        <f t="shared" si="32"/>
        <v>167275.13</v>
      </c>
      <c r="J119" s="438"/>
      <c r="K119" s="438">
        <f t="shared" si="21"/>
        <v>0</v>
      </c>
    </row>
    <row r="120" spans="1:11" ht="15.6" x14ac:dyDescent="0.3">
      <c r="A120" s="65">
        <f t="shared" si="33"/>
        <v>94</v>
      </c>
      <c r="B120" s="66" t="s">
        <v>346</v>
      </c>
      <c r="C120" s="73" t="s">
        <v>193</v>
      </c>
      <c r="D120" s="75">
        <f>2.5*1.014</f>
        <v>2.5350000000000001</v>
      </c>
      <c r="E120" s="213">
        <v>7200.3579900000004</v>
      </c>
      <c r="F120" s="101">
        <f t="shared" si="31"/>
        <v>18252.91</v>
      </c>
      <c r="G120" s="101">
        <f t="shared" si="32"/>
        <v>21903.49</v>
      </c>
      <c r="J120" s="438"/>
      <c r="K120" s="438">
        <f t="shared" si="21"/>
        <v>0</v>
      </c>
    </row>
    <row r="121" spans="1:11" ht="15.6" x14ac:dyDescent="0.3">
      <c r="A121" s="65">
        <f t="shared" si="33"/>
        <v>95</v>
      </c>
      <c r="B121" s="66" t="s">
        <v>347</v>
      </c>
      <c r="C121" s="73" t="s">
        <v>220</v>
      </c>
      <c r="D121" s="70">
        <v>646</v>
      </c>
      <c r="E121" s="213">
        <v>19.33155</v>
      </c>
      <c r="F121" s="101">
        <f t="shared" si="31"/>
        <v>12488.18</v>
      </c>
      <c r="G121" s="101">
        <f t="shared" si="32"/>
        <v>14985.82</v>
      </c>
      <c r="J121" s="438"/>
      <c r="K121" s="438">
        <f t="shared" si="21"/>
        <v>0</v>
      </c>
    </row>
    <row r="122" spans="1:11" ht="21.75" customHeight="1" x14ac:dyDescent="0.3">
      <c r="A122" s="65">
        <f t="shared" si="33"/>
        <v>96</v>
      </c>
      <c r="B122" s="66" t="s">
        <v>348</v>
      </c>
      <c r="C122" s="65" t="s">
        <v>193</v>
      </c>
      <c r="D122" s="75">
        <v>0.40799999999999997</v>
      </c>
      <c r="E122" s="213">
        <v>5706.6735599999993</v>
      </c>
      <c r="F122" s="101">
        <f t="shared" si="31"/>
        <v>2328.3200000000002</v>
      </c>
      <c r="G122" s="101">
        <f t="shared" si="32"/>
        <v>2793.98</v>
      </c>
      <c r="J122" s="438"/>
      <c r="K122" s="438">
        <f t="shared" si="21"/>
        <v>0</v>
      </c>
    </row>
    <row r="123" spans="1:11" ht="15.6" x14ac:dyDescent="0.3">
      <c r="A123" s="65">
        <f t="shared" si="33"/>
        <v>97</v>
      </c>
      <c r="B123" s="66" t="s">
        <v>349</v>
      </c>
      <c r="C123" s="73" t="s">
        <v>254</v>
      </c>
      <c r="D123" s="76">
        <f>8.0784+1.12192</f>
        <v>9.2003199999999996</v>
      </c>
      <c r="E123" s="213">
        <v>567.05880000000002</v>
      </c>
      <c r="F123" s="101">
        <f t="shared" si="31"/>
        <v>5217.12</v>
      </c>
      <c r="G123" s="101">
        <f t="shared" si="32"/>
        <v>6260.54</v>
      </c>
      <c r="J123" s="438"/>
      <c r="K123" s="438">
        <f t="shared" si="21"/>
        <v>0</v>
      </c>
    </row>
    <row r="124" spans="1:11" ht="15.6" x14ac:dyDescent="0.3">
      <c r="A124" s="65">
        <f t="shared" si="33"/>
        <v>98</v>
      </c>
      <c r="B124" s="66" t="s">
        <v>350</v>
      </c>
      <c r="C124" s="73" t="s">
        <v>254</v>
      </c>
      <c r="D124" s="75">
        <f>121.176+0.018288</f>
        <v>121.194288</v>
      </c>
      <c r="E124" s="213">
        <v>52.839570000000002</v>
      </c>
      <c r="F124" s="101">
        <f t="shared" si="31"/>
        <v>6403.85</v>
      </c>
      <c r="G124" s="101">
        <f t="shared" si="32"/>
        <v>7684.62</v>
      </c>
      <c r="J124" s="438"/>
      <c r="K124" s="438">
        <f t="shared" si="21"/>
        <v>0</v>
      </c>
    </row>
    <row r="125" spans="1:11" ht="15.6" x14ac:dyDescent="0.3">
      <c r="A125" s="65">
        <f t="shared" si="33"/>
        <v>99</v>
      </c>
      <c r="B125" s="66" t="s">
        <v>351</v>
      </c>
      <c r="C125" s="73" t="s">
        <v>193</v>
      </c>
      <c r="D125" s="80">
        <v>1.45738E-2</v>
      </c>
      <c r="E125" s="213">
        <v>7336.9676099999997</v>
      </c>
      <c r="F125" s="101">
        <f t="shared" si="31"/>
        <v>106.93</v>
      </c>
      <c r="G125" s="101">
        <f t="shared" si="32"/>
        <v>128.32</v>
      </c>
      <c r="J125" s="438"/>
      <c r="K125" s="438">
        <f t="shared" si="21"/>
        <v>0</v>
      </c>
    </row>
    <row r="126" spans="1:11" ht="27.6" x14ac:dyDescent="0.3">
      <c r="A126" s="65">
        <f t="shared" si="33"/>
        <v>100</v>
      </c>
      <c r="B126" s="66" t="s">
        <v>262</v>
      </c>
      <c r="C126" s="65" t="s">
        <v>243</v>
      </c>
      <c r="D126" s="70">
        <v>1</v>
      </c>
      <c r="E126" s="213">
        <v>7088.2349999999997</v>
      </c>
      <c r="F126" s="101">
        <f t="shared" si="31"/>
        <v>7088.24</v>
      </c>
      <c r="G126" s="101">
        <f t="shared" si="32"/>
        <v>8505.89</v>
      </c>
      <c r="J126" s="438"/>
      <c r="K126" s="438">
        <f t="shared" si="21"/>
        <v>0</v>
      </c>
    </row>
    <row r="127" spans="1:11" ht="15.6" x14ac:dyDescent="0.3">
      <c r="A127" s="65"/>
      <c r="B127" s="61" t="s">
        <v>352</v>
      </c>
      <c r="C127" s="73"/>
      <c r="D127" s="74"/>
      <c r="E127" s="213">
        <v>0</v>
      </c>
      <c r="F127" s="101"/>
      <c r="G127" s="101"/>
      <c r="J127" s="439"/>
      <c r="K127" s="438">
        <f t="shared" si="21"/>
        <v>0</v>
      </c>
    </row>
    <row r="128" spans="1:11" ht="16.5" customHeight="1" x14ac:dyDescent="0.3">
      <c r="A128" s="65">
        <f>A126+1</f>
        <v>101</v>
      </c>
      <c r="B128" s="66" t="s">
        <v>353</v>
      </c>
      <c r="C128" s="65" t="s">
        <v>254</v>
      </c>
      <c r="D128" s="75">
        <f>255*1.314</f>
        <v>335.07</v>
      </c>
      <c r="E128" s="213">
        <v>114.70053</v>
      </c>
      <c r="F128" s="101">
        <f t="shared" ref="F128:F143" si="34">ROUND(E128*D128,2)</f>
        <v>38432.71</v>
      </c>
      <c r="G128" s="101">
        <f t="shared" si="32"/>
        <v>46119.25</v>
      </c>
      <c r="J128" s="439"/>
      <c r="K128" s="438">
        <f t="shared" si="21"/>
        <v>0</v>
      </c>
    </row>
    <row r="129" spans="1:11" ht="16.5" customHeight="1" x14ac:dyDescent="0.3">
      <c r="A129" s="65">
        <f t="shared" si="33"/>
        <v>102</v>
      </c>
      <c r="B129" s="66" t="s">
        <v>354</v>
      </c>
      <c r="C129" s="65" t="s">
        <v>254</v>
      </c>
      <c r="D129" s="75">
        <f>255*1.067</f>
        <v>272.08499999999998</v>
      </c>
      <c r="E129" s="213">
        <v>114.70053</v>
      </c>
      <c r="F129" s="101">
        <f t="shared" si="34"/>
        <v>31208.29</v>
      </c>
      <c r="G129" s="101">
        <f t="shared" si="32"/>
        <v>37449.949999999997</v>
      </c>
      <c r="J129" s="439"/>
      <c r="K129" s="438">
        <f t="shared" si="21"/>
        <v>0</v>
      </c>
    </row>
    <row r="130" spans="1:11" ht="16.5" customHeight="1" x14ac:dyDescent="0.3">
      <c r="A130" s="65">
        <f t="shared" si="33"/>
        <v>103</v>
      </c>
      <c r="B130" s="66" t="s">
        <v>355</v>
      </c>
      <c r="C130" s="65" t="s">
        <v>254</v>
      </c>
      <c r="D130" s="75">
        <f>512*0.716</f>
        <v>366.59199999999998</v>
      </c>
      <c r="E130" s="213">
        <v>114.70053</v>
      </c>
      <c r="F130" s="101">
        <f t="shared" si="34"/>
        <v>42048.3</v>
      </c>
      <c r="G130" s="101">
        <f t="shared" si="32"/>
        <v>50457.96</v>
      </c>
      <c r="J130" s="439"/>
      <c r="K130" s="438">
        <f t="shared" si="21"/>
        <v>0</v>
      </c>
    </row>
    <row r="131" spans="1:11" ht="16.5" customHeight="1" x14ac:dyDescent="0.3">
      <c r="A131" s="65">
        <f t="shared" si="33"/>
        <v>104</v>
      </c>
      <c r="B131" s="66" t="s">
        <v>356</v>
      </c>
      <c r="C131" s="65" t="s">
        <v>254</v>
      </c>
      <c r="D131" s="75">
        <f>12*4.911</f>
        <v>58.931999999999995</v>
      </c>
      <c r="E131" s="213">
        <v>114.70053</v>
      </c>
      <c r="F131" s="101">
        <f t="shared" si="34"/>
        <v>6759.53</v>
      </c>
      <c r="G131" s="101">
        <f t="shared" si="32"/>
        <v>8111.44</v>
      </c>
      <c r="J131" s="439"/>
      <c r="K131" s="438">
        <f t="shared" si="21"/>
        <v>0</v>
      </c>
    </row>
    <row r="132" spans="1:11" ht="16.5" customHeight="1" x14ac:dyDescent="0.3">
      <c r="A132" s="65">
        <f t="shared" si="33"/>
        <v>105</v>
      </c>
      <c r="B132" s="66" t="s">
        <v>357</v>
      </c>
      <c r="C132" s="65" t="s">
        <v>254</v>
      </c>
      <c r="D132" s="75">
        <f>14*4.294</f>
        <v>60.115999999999993</v>
      </c>
      <c r="E132" s="213">
        <v>114.70053</v>
      </c>
      <c r="F132" s="101">
        <f t="shared" si="34"/>
        <v>6895.34</v>
      </c>
      <c r="G132" s="101">
        <f t="shared" si="32"/>
        <v>8274.41</v>
      </c>
      <c r="J132" s="439"/>
      <c r="K132" s="438">
        <f t="shared" si="21"/>
        <v>0</v>
      </c>
    </row>
    <row r="133" spans="1:11" ht="16.5" customHeight="1" x14ac:dyDescent="0.3">
      <c r="A133" s="65">
        <f t="shared" si="33"/>
        <v>106</v>
      </c>
      <c r="B133" s="66" t="s">
        <v>358</v>
      </c>
      <c r="C133" s="65" t="s">
        <v>254</v>
      </c>
      <c r="D133" s="75">
        <f>1200*0.617</f>
        <v>740.4</v>
      </c>
      <c r="E133" s="213">
        <v>114.70053</v>
      </c>
      <c r="F133" s="101">
        <f t="shared" si="34"/>
        <v>84924.27</v>
      </c>
      <c r="G133" s="101">
        <f t="shared" si="32"/>
        <v>101909.12</v>
      </c>
      <c r="J133" s="439"/>
      <c r="K133" s="438">
        <f t="shared" si="21"/>
        <v>0</v>
      </c>
    </row>
    <row r="134" spans="1:11" ht="16.5" customHeight="1" x14ac:dyDescent="0.3">
      <c r="A134" s="65">
        <f t="shared" si="33"/>
        <v>107</v>
      </c>
      <c r="B134" s="66" t="s">
        <v>359</v>
      </c>
      <c r="C134" s="65" t="s">
        <v>254</v>
      </c>
      <c r="D134" s="75">
        <f>134*0.558</f>
        <v>74.772000000000006</v>
      </c>
      <c r="E134" s="213">
        <v>114.70053</v>
      </c>
      <c r="F134" s="101">
        <f t="shared" si="34"/>
        <v>8576.39</v>
      </c>
      <c r="G134" s="101">
        <f t="shared" si="32"/>
        <v>10291.67</v>
      </c>
      <c r="J134" s="439"/>
      <c r="K134" s="438">
        <f t="shared" ref="K134:K197" si="35">E134*J134*1.2</f>
        <v>0</v>
      </c>
    </row>
    <row r="135" spans="1:11" ht="16.5" customHeight="1" x14ac:dyDescent="0.3">
      <c r="A135" s="65">
        <f t="shared" si="33"/>
        <v>108</v>
      </c>
      <c r="B135" s="66" t="s">
        <v>360</v>
      </c>
      <c r="C135" s="65" t="s">
        <v>254</v>
      </c>
      <c r="D135" s="75">
        <f>256*0.546</f>
        <v>139.77600000000001</v>
      </c>
      <c r="E135" s="213">
        <v>114.70053</v>
      </c>
      <c r="F135" s="101">
        <f t="shared" si="34"/>
        <v>16032.38</v>
      </c>
      <c r="G135" s="101">
        <f t="shared" si="32"/>
        <v>19238.86</v>
      </c>
      <c r="J135" s="439"/>
      <c r="K135" s="438">
        <f t="shared" si="35"/>
        <v>0</v>
      </c>
    </row>
    <row r="136" spans="1:11" ht="16.5" customHeight="1" x14ac:dyDescent="0.3">
      <c r="A136" s="65">
        <f t="shared" si="33"/>
        <v>109</v>
      </c>
      <c r="B136" s="66" t="s">
        <v>361</v>
      </c>
      <c r="C136" s="65" t="s">
        <v>254</v>
      </c>
      <c r="D136" s="75">
        <f>510*0.552</f>
        <v>281.52000000000004</v>
      </c>
      <c r="E136" s="213">
        <v>114.70053</v>
      </c>
      <c r="F136" s="101">
        <f t="shared" si="34"/>
        <v>32290.49</v>
      </c>
      <c r="G136" s="101">
        <f t="shared" si="32"/>
        <v>38748.589999999997</v>
      </c>
      <c r="J136" s="439"/>
      <c r="K136" s="438">
        <f t="shared" si="35"/>
        <v>0</v>
      </c>
    </row>
    <row r="137" spans="1:11" ht="16.5" customHeight="1" x14ac:dyDescent="0.3">
      <c r="A137" s="65">
        <f t="shared" si="33"/>
        <v>110</v>
      </c>
      <c r="B137" s="66" t="s">
        <v>362</v>
      </c>
      <c r="C137" s="65" t="s">
        <v>254</v>
      </c>
      <c r="D137" s="75">
        <f>265*0.518</f>
        <v>137.27000000000001</v>
      </c>
      <c r="E137" s="213">
        <v>114.70053</v>
      </c>
      <c r="F137" s="101">
        <f t="shared" si="34"/>
        <v>15744.94</v>
      </c>
      <c r="G137" s="101">
        <f t="shared" si="32"/>
        <v>18893.93</v>
      </c>
      <c r="J137" s="438"/>
      <c r="K137" s="438">
        <f t="shared" si="35"/>
        <v>0</v>
      </c>
    </row>
    <row r="138" spans="1:11" ht="16.5" customHeight="1" x14ac:dyDescent="0.3">
      <c r="A138" s="65">
        <f t="shared" si="33"/>
        <v>111</v>
      </c>
      <c r="B138" s="66" t="s">
        <v>363</v>
      </c>
      <c r="C138" s="65" t="s">
        <v>254</v>
      </c>
      <c r="D138" s="75">
        <f>177*0.099</f>
        <v>17.523</v>
      </c>
      <c r="E138" s="213">
        <v>90.21390000000001</v>
      </c>
      <c r="F138" s="101">
        <f t="shared" si="34"/>
        <v>1580.82</v>
      </c>
      <c r="G138" s="101">
        <f t="shared" si="32"/>
        <v>1896.98</v>
      </c>
      <c r="J138" s="438"/>
      <c r="K138" s="438">
        <f t="shared" si="35"/>
        <v>0</v>
      </c>
    </row>
    <row r="139" spans="1:11" ht="15.6" x14ac:dyDescent="0.3">
      <c r="A139" s="65">
        <f t="shared" si="33"/>
        <v>112</v>
      </c>
      <c r="B139" s="66" t="s">
        <v>259</v>
      </c>
      <c r="C139" s="65" t="s">
        <v>193</v>
      </c>
      <c r="D139" s="76">
        <f>25.7*1.015</f>
        <v>26.085499999999996</v>
      </c>
      <c r="E139" s="213">
        <v>7879.539780000001</v>
      </c>
      <c r="F139" s="101">
        <f t="shared" si="34"/>
        <v>205541.73</v>
      </c>
      <c r="G139" s="101">
        <f t="shared" si="32"/>
        <v>246650.08</v>
      </c>
      <c r="J139" s="438"/>
      <c r="K139" s="438">
        <f t="shared" si="35"/>
        <v>0</v>
      </c>
    </row>
    <row r="140" spans="1:11" ht="15.6" x14ac:dyDescent="0.3">
      <c r="A140" s="65">
        <f t="shared" si="33"/>
        <v>113</v>
      </c>
      <c r="B140" s="66" t="s">
        <v>260</v>
      </c>
      <c r="C140" s="65" t="s">
        <v>193</v>
      </c>
      <c r="D140" s="75">
        <f>7.3*1.02</f>
        <v>7.4459999999999997</v>
      </c>
      <c r="E140" s="213">
        <v>6521.1762000000008</v>
      </c>
      <c r="F140" s="101">
        <f t="shared" si="34"/>
        <v>48556.68</v>
      </c>
      <c r="G140" s="101">
        <f t="shared" si="32"/>
        <v>58268.02</v>
      </c>
      <c r="J140" s="438"/>
      <c r="K140" s="438">
        <f t="shared" si="35"/>
        <v>0</v>
      </c>
    </row>
    <row r="141" spans="1:11" ht="15.6" x14ac:dyDescent="0.3">
      <c r="A141" s="65">
        <f t="shared" si="33"/>
        <v>114</v>
      </c>
      <c r="B141" s="66" t="s">
        <v>349</v>
      </c>
      <c r="C141" s="73" t="s">
        <v>254</v>
      </c>
      <c r="D141" s="75">
        <v>43.064</v>
      </c>
      <c r="E141" s="213">
        <v>567.05880000000002</v>
      </c>
      <c r="F141" s="101">
        <f t="shared" si="34"/>
        <v>24419.82</v>
      </c>
      <c r="G141" s="101">
        <f t="shared" si="32"/>
        <v>29303.78</v>
      </c>
      <c r="J141" s="438"/>
      <c r="K141" s="438">
        <f t="shared" si="35"/>
        <v>0</v>
      </c>
    </row>
    <row r="142" spans="1:11" ht="15.6" x14ac:dyDescent="0.3">
      <c r="A142" s="65">
        <f t="shared" si="33"/>
        <v>115</v>
      </c>
      <c r="B142" s="66" t="s">
        <v>350</v>
      </c>
      <c r="C142" s="73" t="s">
        <v>254</v>
      </c>
      <c r="D142" s="67">
        <v>645.96</v>
      </c>
      <c r="E142" s="213">
        <v>52.839570000000002</v>
      </c>
      <c r="F142" s="101">
        <f t="shared" si="34"/>
        <v>34132.25</v>
      </c>
      <c r="G142" s="101">
        <f t="shared" si="32"/>
        <v>40958.699999999997</v>
      </c>
      <c r="J142" s="438"/>
      <c r="K142" s="438">
        <f t="shared" si="35"/>
        <v>0</v>
      </c>
    </row>
    <row r="143" spans="1:11" ht="27.6" x14ac:dyDescent="0.3">
      <c r="A143" s="65">
        <f t="shared" si="33"/>
        <v>116</v>
      </c>
      <c r="B143" s="66" t="s">
        <v>262</v>
      </c>
      <c r="C143" s="65" t="s">
        <v>243</v>
      </c>
      <c r="D143" s="70">
        <v>1</v>
      </c>
      <c r="E143" s="213">
        <v>70882.35000000002</v>
      </c>
      <c r="F143" s="101">
        <f t="shared" si="34"/>
        <v>70882.350000000006</v>
      </c>
      <c r="G143" s="101">
        <f t="shared" si="32"/>
        <v>85058.82</v>
      </c>
      <c r="J143" s="438"/>
      <c r="K143" s="438">
        <f t="shared" si="35"/>
        <v>0</v>
      </c>
    </row>
    <row r="144" spans="1:11" x14ac:dyDescent="0.3">
      <c r="A144" s="177"/>
      <c r="B144" s="537" t="s">
        <v>364</v>
      </c>
      <c r="C144" s="538"/>
      <c r="D144" s="538"/>
      <c r="E144" s="179"/>
      <c r="F144" s="179"/>
      <c r="G144" s="338"/>
      <c r="J144" s="438"/>
      <c r="K144" s="438">
        <f t="shared" si="35"/>
        <v>0</v>
      </c>
    </row>
    <row r="145" spans="1:11" ht="21" customHeight="1" x14ac:dyDescent="0.3">
      <c r="A145" s="65"/>
      <c r="B145" s="61" t="s">
        <v>365</v>
      </c>
      <c r="C145" s="73"/>
      <c r="D145" s="74"/>
      <c r="E145" s="213">
        <v>0</v>
      </c>
      <c r="F145" s="69"/>
      <c r="J145" s="438"/>
      <c r="K145" s="438">
        <f t="shared" si="35"/>
        <v>0</v>
      </c>
    </row>
    <row r="146" spans="1:11" ht="20.25" customHeight="1" x14ac:dyDescent="0.3">
      <c r="A146" s="65">
        <f>A143+1</f>
        <v>117</v>
      </c>
      <c r="B146" s="66" t="s">
        <v>366</v>
      </c>
      <c r="C146" s="65" t="s">
        <v>193</v>
      </c>
      <c r="D146" s="70">
        <v>281</v>
      </c>
      <c r="E146" s="213">
        <v>2037.54537</v>
      </c>
      <c r="F146" s="101">
        <f>ROUND(E146*D146,2)</f>
        <v>572550.25</v>
      </c>
      <c r="G146" s="101">
        <f t="shared" ref="G146:G150" si="36">ROUND(F146*1.2,2)</f>
        <v>687060.3</v>
      </c>
      <c r="J146" s="438"/>
      <c r="K146" s="438">
        <f t="shared" si="35"/>
        <v>0</v>
      </c>
    </row>
    <row r="147" spans="1:11" ht="20.25" customHeight="1" x14ac:dyDescent="0.3">
      <c r="A147" s="65">
        <f>A146+1</f>
        <v>118</v>
      </c>
      <c r="B147" s="66" t="s">
        <v>367</v>
      </c>
      <c r="C147" s="73" t="s">
        <v>193</v>
      </c>
      <c r="D147" s="67">
        <v>141.69999999999999</v>
      </c>
      <c r="E147" s="213">
        <v>5162.8126200000006</v>
      </c>
      <c r="F147" s="101">
        <f>ROUND(E147*D147,2)</f>
        <v>731570.55</v>
      </c>
      <c r="G147" s="101">
        <f t="shared" si="36"/>
        <v>877884.66</v>
      </c>
      <c r="J147" s="438"/>
      <c r="K147" s="438">
        <f t="shared" si="35"/>
        <v>0</v>
      </c>
    </row>
    <row r="148" spans="1:11" ht="15.6" x14ac:dyDescent="0.3">
      <c r="A148" s="65">
        <f t="shared" ref="A148:A150" si="37">A147+1</f>
        <v>119</v>
      </c>
      <c r="B148" s="66" t="s">
        <v>368</v>
      </c>
      <c r="C148" s="73" t="s">
        <v>193</v>
      </c>
      <c r="D148" s="67">
        <v>71.5</v>
      </c>
      <c r="E148" s="213">
        <v>5706.6735599999993</v>
      </c>
      <c r="F148" s="101">
        <f>ROUND(E148*D148,2)</f>
        <v>408027.16</v>
      </c>
      <c r="G148" s="101">
        <f t="shared" si="36"/>
        <v>489632.59</v>
      </c>
      <c r="J148" s="438"/>
      <c r="K148" s="438">
        <f t="shared" si="35"/>
        <v>0</v>
      </c>
    </row>
    <row r="149" spans="1:11" ht="19.5" customHeight="1" x14ac:dyDescent="0.3">
      <c r="A149" s="65">
        <f t="shared" si="37"/>
        <v>120</v>
      </c>
      <c r="B149" s="66" t="s">
        <v>369</v>
      </c>
      <c r="C149" s="65" t="s">
        <v>239</v>
      </c>
      <c r="D149" s="67">
        <v>104.8</v>
      </c>
      <c r="E149" s="213">
        <v>5977.3152599999994</v>
      </c>
      <c r="F149" s="101">
        <f>ROUND(E149*D149,2)</f>
        <v>626422.64</v>
      </c>
      <c r="G149" s="101">
        <f t="shared" si="36"/>
        <v>751707.17</v>
      </c>
      <c r="J149" s="438"/>
      <c r="K149" s="438">
        <f t="shared" si="35"/>
        <v>0</v>
      </c>
    </row>
    <row r="150" spans="1:11" ht="15.6" x14ac:dyDescent="0.3">
      <c r="A150" s="65">
        <f t="shared" si="37"/>
        <v>121</v>
      </c>
      <c r="B150" s="66" t="s">
        <v>370</v>
      </c>
      <c r="C150" s="65" t="s">
        <v>239</v>
      </c>
      <c r="D150" s="67">
        <v>1.4</v>
      </c>
      <c r="E150" s="213">
        <v>33964.244580000006</v>
      </c>
      <c r="F150" s="101">
        <f>ROUND(E150*D150,2)</f>
        <v>47549.94</v>
      </c>
      <c r="G150" s="101">
        <f t="shared" si="36"/>
        <v>57059.93</v>
      </c>
      <c r="J150" s="438"/>
      <c r="K150" s="438">
        <f t="shared" si="35"/>
        <v>0</v>
      </c>
    </row>
    <row r="151" spans="1:11" ht="15.6" x14ac:dyDescent="0.3">
      <c r="A151" s="285"/>
      <c r="B151" s="302" t="s">
        <v>927</v>
      </c>
      <c r="C151" s="292"/>
      <c r="D151" s="298"/>
      <c r="E151" s="213">
        <v>0</v>
      </c>
      <c r="F151" s="288"/>
      <c r="G151" s="288"/>
      <c r="H151" s="52"/>
      <c r="J151" s="438"/>
      <c r="K151" s="438">
        <f t="shared" si="35"/>
        <v>0</v>
      </c>
    </row>
    <row r="152" spans="1:11" ht="15.6" x14ac:dyDescent="0.3">
      <c r="A152" s="285">
        <f>A150+1</f>
        <v>122</v>
      </c>
      <c r="B152" s="314" t="s">
        <v>930</v>
      </c>
      <c r="C152" s="285" t="s">
        <v>220</v>
      </c>
      <c r="D152" s="298">
        <v>3</v>
      </c>
      <c r="E152" s="213">
        <v>3647.2191000000003</v>
      </c>
      <c r="F152" s="288">
        <f>ROUND(E152*D152,2)</f>
        <v>10941.66</v>
      </c>
      <c r="G152" s="288">
        <f t="shared" ref="G152:G153" si="38">ROUND(F152*1.2,2)</f>
        <v>13129.99</v>
      </c>
      <c r="H152" s="52"/>
      <c r="J152" s="438"/>
      <c r="K152" s="438">
        <f t="shared" si="35"/>
        <v>0</v>
      </c>
    </row>
    <row r="153" spans="1:11" ht="15.6" x14ac:dyDescent="0.3">
      <c r="A153" s="285">
        <f>A152+1</f>
        <v>123</v>
      </c>
      <c r="B153" s="314" t="s">
        <v>931</v>
      </c>
      <c r="C153" s="285" t="s">
        <v>220</v>
      </c>
      <c r="D153" s="298">
        <v>3</v>
      </c>
      <c r="E153" s="213">
        <v>1971.8181000000002</v>
      </c>
      <c r="F153" s="288">
        <f>ROUND(E153*D153,2)</f>
        <v>5915.45</v>
      </c>
      <c r="G153" s="288">
        <f t="shared" si="38"/>
        <v>7098.54</v>
      </c>
      <c r="H153" s="52"/>
      <c r="J153" s="438"/>
      <c r="K153" s="438">
        <f t="shared" si="35"/>
        <v>0</v>
      </c>
    </row>
    <row r="154" spans="1:11" ht="19.5" customHeight="1" x14ac:dyDescent="0.3">
      <c r="A154" s="65"/>
      <c r="B154" s="61" t="s">
        <v>371</v>
      </c>
      <c r="C154" s="73"/>
      <c r="D154" s="67"/>
      <c r="E154" s="213">
        <v>0</v>
      </c>
      <c r="F154" s="69"/>
      <c r="G154" s="55"/>
      <c r="J154" s="438"/>
      <c r="K154" s="438">
        <f t="shared" si="35"/>
        <v>0</v>
      </c>
    </row>
    <row r="155" spans="1:11" ht="18.75" customHeight="1" x14ac:dyDescent="0.3">
      <c r="A155" s="65">
        <f>A153+1</f>
        <v>124</v>
      </c>
      <c r="B155" s="66" t="s">
        <v>372</v>
      </c>
      <c r="C155" s="73" t="s">
        <v>254</v>
      </c>
      <c r="D155" s="67">
        <v>1.3</v>
      </c>
      <c r="E155" s="213">
        <v>626.34222</v>
      </c>
      <c r="F155" s="101">
        <f>ROUND(E155*D155,2)</f>
        <v>814.24</v>
      </c>
      <c r="G155" s="101">
        <f t="shared" ref="G155:G182" si="39">ROUND(F155*1.2,2)</f>
        <v>977.09</v>
      </c>
      <c r="J155" s="438"/>
      <c r="K155" s="438">
        <f t="shared" si="35"/>
        <v>0</v>
      </c>
    </row>
    <row r="156" spans="1:11" ht="18.75" customHeight="1" x14ac:dyDescent="0.3">
      <c r="A156" s="65">
        <f>A155+1</f>
        <v>125</v>
      </c>
      <c r="B156" s="66" t="s">
        <v>373</v>
      </c>
      <c r="C156" s="73" t="s">
        <v>254</v>
      </c>
      <c r="D156" s="67">
        <v>1</v>
      </c>
      <c r="E156" s="213">
        <v>835.12296000000003</v>
      </c>
      <c r="F156" s="101">
        <f>ROUND(E156*D156,2)</f>
        <v>835.12</v>
      </c>
      <c r="G156" s="101">
        <f t="shared" si="39"/>
        <v>1002.14</v>
      </c>
      <c r="J156" s="438"/>
      <c r="K156" s="438">
        <f t="shared" si="35"/>
        <v>0</v>
      </c>
    </row>
    <row r="157" spans="1:11" ht="18.75" customHeight="1" x14ac:dyDescent="0.3">
      <c r="A157" s="65">
        <f t="shared" ref="A157:A158" si="40">A156+1</f>
        <v>126</v>
      </c>
      <c r="B157" s="66" t="s">
        <v>374</v>
      </c>
      <c r="C157" s="73" t="s">
        <v>254</v>
      </c>
      <c r="D157" s="67">
        <v>0.9</v>
      </c>
      <c r="E157" s="213">
        <v>1630.2940500000002</v>
      </c>
      <c r="F157" s="101">
        <f>ROUND(E157*D157,2)</f>
        <v>1467.26</v>
      </c>
      <c r="G157" s="101">
        <f t="shared" si="39"/>
        <v>1760.71</v>
      </c>
      <c r="J157" s="438"/>
      <c r="K157" s="438">
        <f t="shared" si="35"/>
        <v>0</v>
      </c>
    </row>
    <row r="158" spans="1:11" ht="27.6" x14ac:dyDescent="0.3">
      <c r="A158" s="65">
        <f t="shared" si="40"/>
        <v>127</v>
      </c>
      <c r="B158" s="66" t="s">
        <v>262</v>
      </c>
      <c r="C158" s="65" t="s">
        <v>243</v>
      </c>
      <c r="D158" s="70">
        <v>1</v>
      </c>
      <c r="E158" s="213">
        <v>28352.94</v>
      </c>
      <c r="F158" s="101">
        <f>ROUND(E158*D158,2)</f>
        <v>28352.94</v>
      </c>
      <c r="G158" s="101">
        <f t="shared" si="39"/>
        <v>34023.53</v>
      </c>
      <c r="J158" s="438"/>
      <c r="K158" s="438">
        <f t="shared" si="35"/>
        <v>0</v>
      </c>
    </row>
    <row r="159" spans="1:11" ht="22.5" customHeight="1" x14ac:dyDescent="0.3">
      <c r="A159" s="173"/>
      <c r="B159" s="537" t="s">
        <v>375</v>
      </c>
      <c r="C159" s="538"/>
      <c r="D159" s="538"/>
      <c r="E159" s="213">
        <v>0</v>
      </c>
      <c r="F159" s="175"/>
      <c r="G159" s="176"/>
      <c r="J159" s="438"/>
      <c r="K159" s="438">
        <f t="shared" si="35"/>
        <v>0</v>
      </c>
    </row>
    <row r="160" spans="1:11" ht="27.6" x14ac:dyDescent="0.3">
      <c r="A160" s="65">
        <f>A158+1</f>
        <v>128</v>
      </c>
      <c r="B160" s="66" t="s">
        <v>376</v>
      </c>
      <c r="C160" s="73" t="s">
        <v>194</v>
      </c>
      <c r="D160" s="70">
        <v>29</v>
      </c>
      <c r="E160" s="213">
        <v>5542.9997700000004</v>
      </c>
      <c r="F160" s="101">
        <f t="shared" ref="F160:F182" si="41">ROUND(E160*D160,2)</f>
        <v>160746.99</v>
      </c>
      <c r="G160" s="101">
        <f t="shared" si="39"/>
        <v>192896.39</v>
      </c>
      <c r="J160" s="438"/>
      <c r="K160" s="438">
        <f t="shared" si="35"/>
        <v>0</v>
      </c>
    </row>
    <row r="161" spans="1:11" s="209" customFormat="1" ht="27.6" x14ac:dyDescent="0.3">
      <c r="A161" s="429">
        <f>A160+1</f>
        <v>129</v>
      </c>
      <c r="B161" s="208" t="s">
        <v>377</v>
      </c>
      <c r="C161" s="441" t="s">
        <v>194</v>
      </c>
      <c r="D161" s="442">
        <f>27*1.01</f>
        <v>27.27</v>
      </c>
      <c r="E161" s="443">
        <v>9455.7054900000003</v>
      </c>
      <c r="F161" s="434">
        <f t="shared" si="41"/>
        <v>257857.09</v>
      </c>
      <c r="G161" s="434">
        <f t="shared" si="39"/>
        <v>309428.51</v>
      </c>
      <c r="J161" s="439">
        <f>D161</f>
        <v>27.27</v>
      </c>
      <c r="K161" s="439">
        <f t="shared" si="35"/>
        <v>309428.50645475998</v>
      </c>
    </row>
    <row r="162" spans="1:11" ht="15.6" x14ac:dyDescent="0.3">
      <c r="A162" s="65">
        <f t="shared" ref="A162:A182" si="42">A161+1</f>
        <v>130</v>
      </c>
      <c r="B162" s="66" t="s">
        <v>378</v>
      </c>
      <c r="C162" s="73" t="s">
        <v>220</v>
      </c>
      <c r="D162" s="70">
        <v>1</v>
      </c>
      <c r="E162" s="213">
        <v>13858.143810000001</v>
      </c>
      <c r="F162" s="101">
        <f t="shared" si="41"/>
        <v>13858.14</v>
      </c>
      <c r="G162" s="101">
        <f t="shared" si="39"/>
        <v>16629.77</v>
      </c>
      <c r="J162" s="438"/>
      <c r="K162" s="438">
        <f t="shared" si="35"/>
        <v>0</v>
      </c>
    </row>
    <row r="163" spans="1:11" ht="15.6" x14ac:dyDescent="0.3">
      <c r="A163" s="65">
        <f t="shared" si="42"/>
        <v>131</v>
      </c>
      <c r="B163" s="66" t="s">
        <v>379</v>
      </c>
      <c r="C163" s="73" t="s">
        <v>220</v>
      </c>
      <c r="D163" s="70">
        <v>1</v>
      </c>
      <c r="E163" s="213">
        <v>14672.646450000004</v>
      </c>
      <c r="F163" s="101">
        <f t="shared" si="41"/>
        <v>14672.65</v>
      </c>
      <c r="G163" s="101">
        <f t="shared" si="39"/>
        <v>17607.18</v>
      </c>
      <c r="J163" s="438"/>
      <c r="K163" s="438">
        <f t="shared" si="35"/>
        <v>0</v>
      </c>
    </row>
    <row r="164" spans="1:11" ht="15.6" x14ac:dyDescent="0.3">
      <c r="A164" s="65">
        <f t="shared" si="42"/>
        <v>132</v>
      </c>
      <c r="B164" s="66" t="s">
        <v>380</v>
      </c>
      <c r="C164" s="73" t="s">
        <v>220</v>
      </c>
      <c r="D164" s="70">
        <v>1</v>
      </c>
      <c r="E164" s="213">
        <v>13206.02619</v>
      </c>
      <c r="F164" s="101">
        <f t="shared" si="41"/>
        <v>13206.03</v>
      </c>
      <c r="G164" s="101">
        <f t="shared" si="39"/>
        <v>15847.24</v>
      </c>
      <c r="J164" s="438"/>
      <c r="K164" s="438">
        <f t="shared" si="35"/>
        <v>0</v>
      </c>
    </row>
    <row r="165" spans="1:11" ht="15.6" x14ac:dyDescent="0.3">
      <c r="A165" s="65">
        <f t="shared" si="42"/>
        <v>133</v>
      </c>
      <c r="B165" s="66" t="s">
        <v>381</v>
      </c>
      <c r="C165" s="73" t="s">
        <v>220</v>
      </c>
      <c r="D165" s="70">
        <v>3</v>
      </c>
      <c r="E165" s="213">
        <v>14184.20262</v>
      </c>
      <c r="F165" s="101">
        <f t="shared" si="41"/>
        <v>42552.61</v>
      </c>
      <c r="G165" s="101">
        <f t="shared" si="39"/>
        <v>51063.13</v>
      </c>
      <c r="J165" s="438"/>
      <c r="K165" s="438">
        <f t="shared" si="35"/>
        <v>0</v>
      </c>
    </row>
    <row r="166" spans="1:11" ht="15.6" x14ac:dyDescent="0.3">
      <c r="A166" s="65">
        <f t="shared" si="42"/>
        <v>134</v>
      </c>
      <c r="B166" s="66" t="s">
        <v>382</v>
      </c>
      <c r="C166" s="73" t="s">
        <v>220</v>
      </c>
      <c r="D166" s="70">
        <v>1</v>
      </c>
      <c r="E166" s="213">
        <v>7989.0852299999997</v>
      </c>
      <c r="F166" s="101">
        <f t="shared" si="41"/>
        <v>7989.09</v>
      </c>
      <c r="G166" s="101">
        <f t="shared" si="39"/>
        <v>9586.91</v>
      </c>
      <c r="J166" s="438"/>
      <c r="K166" s="438">
        <f t="shared" si="35"/>
        <v>0</v>
      </c>
    </row>
    <row r="167" spans="1:11" ht="15.6" x14ac:dyDescent="0.3">
      <c r="A167" s="65">
        <f t="shared" si="42"/>
        <v>135</v>
      </c>
      <c r="B167" s="66" t="s">
        <v>383</v>
      </c>
      <c r="C167" s="73" t="s">
        <v>220</v>
      </c>
      <c r="D167" s="70">
        <v>1</v>
      </c>
      <c r="E167" s="213">
        <v>19563.528600000005</v>
      </c>
      <c r="F167" s="101">
        <f t="shared" si="41"/>
        <v>19563.53</v>
      </c>
      <c r="G167" s="101">
        <f t="shared" si="39"/>
        <v>23476.240000000002</v>
      </c>
      <c r="J167" s="438"/>
      <c r="K167" s="438">
        <f t="shared" si="35"/>
        <v>0</v>
      </c>
    </row>
    <row r="168" spans="1:11" ht="27.6" x14ac:dyDescent="0.3">
      <c r="A168" s="65">
        <f t="shared" si="42"/>
        <v>136</v>
      </c>
      <c r="B168" s="66" t="s">
        <v>384</v>
      </c>
      <c r="C168" s="73" t="s">
        <v>220</v>
      </c>
      <c r="D168" s="70">
        <v>1</v>
      </c>
      <c r="E168" s="213">
        <v>4728.4971299999997</v>
      </c>
      <c r="F168" s="101">
        <f t="shared" si="41"/>
        <v>4728.5</v>
      </c>
      <c r="G168" s="101">
        <f t="shared" si="39"/>
        <v>5674.2</v>
      </c>
      <c r="J168" s="438"/>
      <c r="K168" s="438">
        <f t="shared" si="35"/>
        <v>0</v>
      </c>
    </row>
    <row r="169" spans="1:11" ht="27.6" x14ac:dyDescent="0.3">
      <c r="A169" s="65">
        <f t="shared" si="42"/>
        <v>137</v>
      </c>
      <c r="B169" s="66" t="s">
        <v>385</v>
      </c>
      <c r="C169" s="73" t="s">
        <v>254</v>
      </c>
      <c r="D169" s="67">
        <v>16.13</v>
      </c>
      <c r="E169" s="213">
        <v>904.71654000000001</v>
      </c>
      <c r="F169" s="101">
        <f t="shared" si="41"/>
        <v>14593.08</v>
      </c>
      <c r="G169" s="101">
        <f t="shared" si="39"/>
        <v>17511.7</v>
      </c>
      <c r="J169" s="438"/>
      <c r="K169" s="438">
        <f t="shared" si="35"/>
        <v>0</v>
      </c>
    </row>
    <row r="170" spans="1:11" ht="15.6" x14ac:dyDescent="0.3">
      <c r="A170" s="65">
        <f t="shared" si="42"/>
        <v>138</v>
      </c>
      <c r="B170" s="66" t="s">
        <v>386</v>
      </c>
      <c r="C170" s="73" t="s">
        <v>387</v>
      </c>
      <c r="D170" s="70">
        <v>50</v>
      </c>
      <c r="E170" s="213">
        <v>320.90373</v>
      </c>
      <c r="F170" s="101">
        <f t="shared" si="41"/>
        <v>16045.19</v>
      </c>
      <c r="G170" s="101">
        <f t="shared" si="39"/>
        <v>19254.23</v>
      </c>
      <c r="J170" s="438"/>
      <c r="K170" s="438">
        <f t="shared" si="35"/>
        <v>0</v>
      </c>
    </row>
    <row r="171" spans="1:11" ht="15.6" x14ac:dyDescent="0.3">
      <c r="A171" s="65">
        <f t="shared" si="42"/>
        <v>139</v>
      </c>
      <c r="B171" s="66" t="s">
        <v>388</v>
      </c>
      <c r="C171" s="73" t="s">
        <v>254</v>
      </c>
      <c r="D171" s="70">
        <v>75</v>
      </c>
      <c r="E171" s="213">
        <v>402.09624000000002</v>
      </c>
      <c r="F171" s="101">
        <f t="shared" si="41"/>
        <v>30157.22</v>
      </c>
      <c r="G171" s="101">
        <f t="shared" si="39"/>
        <v>36188.660000000003</v>
      </c>
      <c r="J171" s="438"/>
      <c r="K171" s="438">
        <f t="shared" si="35"/>
        <v>0</v>
      </c>
    </row>
    <row r="172" spans="1:11" ht="15.6" x14ac:dyDescent="0.3">
      <c r="A172" s="65">
        <f t="shared" si="42"/>
        <v>140</v>
      </c>
      <c r="B172" s="66" t="s">
        <v>389</v>
      </c>
      <c r="C172" s="73" t="s">
        <v>193</v>
      </c>
      <c r="D172" s="76">
        <f>3.5*1.015</f>
        <v>3.5524999999999998</v>
      </c>
      <c r="E172" s="213">
        <v>7879.539780000001</v>
      </c>
      <c r="F172" s="101">
        <f t="shared" si="41"/>
        <v>27992.07</v>
      </c>
      <c r="G172" s="101">
        <f t="shared" si="39"/>
        <v>33590.480000000003</v>
      </c>
      <c r="J172" s="438"/>
      <c r="K172" s="438">
        <f t="shared" si="35"/>
        <v>0</v>
      </c>
    </row>
    <row r="173" spans="1:11" ht="15.6" x14ac:dyDescent="0.3">
      <c r="A173" s="65">
        <f t="shared" si="42"/>
        <v>141</v>
      </c>
      <c r="B173" s="66" t="s">
        <v>390</v>
      </c>
      <c r="C173" s="73" t="s">
        <v>193</v>
      </c>
      <c r="D173" s="71">
        <f>12*1.1</f>
        <v>13.200000000000001</v>
      </c>
      <c r="E173" s="213">
        <v>1630.2940500000002</v>
      </c>
      <c r="F173" s="101">
        <f t="shared" si="41"/>
        <v>21519.88</v>
      </c>
      <c r="G173" s="101">
        <f t="shared" si="39"/>
        <v>25823.86</v>
      </c>
      <c r="J173" s="438"/>
      <c r="K173" s="438">
        <f t="shared" si="35"/>
        <v>0</v>
      </c>
    </row>
    <row r="174" spans="1:11" ht="15.6" x14ac:dyDescent="0.3">
      <c r="A174" s="65">
        <f t="shared" si="42"/>
        <v>142</v>
      </c>
      <c r="B174" s="66" t="s">
        <v>391</v>
      </c>
      <c r="C174" s="73" t="s">
        <v>193</v>
      </c>
      <c r="D174" s="71">
        <f>0.8*1.2</f>
        <v>0.96</v>
      </c>
      <c r="E174" s="213">
        <v>1763.03736</v>
      </c>
      <c r="F174" s="101">
        <f t="shared" si="41"/>
        <v>1692.52</v>
      </c>
      <c r="G174" s="101">
        <f t="shared" si="39"/>
        <v>2031.02</v>
      </c>
      <c r="J174" s="438"/>
      <c r="K174" s="438">
        <f t="shared" si="35"/>
        <v>0</v>
      </c>
    </row>
    <row r="175" spans="1:11" ht="15.6" x14ac:dyDescent="0.3">
      <c r="A175" s="65">
        <f t="shared" si="42"/>
        <v>143</v>
      </c>
      <c r="B175" s="66" t="s">
        <v>392</v>
      </c>
      <c r="C175" s="73" t="s">
        <v>254</v>
      </c>
      <c r="D175" s="70">
        <v>17</v>
      </c>
      <c r="E175" s="213">
        <v>109.54545000000002</v>
      </c>
      <c r="F175" s="101">
        <f t="shared" si="41"/>
        <v>1862.27</v>
      </c>
      <c r="G175" s="101">
        <f t="shared" si="39"/>
        <v>2234.7199999999998</v>
      </c>
      <c r="J175" s="438"/>
      <c r="K175" s="438">
        <f t="shared" si="35"/>
        <v>0</v>
      </c>
    </row>
    <row r="176" spans="1:11" ht="15.6" x14ac:dyDescent="0.3">
      <c r="A176" s="65">
        <f t="shared" si="42"/>
        <v>144</v>
      </c>
      <c r="B176" s="66" t="s">
        <v>393</v>
      </c>
      <c r="C176" s="73" t="s">
        <v>254</v>
      </c>
      <c r="D176" s="70">
        <v>4</v>
      </c>
      <c r="E176" s="213">
        <v>109.54545000000002</v>
      </c>
      <c r="F176" s="101">
        <f t="shared" si="41"/>
        <v>438.18</v>
      </c>
      <c r="G176" s="101">
        <f t="shared" si="39"/>
        <v>525.82000000000005</v>
      </c>
      <c r="J176" s="438"/>
      <c r="K176" s="438">
        <f t="shared" si="35"/>
        <v>0</v>
      </c>
    </row>
    <row r="177" spans="1:12" ht="15.6" x14ac:dyDescent="0.3">
      <c r="A177" s="65">
        <f t="shared" si="42"/>
        <v>145</v>
      </c>
      <c r="B177" s="66" t="s">
        <v>394</v>
      </c>
      <c r="C177" s="73" t="s">
        <v>254</v>
      </c>
      <c r="D177" s="71">
        <v>4.5999999999999996</v>
      </c>
      <c r="E177" s="213">
        <v>134.03208000000001</v>
      </c>
      <c r="F177" s="101">
        <f t="shared" si="41"/>
        <v>616.54999999999995</v>
      </c>
      <c r="G177" s="101">
        <f t="shared" si="39"/>
        <v>739.86</v>
      </c>
      <c r="J177" s="438"/>
      <c r="K177" s="438">
        <f t="shared" si="35"/>
        <v>0</v>
      </c>
    </row>
    <row r="178" spans="1:12" ht="15.6" x14ac:dyDescent="0.3">
      <c r="A178" s="65">
        <f t="shared" si="42"/>
        <v>146</v>
      </c>
      <c r="B178" s="66" t="s">
        <v>395</v>
      </c>
      <c r="C178" s="73" t="s">
        <v>254</v>
      </c>
      <c r="D178" s="67">
        <v>2.82</v>
      </c>
      <c r="E178" s="213">
        <v>122.43315000000001</v>
      </c>
      <c r="F178" s="101">
        <f t="shared" si="41"/>
        <v>345.26</v>
      </c>
      <c r="G178" s="101">
        <f t="shared" si="39"/>
        <v>414.31</v>
      </c>
      <c r="J178" s="438"/>
      <c r="K178" s="438">
        <f t="shared" si="35"/>
        <v>0</v>
      </c>
    </row>
    <row r="179" spans="1:12" ht="15.6" x14ac:dyDescent="0.3">
      <c r="A179" s="65">
        <f t="shared" si="42"/>
        <v>147</v>
      </c>
      <c r="B179" s="66" t="s">
        <v>241</v>
      </c>
      <c r="C179" s="73" t="s">
        <v>193</v>
      </c>
      <c r="D179" s="67">
        <v>1.85</v>
      </c>
      <c r="E179" s="213">
        <v>7825.4114400000017</v>
      </c>
      <c r="F179" s="101">
        <f t="shared" si="41"/>
        <v>14477.01</v>
      </c>
      <c r="G179" s="101">
        <f t="shared" si="39"/>
        <v>17372.41</v>
      </c>
      <c r="J179" s="438"/>
      <c r="K179" s="438">
        <f t="shared" si="35"/>
        <v>0</v>
      </c>
    </row>
    <row r="180" spans="1:12" ht="15.6" x14ac:dyDescent="0.3">
      <c r="A180" s="65">
        <f t="shared" si="42"/>
        <v>148</v>
      </c>
      <c r="B180" s="66" t="s">
        <v>396</v>
      </c>
      <c r="C180" s="73" t="s">
        <v>193</v>
      </c>
      <c r="D180" s="67">
        <v>0.28999999999999998</v>
      </c>
      <c r="E180" s="213">
        <v>6847.2350099999994</v>
      </c>
      <c r="F180" s="101">
        <f t="shared" si="41"/>
        <v>1985.7</v>
      </c>
      <c r="G180" s="101">
        <f t="shared" si="39"/>
        <v>2382.84</v>
      </c>
      <c r="J180" s="438"/>
      <c r="K180" s="438">
        <f t="shared" si="35"/>
        <v>0</v>
      </c>
    </row>
    <row r="181" spans="1:12" ht="15.6" x14ac:dyDescent="0.3">
      <c r="A181" s="65">
        <f t="shared" si="42"/>
        <v>149</v>
      </c>
      <c r="B181" s="66" t="s">
        <v>397</v>
      </c>
      <c r="C181" s="73" t="s">
        <v>193</v>
      </c>
      <c r="D181" s="67">
        <v>0.22</v>
      </c>
      <c r="E181" s="213">
        <v>3125.2672500000003</v>
      </c>
      <c r="F181" s="101">
        <f t="shared" si="41"/>
        <v>687.56</v>
      </c>
      <c r="G181" s="101">
        <f t="shared" si="39"/>
        <v>825.07</v>
      </c>
      <c r="J181" s="438"/>
      <c r="K181" s="438">
        <f t="shared" si="35"/>
        <v>0</v>
      </c>
    </row>
    <row r="182" spans="1:12" ht="27.6" x14ac:dyDescent="0.3">
      <c r="A182" s="65">
        <f t="shared" si="42"/>
        <v>150</v>
      </c>
      <c r="B182" s="66" t="s">
        <v>398</v>
      </c>
      <c r="C182" s="65" t="s">
        <v>243</v>
      </c>
      <c r="D182" s="70">
        <v>1</v>
      </c>
      <c r="E182" s="213">
        <v>70882.35000000002</v>
      </c>
      <c r="F182" s="101">
        <f t="shared" si="41"/>
        <v>70882.350000000006</v>
      </c>
      <c r="G182" s="101">
        <f t="shared" si="39"/>
        <v>85058.82</v>
      </c>
      <c r="J182" s="438"/>
      <c r="K182" s="438">
        <f t="shared" si="35"/>
        <v>0</v>
      </c>
    </row>
    <row r="183" spans="1:12" ht="21.75" customHeight="1" x14ac:dyDescent="0.3">
      <c r="A183" s="173"/>
      <c r="B183" s="537" t="s">
        <v>399</v>
      </c>
      <c r="C183" s="538"/>
      <c r="D183" s="538"/>
      <c r="E183" s="175"/>
      <c r="F183" s="175"/>
      <c r="G183" s="176"/>
      <c r="J183" s="438"/>
      <c r="K183" s="438">
        <f t="shared" si="35"/>
        <v>0</v>
      </c>
    </row>
    <row r="184" spans="1:12" ht="15.6" x14ac:dyDescent="0.3">
      <c r="A184" s="65"/>
      <c r="B184" s="72" t="s">
        <v>1067</v>
      </c>
      <c r="C184" s="65"/>
      <c r="D184" s="81"/>
      <c r="E184" s="213">
        <v>0</v>
      </c>
      <c r="F184" s="69"/>
      <c r="G184" s="55"/>
      <c r="J184" s="438"/>
      <c r="K184" s="438">
        <f t="shared" si="35"/>
        <v>0</v>
      </c>
    </row>
    <row r="185" spans="1:12" ht="15.6" x14ac:dyDescent="0.3">
      <c r="A185" s="65">
        <f>A182+1</f>
        <v>151</v>
      </c>
      <c r="B185" s="66" t="s">
        <v>400</v>
      </c>
      <c r="C185" s="65" t="s">
        <v>220</v>
      </c>
      <c r="D185" s="237">
        <v>11</v>
      </c>
      <c r="E185" s="213">
        <v>22804.78515</v>
      </c>
      <c r="F185" s="101">
        <f t="shared" ref="F185:F191" si="43">ROUND(E185*D185,2)</f>
        <v>250852.64</v>
      </c>
      <c r="G185" s="101">
        <f t="shared" ref="G185:G191" si="44">ROUND(F185*1.2,2)</f>
        <v>301023.17</v>
      </c>
      <c r="I185" s="235"/>
      <c r="J185" s="438"/>
      <c r="K185" s="438">
        <f t="shared" si="35"/>
        <v>0</v>
      </c>
      <c r="L185" s="238"/>
    </row>
    <row r="186" spans="1:12" ht="15.6" x14ac:dyDescent="0.3">
      <c r="A186" s="65">
        <f>A185+1</f>
        <v>152</v>
      </c>
      <c r="B186" s="66" t="s">
        <v>987</v>
      </c>
      <c r="C186" s="65" t="s">
        <v>220</v>
      </c>
      <c r="D186" s="237">
        <v>43</v>
      </c>
      <c r="E186" s="213">
        <v>6635.8767300000009</v>
      </c>
      <c r="F186" s="101">
        <f t="shared" si="43"/>
        <v>285342.7</v>
      </c>
      <c r="G186" s="101">
        <f t="shared" si="44"/>
        <v>342411.24</v>
      </c>
      <c r="I186" s="235"/>
      <c r="J186" s="438"/>
      <c r="K186" s="438">
        <f t="shared" si="35"/>
        <v>0</v>
      </c>
      <c r="L186" s="238"/>
    </row>
    <row r="187" spans="1:12" ht="19.5" customHeight="1" x14ac:dyDescent="0.3">
      <c r="A187" s="86">
        <f t="shared" ref="A187" si="45">A186+1</f>
        <v>153</v>
      </c>
      <c r="B187" s="66" t="s">
        <v>401</v>
      </c>
      <c r="C187" s="65" t="s">
        <v>220</v>
      </c>
      <c r="D187" s="70">
        <v>14</v>
      </c>
      <c r="E187" s="213">
        <v>3714.2351400000002</v>
      </c>
      <c r="F187" s="101">
        <f t="shared" si="43"/>
        <v>51999.29</v>
      </c>
      <c r="G187" s="101">
        <f t="shared" si="44"/>
        <v>62399.15</v>
      </c>
      <c r="I187" s="235"/>
      <c r="J187" s="438"/>
      <c r="K187" s="438">
        <f t="shared" si="35"/>
        <v>0</v>
      </c>
      <c r="L187" s="238"/>
    </row>
    <row r="188" spans="1:12" s="316" customFormat="1" ht="19.5" customHeight="1" x14ac:dyDescent="0.3">
      <c r="A188" s="285">
        <f>A187+1</f>
        <v>154</v>
      </c>
      <c r="B188" s="290" t="s">
        <v>1068</v>
      </c>
      <c r="C188" s="285" t="s">
        <v>193</v>
      </c>
      <c r="D188" s="297">
        <v>0.02</v>
      </c>
      <c r="E188" s="213">
        <v>7345.9890000000005</v>
      </c>
      <c r="F188" s="288">
        <f t="shared" si="43"/>
        <v>146.91999999999999</v>
      </c>
      <c r="G188" s="288">
        <f t="shared" si="44"/>
        <v>176.3</v>
      </c>
      <c r="I188" s="330"/>
      <c r="J188" s="438"/>
      <c r="K188" s="438">
        <f t="shared" si="35"/>
        <v>0</v>
      </c>
      <c r="L188" s="331"/>
    </row>
    <row r="189" spans="1:12" ht="19.5" customHeight="1" x14ac:dyDescent="0.3">
      <c r="A189" s="86">
        <f>A188+1</f>
        <v>155</v>
      </c>
      <c r="B189" s="243" t="s">
        <v>391</v>
      </c>
      <c r="C189" s="86" t="s">
        <v>193</v>
      </c>
      <c r="D189" s="259">
        <v>5.63</v>
      </c>
      <c r="E189" s="213">
        <v>1763.03736</v>
      </c>
      <c r="F189" s="102">
        <f t="shared" si="43"/>
        <v>9925.9</v>
      </c>
      <c r="G189" s="102">
        <f t="shared" si="44"/>
        <v>11911.08</v>
      </c>
      <c r="I189" s="232"/>
      <c r="J189" s="438"/>
      <c r="K189" s="438">
        <f t="shared" si="35"/>
        <v>0</v>
      </c>
      <c r="L189" s="238"/>
    </row>
    <row r="190" spans="1:12" ht="19.5" customHeight="1" x14ac:dyDescent="0.3">
      <c r="A190" s="86">
        <f t="shared" ref="A190:A191" si="46">A189+1</f>
        <v>156</v>
      </c>
      <c r="B190" s="243" t="s">
        <v>1070</v>
      </c>
      <c r="C190" s="86" t="s">
        <v>387</v>
      </c>
      <c r="D190" s="237">
        <f>43*20/16</f>
        <v>53.75</v>
      </c>
      <c r="E190" s="213">
        <v>322.1925</v>
      </c>
      <c r="F190" s="102">
        <f t="shared" si="43"/>
        <v>17317.849999999999</v>
      </c>
      <c r="G190" s="102">
        <f t="shared" si="44"/>
        <v>20781.419999999998</v>
      </c>
      <c r="I190" s="232"/>
      <c r="J190" s="438"/>
      <c r="K190" s="438">
        <f t="shared" si="35"/>
        <v>0</v>
      </c>
      <c r="L190" s="238"/>
    </row>
    <row r="191" spans="1:12" ht="19.5" customHeight="1" x14ac:dyDescent="0.3">
      <c r="A191" s="86">
        <f t="shared" si="46"/>
        <v>157</v>
      </c>
      <c r="B191" s="243" t="s">
        <v>1069</v>
      </c>
      <c r="C191" s="86" t="s">
        <v>254</v>
      </c>
      <c r="D191" s="259">
        <v>120.15</v>
      </c>
      <c r="E191" s="213">
        <v>402.09624000000002</v>
      </c>
      <c r="F191" s="102">
        <f t="shared" si="43"/>
        <v>48311.86</v>
      </c>
      <c r="G191" s="102">
        <f t="shared" si="44"/>
        <v>57974.23</v>
      </c>
      <c r="I191" s="232"/>
      <c r="J191" s="438"/>
      <c r="K191" s="438">
        <f t="shared" si="35"/>
        <v>0</v>
      </c>
      <c r="L191" s="238"/>
    </row>
    <row r="192" spans="1:12" ht="19.5" customHeight="1" x14ac:dyDescent="0.3">
      <c r="A192" s="86"/>
      <c r="B192" s="260" t="s">
        <v>1017</v>
      </c>
      <c r="C192" s="86"/>
      <c r="D192" s="261"/>
      <c r="E192" s="213">
        <v>0</v>
      </c>
      <c r="F192" s="102"/>
      <c r="G192" s="102"/>
      <c r="I192" s="232"/>
      <c r="J192" s="438"/>
      <c r="K192" s="438">
        <f t="shared" si="35"/>
        <v>0</v>
      </c>
    </row>
    <row r="193" spans="1:11" ht="19.5" customHeight="1" x14ac:dyDescent="0.3">
      <c r="A193" s="285">
        <f>A191+1</f>
        <v>158</v>
      </c>
      <c r="B193" s="290" t="s">
        <v>1005</v>
      </c>
      <c r="C193" s="285" t="s">
        <v>193</v>
      </c>
      <c r="D193" s="297">
        <v>0.62</v>
      </c>
      <c r="E193" s="213">
        <v>7049.5719000000008</v>
      </c>
      <c r="F193" s="288">
        <f>ROUND(E193*D193,2)</f>
        <v>4370.7299999999996</v>
      </c>
      <c r="G193" s="288">
        <f t="shared" ref="G193:G196" si="47">ROUND(F193*1.2,2)</f>
        <v>5244.88</v>
      </c>
      <c r="I193" s="232"/>
      <c r="J193" s="438"/>
      <c r="K193" s="438">
        <f t="shared" si="35"/>
        <v>0</v>
      </c>
    </row>
    <row r="194" spans="1:11" ht="19.5" customHeight="1" x14ac:dyDescent="0.3">
      <c r="A194" s="86">
        <f>A193+1</f>
        <v>159</v>
      </c>
      <c r="B194" s="243" t="s">
        <v>1020</v>
      </c>
      <c r="C194" s="86" t="s">
        <v>254</v>
      </c>
      <c r="D194" s="262">
        <v>53</v>
      </c>
      <c r="E194" s="213">
        <v>109.54545000000002</v>
      </c>
      <c r="F194" s="102">
        <f>ROUND(E194*D194,2)</f>
        <v>5805.91</v>
      </c>
      <c r="G194" s="102">
        <f t="shared" si="47"/>
        <v>6967.09</v>
      </c>
      <c r="I194" s="232"/>
      <c r="J194" s="438"/>
      <c r="K194" s="438">
        <f t="shared" si="35"/>
        <v>0</v>
      </c>
    </row>
    <row r="195" spans="1:11" ht="19.5" customHeight="1" x14ac:dyDescent="0.3">
      <c r="A195" s="86">
        <f t="shared" ref="A195:A196" si="48">A194+1</f>
        <v>160</v>
      </c>
      <c r="B195" s="243" t="s">
        <v>1070</v>
      </c>
      <c r="C195" s="86" t="s">
        <v>387</v>
      </c>
      <c r="D195" s="259">
        <f>0.95*20/16</f>
        <v>1.1875</v>
      </c>
      <c r="E195" s="213">
        <v>322.1925</v>
      </c>
      <c r="F195" s="102">
        <f>ROUND(E195*D195,2)</f>
        <v>382.6</v>
      </c>
      <c r="G195" s="102">
        <f t="shared" si="47"/>
        <v>459.12</v>
      </c>
      <c r="I195" s="232"/>
      <c r="J195" s="438"/>
      <c r="K195" s="438">
        <f t="shared" si="35"/>
        <v>0</v>
      </c>
    </row>
    <row r="196" spans="1:11" ht="19.5" customHeight="1" x14ac:dyDescent="0.3">
      <c r="A196" s="86">
        <f t="shared" si="48"/>
        <v>161</v>
      </c>
      <c r="B196" s="243" t="s">
        <v>1069</v>
      </c>
      <c r="C196" s="86" t="s">
        <v>254</v>
      </c>
      <c r="D196" s="259">
        <v>2.7</v>
      </c>
      <c r="E196" s="213">
        <v>402.09624000000002</v>
      </c>
      <c r="F196" s="102">
        <f>ROUND(E196*D196,2)</f>
        <v>1085.6600000000001</v>
      </c>
      <c r="G196" s="102">
        <f t="shared" si="47"/>
        <v>1302.79</v>
      </c>
      <c r="I196" s="232"/>
      <c r="J196" s="438"/>
      <c r="K196" s="438">
        <f t="shared" si="35"/>
        <v>0</v>
      </c>
    </row>
    <row r="197" spans="1:11" ht="19.5" customHeight="1" x14ac:dyDescent="0.3">
      <c r="A197" s="86"/>
      <c r="B197" s="260" t="s">
        <v>1072</v>
      </c>
      <c r="C197" s="86"/>
      <c r="D197" s="259"/>
      <c r="E197" s="213">
        <v>0</v>
      </c>
      <c r="F197" s="102"/>
      <c r="G197" s="102"/>
      <c r="I197" s="232"/>
      <c r="J197" s="438"/>
      <c r="K197" s="438">
        <f t="shared" si="35"/>
        <v>0</v>
      </c>
    </row>
    <row r="198" spans="1:11" ht="19.5" customHeight="1" x14ac:dyDescent="0.3">
      <c r="A198" s="86">
        <f>A196+1</f>
        <v>162</v>
      </c>
      <c r="B198" s="243" t="s">
        <v>1073</v>
      </c>
      <c r="C198" s="86" t="s">
        <v>193</v>
      </c>
      <c r="D198" s="259">
        <v>1.5</v>
      </c>
      <c r="E198" s="213">
        <v>1763.03736</v>
      </c>
      <c r="F198" s="102">
        <f t="shared" ref="F198:F207" si="49">ROUND(E198*D198,2)</f>
        <v>2644.56</v>
      </c>
      <c r="G198" s="102">
        <f t="shared" ref="G198:G207" si="50">ROUND(F198*1.2,2)</f>
        <v>3173.47</v>
      </c>
      <c r="I198" s="232"/>
      <c r="J198" s="438"/>
      <c r="K198" s="438">
        <f t="shared" ref="K198:K235" si="51">E198*J198*1.2</f>
        <v>0</v>
      </c>
    </row>
    <row r="199" spans="1:11" ht="19.5" customHeight="1" x14ac:dyDescent="0.3">
      <c r="A199" s="285">
        <f>A198+1</f>
        <v>163</v>
      </c>
      <c r="B199" s="290" t="s">
        <v>1074</v>
      </c>
      <c r="C199" s="285" t="s">
        <v>193</v>
      </c>
      <c r="D199" s="297">
        <f>0.16+0.6</f>
        <v>0.76</v>
      </c>
      <c r="E199" s="213">
        <v>6793.106670000001</v>
      </c>
      <c r="F199" s="288">
        <f t="shared" si="49"/>
        <v>5162.76</v>
      </c>
      <c r="G199" s="288">
        <f t="shared" si="50"/>
        <v>6195.31</v>
      </c>
      <c r="I199" s="232"/>
      <c r="J199" s="438"/>
      <c r="K199" s="438">
        <f t="shared" si="51"/>
        <v>0</v>
      </c>
    </row>
    <row r="200" spans="1:11" ht="19.5" customHeight="1" x14ac:dyDescent="0.3">
      <c r="A200" s="86">
        <f t="shared" ref="A200:A207" si="52">A199+1</f>
        <v>164</v>
      </c>
      <c r="B200" s="243" t="s">
        <v>1075</v>
      </c>
      <c r="C200" s="86" t="s">
        <v>254</v>
      </c>
      <c r="D200" s="237">
        <v>31</v>
      </c>
      <c r="E200" s="213">
        <v>109.54545000000002</v>
      </c>
      <c r="F200" s="102">
        <f t="shared" si="49"/>
        <v>3395.91</v>
      </c>
      <c r="G200" s="102">
        <f t="shared" si="50"/>
        <v>4075.09</v>
      </c>
      <c r="I200" s="232"/>
      <c r="J200" s="438"/>
      <c r="K200" s="438">
        <f t="shared" si="51"/>
        <v>0</v>
      </c>
    </row>
    <row r="201" spans="1:11" ht="19.5" customHeight="1" x14ac:dyDescent="0.3">
      <c r="A201" s="323">
        <f t="shared" si="52"/>
        <v>165</v>
      </c>
      <c r="B201" s="324" t="s">
        <v>1076</v>
      </c>
      <c r="C201" s="323" t="s">
        <v>254</v>
      </c>
      <c r="D201" s="405">
        <v>5.0999999999999996</v>
      </c>
      <c r="E201" s="299">
        <v>109.54545000000002</v>
      </c>
      <c r="F201" s="288">
        <f t="shared" si="49"/>
        <v>558.67999999999995</v>
      </c>
      <c r="G201" s="288">
        <f t="shared" si="50"/>
        <v>670.42</v>
      </c>
      <c r="I201" s="232"/>
      <c r="J201" s="438"/>
      <c r="K201" s="438">
        <f t="shared" si="51"/>
        <v>0</v>
      </c>
    </row>
    <row r="202" spans="1:11" ht="19.5" customHeight="1" x14ac:dyDescent="0.3">
      <c r="A202" s="323">
        <f t="shared" si="52"/>
        <v>166</v>
      </c>
      <c r="B202" s="324" t="s">
        <v>1070</v>
      </c>
      <c r="C202" s="323" t="s">
        <v>387</v>
      </c>
      <c r="D202" s="406">
        <f>1.13*20/16</f>
        <v>1.4124999999999999</v>
      </c>
      <c r="E202" s="299">
        <v>322.1925</v>
      </c>
      <c r="F202" s="288">
        <f t="shared" si="49"/>
        <v>455.1</v>
      </c>
      <c r="G202" s="288">
        <f t="shared" si="50"/>
        <v>546.12</v>
      </c>
      <c r="I202" s="232"/>
      <c r="J202" s="438"/>
      <c r="K202" s="438">
        <f t="shared" si="51"/>
        <v>0</v>
      </c>
    </row>
    <row r="203" spans="1:11" ht="19.5" customHeight="1" x14ac:dyDescent="0.3">
      <c r="A203" s="323">
        <f t="shared" si="52"/>
        <v>167</v>
      </c>
      <c r="B203" s="324" t="s">
        <v>1069</v>
      </c>
      <c r="C203" s="323" t="s">
        <v>254</v>
      </c>
      <c r="D203" s="406">
        <v>3.2</v>
      </c>
      <c r="E203" s="299">
        <v>402.09624000000002</v>
      </c>
      <c r="F203" s="288">
        <f t="shared" si="49"/>
        <v>1286.71</v>
      </c>
      <c r="G203" s="288">
        <f t="shared" si="50"/>
        <v>1544.05</v>
      </c>
      <c r="I203" s="232"/>
      <c r="J203" s="438"/>
      <c r="K203" s="438">
        <f t="shared" si="51"/>
        <v>0</v>
      </c>
    </row>
    <row r="204" spans="1:11" ht="15.75" customHeight="1" x14ac:dyDescent="0.3">
      <c r="A204" s="323">
        <f t="shared" si="52"/>
        <v>168</v>
      </c>
      <c r="B204" s="324" t="s">
        <v>1077</v>
      </c>
      <c r="C204" s="323" t="s">
        <v>193</v>
      </c>
      <c r="D204" s="406">
        <v>0.08</v>
      </c>
      <c r="E204" s="299">
        <v>15465.24</v>
      </c>
      <c r="F204" s="288">
        <f t="shared" si="49"/>
        <v>1237.22</v>
      </c>
      <c r="G204" s="288">
        <f t="shared" si="50"/>
        <v>1484.66</v>
      </c>
      <c r="I204" s="232"/>
      <c r="J204" s="438"/>
      <c r="K204" s="438">
        <f t="shared" si="51"/>
        <v>0</v>
      </c>
    </row>
    <row r="205" spans="1:11" ht="15.75" customHeight="1" x14ac:dyDescent="0.3">
      <c r="A205" s="323">
        <f t="shared" si="52"/>
        <v>169</v>
      </c>
      <c r="B205" s="324" t="s">
        <v>941</v>
      </c>
      <c r="C205" s="323" t="s">
        <v>220</v>
      </c>
      <c r="D205" s="403">
        <v>1</v>
      </c>
      <c r="E205" s="299">
        <v>22721.015100000001</v>
      </c>
      <c r="F205" s="288">
        <f t="shared" si="49"/>
        <v>22721.02</v>
      </c>
      <c r="G205" s="288">
        <f t="shared" si="50"/>
        <v>27265.22</v>
      </c>
      <c r="I205" s="232"/>
      <c r="J205" s="438"/>
      <c r="K205" s="438">
        <f t="shared" si="51"/>
        <v>0</v>
      </c>
    </row>
    <row r="206" spans="1:11" ht="15.75" customHeight="1" x14ac:dyDescent="0.3">
      <c r="A206" s="323">
        <f t="shared" si="52"/>
        <v>170</v>
      </c>
      <c r="B206" s="324" t="s">
        <v>942</v>
      </c>
      <c r="C206" s="323" t="s">
        <v>254</v>
      </c>
      <c r="D206" s="406">
        <v>138.83000000000001</v>
      </c>
      <c r="E206" s="299">
        <v>229.40106</v>
      </c>
      <c r="F206" s="288">
        <f t="shared" si="49"/>
        <v>31847.75</v>
      </c>
      <c r="G206" s="288">
        <f t="shared" si="50"/>
        <v>38217.300000000003</v>
      </c>
      <c r="I206" s="232"/>
      <c r="J206" s="438"/>
      <c r="K206" s="438">
        <f t="shared" si="51"/>
        <v>0</v>
      </c>
    </row>
    <row r="207" spans="1:11" ht="15.75" customHeight="1" x14ac:dyDescent="0.3">
      <c r="A207" s="323">
        <f t="shared" si="52"/>
        <v>171</v>
      </c>
      <c r="B207" s="324" t="s">
        <v>1078</v>
      </c>
      <c r="C207" s="323" t="s">
        <v>254</v>
      </c>
      <c r="D207" s="403">
        <v>45</v>
      </c>
      <c r="E207" s="299">
        <v>278.37432000000001</v>
      </c>
      <c r="F207" s="288">
        <f t="shared" si="49"/>
        <v>12526.84</v>
      </c>
      <c r="G207" s="288">
        <f t="shared" si="50"/>
        <v>15032.21</v>
      </c>
      <c r="I207" s="232"/>
      <c r="J207" s="438"/>
      <c r="K207" s="438">
        <f t="shared" si="51"/>
        <v>0</v>
      </c>
    </row>
    <row r="208" spans="1:11" ht="19.5" customHeight="1" x14ac:dyDescent="0.3">
      <c r="A208" s="323"/>
      <c r="B208" s="398" t="s">
        <v>1007</v>
      </c>
      <c r="C208" s="323"/>
      <c r="D208" s="420"/>
      <c r="E208" s="299">
        <v>0</v>
      </c>
      <c r="F208" s="288"/>
      <c r="G208" s="288"/>
      <c r="I208" s="235"/>
      <c r="J208" s="438"/>
      <c r="K208" s="438">
        <f t="shared" si="51"/>
        <v>0</v>
      </c>
    </row>
    <row r="209" spans="1:11" s="316" customFormat="1" ht="19.5" customHeight="1" x14ac:dyDescent="0.3">
      <c r="A209" s="323">
        <f>A188+1</f>
        <v>155</v>
      </c>
      <c r="B209" s="324" t="s">
        <v>1008</v>
      </c>
      <c r="C209" s="323" t="s">
        <v>220</v>
      </c>
      <c r="D209" s="403">
        <v>2</v>
      </c>
      <c r="E209" s="299">
        <v>3672.9945000000002</v>
      </c>
      <c r="F209" s="288">
        <f t="shared" ref="F209:F214" si="53">ROUND(E209*D209,2)</f>
        <v>7345.99</v>
      </c>
      <c r="G209" s="288">
        <f t="shared" ref="G209:G214" si="54">ROUND(F209*1.2,2)</f>
        <v>8815.19</v>
      </c>
      <c r="I209" s="332"/>
      <c r="J209" s="438"/>
      <c r="K209" s="438">
        <f t="shared" si="51"/>
        <v>0</v>
      </c>
    </row>
    <row r="210" spans="1:11" ht="19.5" customHeight="1" x14ac:dyDescent="0.3">
      <c r="A210" s="323">
        <f>A209+1</f>
        <v>156</v>
      </c>
      <c r="B210" s="324" t="s">
        <v>1009</v>
      </c>
      <c r="C210" s="323" t="s">
        <v>220</v>
      </c>
      <c r="D210" s="421" t="s">
        <v>765</v>
      </c>
      <c r="E210" s="299">
        <v>19563.528600000005</v>
      </c>
      <c r="F210" s="288">
        <f t="shared" si="53"/>
        <v>39127.06</v>
      </c>
      <c r="G210" s="288">
        <f t="shared" si="54"/>
        <v>46952.47</v>
      </c>
      <c r="I210" s="235"/>
      <c r="J210" s="438"/>
      <c r="K210" s="438">
        <f t="shared" si="51"/>
        <v>0</v>
      </c>
    </row>
    <row r="211" spans="1:11" ht="19.5" customHeight="1" x14ac:dyDescent="0.3">
      <c r="A211" s="323">
        <f>A210+1</f>
        <v>157</v>
      </c>
      <c r="B211" s="324" t="s">
        <v>1010</v>
      </c>
      <c r="C211" s="323" t="s">
        <v>220</v>
      </c>
      <c r="D211" s="421" t="s">
        <v>765</v>
      </c>
      <c r="E211" s="299">
        <v>3415.2405000000003</v>
      </c>
      <c r="F211" s="288">
        <f t="shared" si="53"/>
        <v>6830.48</v>
      </c>
      <c r="G211" s="288">
        <f t="shared" si="54"/>
        <v>8196.58</v>
      </c>
      <c r="I211" s="235"/>
      <c r="J211" s="438"/>
      <c r="K211" s="438">
        <f t="shared" si="51"/>
        <v>0</v>
      </c>
    </row>
    <row r="212" spans="1:11" s="316" customFormat="1" ht="19.5" customHeight="1" x14ac:dyDescent="0.3">
      <c r="A212" s="323">
        <f>A211+1</f>
        <v>158</v>
      </c>
      <c r="B212" s="324" t="s">
        <v>1011</v>
      </c>
      <c r="C212" s="323" t="s">
        <v>220</v>
      </c>
      <c r="D212" s="421" t="s">
        <v>765</v>
      </c>
      <c r="E212" s="299">
        <v>7513.5291000000007</v>
      </c>
      <c r="F212" s="288">
        <f t="shared" si="53"/>
        <v>15027.06</v>
      </c>
      <c r="G212" s="288">
        <f t="shared" si="54"/>
        <v>18032.47</v>
      </c>
      <c r="I212" s="332"/>
      <c r="J212" s="438"/>
      <c r="K212" s="438">
        <f t="shared" si="51"/>
        <v>0</v>
      </c>
    </row>
    <row r="213" spans="1:11" ht="20.100000000000001" customHeight="1" x14ac:dyDescent="0.3">
      <c r="A213" s="323">
        <f>A212+1</f>
        <v>159</v>
      </c>
      <c r="B213" s="324" t="s">
        <v>1012</v>
      </c>
      <c r="C213" s="323" t="s">
        <v>220</v>
      </c>
      <c r="D213" s="421" t="s">
        <v>765</v>
      </c>
      <c r="E213" s="299">
        <v>27064.170000000002</v>
      </c>
      <c r="F213" s="288">
        <f t="shared" si="53"/>
        <v>54128.34</v>
      </c>
      <c r="G213" s="288">
        <f t="shared" si="54"/>
        <v>64954.01</v>
      </c>
      <c r="I213" s="235"/>
      <c r="J213" s="438"/>
      <c r="K213" s="438">
        <f t="shared" si="51"/>
        <v>0</v>
      </c>
    </row>
    <row r="214" spans="1:11" ht="19.5" customHeight="1" x14ac:dyDescent="0.3">
      <c r="A214" s="323">
        <f>A213+1</f>
        <v>160</v>
      </c>
      <c r="B214" s="324" t="s">
        <v>1013</v>
      </c>
      <c r="C214" s="323" t="s">
        <v>220</v>
      </c>
      <c r="D214" s="421" t="s">
        <v>762</v>
      </c>
      <c r="E214" s="299">
        <v>16238.502</v>
      </c>
      <c r="F214" s="288">
        <f t="shared" si="53"/>
        <v>16238.5</v>
      </c>
      <c r="G214" s="288">
        <f t="shared" si="54"/>
        <v>19486.2</v>
      </c>
      <c r="I214" s="235"/>
      <c r="J214" s="438"/>
      <c r="K214" s="438">
        <f t="shared" si="51"/>
        <v>0</v>
      </c>
    </row>
    <row r="215" spans="1:11" ht="19.5" customHeight="1" x14ac:dyDescent="0.3">
      <c r="A215" s="323"/>
      <c r="B215" s="422" t="s">
        <v>1016</v>
      </c>
      <c r="C215" s="323"/>
      <c r="D215" s="420"/>
      <c r="E215" s="299">
        <v>0</v>
      </c>
      <c r="F215" s="288"/>
      <c r="G215" s="288"/>
      <c r="H215" s="209"/>
      <c r="I215" s="232"/>
      <c r="J215" s="438"/>
      <c r="K215" s="438">
        <f t="shared" si="51"/>
        <v>0</v>
      </c>
    </row>
    <row r="216" spans="1:11" s="316" customFormat="1" ht="19.5" customHeight="1" x14ac:dyDescent="0.3">
      <c r="A216" s="323">
        <f>A214+1</f>
        <v>161</v>
      </c>
      <c r="B216" s="324" t="s">
        <v>1005</v>
      </c>
      <c r="C216" s="323" t="s">
        <v>193</v>
      </c>
      <c r="D216" s="406">
        <v>0.34</v>
      </c>
      <c r="E216" s="299">
        <v>7049.5719000000008</v>
      </c>
      <c r="F216" s="288">
        <f t="shared" ref="F216:F223" si="55">ROUND(E216*D216,2)</f>
        <v>2396.85</v>
      </c>
      <c r="G216" s="288">
        <f t="shared" ref="G216:G223" si="56">ROUND(F216*1.2,2)</f>
        <v>2876.22</v>
      </c>
      <c r="I216" s="330"/>
      <c r="J216" s="438"/>
      <c r="K216" s="438">
        <f t="shared" si="51"/>
        <v>0</v>
      </c>
    </row>
    <row r="217" spans="1:11" ht="19.5" customHeight="1" x14ac:dyDescent="0.3">
      <c r="A217" s="323">
        <f>A216+1</f>
        <v>162</v>
      </c>
      <c r="B217" s="324" t="s">
        <v>1020</v>
      </c>
      <c r="C217" s="323" t="s">
        <v>254</v>
      </c>
      <c r="D217" s="406">
        <v>30.1</v>
      </c>
      <c r="E217" s="299">
        <v>109.54545000000002</v>
      </c>
      <c r="F217" s="288">
        <f t="shared" si="55"/>
        <v>3297.32</v>
      </c>
      <c r="G217" s="288">
        <f t="shared" si="56"/>
        <v>3956.78</v>
      </c>
      <c r="I217" s="232"/>
      <c r="J217" s="438"/>
      <c r="K217" s="438">
        <f t="shared" si="51"/>
        <v>0</v>
      </c>
    </row>
    <row r="218" spans="1:11" s="316" customFormat="1" ht="19.5" customHeight="1" x14ac:dyDescent="0.3">
      <c r="A218" s="323">
        <f>A217+1</f>
        <v>163</v>
      </c>
      <c r="B218" s="324" t="s">
        <v>1015</v>
      </c>
      <c r="C218" s="323" t="s">
        <v>254</v>
      </c>
      <c r="D218" s="421" t="s">
        <v>1014</v>
      </c>
      <c r="E218" s="299">
        <v>231.9786</v>
      </c>
      <c r="F218" s="288">
        <f t="shared" si="55"/>
        <v>18210.32</v>
      </c>
      <c r="G218" s="288">
        <f t="shared" si="56"/>
        <v>21852.38</v>
      </c>
      <c r="I218" s="332"/>
      <c r="J218" s="438"/>
      <c r="K218" s="438">
        <f t="shared" si="51"/>
        <v>0</v>
      </c>
    </row>
    <row r="219" spans="1:11" ht="19.5" customHeight="1" x14ac:dyDescent="0.3">
      <c r="A219" s="323">
        <f>A217+1</f>
        <v>163</v>
      </c>
      <c r="B219" s="324" t="s">
        <v>1070</v>
      </c>
      <c r="C219" s="323" t="s">
        <v>387</v>
      </c>
      <c r="D219" s="406">
        <f>54.1*0.25</f>
        <v>13.525</v>
      </c>
      <c r="E219" s="299">
        <v>322.1925</v>
      </c>
      <c r="F219" s="288">
        <f t="shared" si="55"/>
        <v>4357.6499999999996</v>
      </c>
      <c r="G219" s="288">
        <f t="shared" si="56"/>
        <v>5229.18</v>
      </c>
      <c r="H219" s="209"/>
      <c r="I219" s="232"/>
      <c r="J219" s="438"/>
      <c r="K219" s="438">
        <f t="shared" si="51"/>
        <v>0</v>
      </c>
    </row>
    <row r="220" spans="1:11" ht="19.5" customHeight="1" x14ac:dyDescent="0.3">
      <c r="A220" s="323">
        <f t="shared" ref="A220:A223" si="57">A219+1</f>
        <v>164</v>
      </c>
      <c r="B220" s="324" t="s">
        <v>1069</v>
      </c>
      <c r="C220" s="323" t="s">
        <v>254</v>
      </c>
      <c r="D220" s="406">
        <f>0.7*54.1*2</f>
        <v>75.739999999999995</v>
      </c>
      <c r="E220" s="299">
        <v>402.09624000000002</v>
      </c>
      <c r="F220" s="288">
        <f t="shared" si="55"/>
        <v>30454.77</v>
      </c>
      <c r="G220" s="288">
        <f t="shared" si="56"/>
        <v>36545.72</v>
      </c>
      <c r="I220" s="232"/>
      <c r="J220" s="438"/>
      <c r="K220" s="438">
        <f t="shared" si="51"/>
        <v>0</v>
      </c>
    </row>
    <row r="221" spans="1:11" ht="15.6" x14ac:dyDescent="0.3">
      <c r="A221" s="323">
        <f t="shared" si="57"/>
        <v>165</v>
      </c>
      <c r="B221" s="324" t="s">
        <v>402</v>
      </c>
      <c r="C221" s="323" t="s">
        <v>254</v>
      </c>
      <c r="D221" s="327">
        <v>40</v>
      </c>
      <c r="E221" s="299">
        <v>1773.3475200000003</v>
      </c>
      <c r="F221" s="288">
        <f t="shared" si="55"/>
        <v>70933.899999999994</v>
      </c>
      <c r="G221" s="288">
        <f t="shared" si="56"/>
        <v>85120.68</v>
      </c>
      <c r="J221" s="438"/>
      <c r="K221" s="438">
        <f t="shared" si="51"/>
        <v>0</v>
      </c>
    </row>
    <row r="222" spans="1:11" ht="15.6" x14ac:dyDescent="0.3">
      <c r="A222" s="323">
        <f t="shared" si="57"/>
        <v>166</v>
      </c>
      <c r="B222" s="324" t="s">
        <v>403</v>
      </c>
      <c r="C222" s="323" t="s">
        <v>254</v>
      </c>
      <c r="D222" s="327">
        <v>80</v>
      </c>
      <c r="E222" s="299">
        <v>1956.3528600000004</v>
      </c>
      <c r="F222" s="288">
        <f t="shared" si="55"/>
        <v>156508.23000000001</v>
      </c>
      <c r="G222" s="288">
        <f t="shared" si="56"/>
        <v>187809.88</v>
      </c>
      <c r="J222" s="438"/>
      <c r="K222" s="438">
        <f t="shared" si="51"/>
        <v>0</v>
      </c>
    </row>
    <row r="223" spans="1:11" ht="15.6" x14ac:dyDescent="0.3">
      <c r="A223" s="323">
        <f t="shared" si="57"/>
        <v>167</v>
      </c>
      <c r="B223" s="324" t="s">
        <v>1079</v>
      </c>
      <c r="C223" s="323" t="s">
        <v>193</v>
      </c>
      <c r="D223" s="382">
        <v>0.2</v>
      </c>
      <c r="E223" s="299">
        <v>5928.3420000000006</v>
      </c>
      <c r="F223" s="288">
        <f t="shared" si="55"/>
        <v>1185.67</v>
      </c>
      <c r="G223" s="288">
        <f t="shared" si="56"/>
        <v>1422.8</v>
      </c>
      <c r="J223" s="438"/>
      <c r="K223" s="438">
        <f t="shared" si="51"/>
        <v>0</v>
      </c>
    </row>
    <row r="224" spans="1:11" ht="19.5" customHeight="1" x14ac:dyDescent="0.3">
      <c r="A224" s="323"/>
      <c r="B224" s="422" t="s">
        <v>988</v>
      </c>
      <c r="C224" s="323"/>
      <c r="D224" s="420"/>
      <c r="E224" s="299">
        <v>0</v>
      </c>
      <c r="F224" s="288"/>
      <c r="G224" s="288"/>
      <c r="I224" s="232"/>
      <c r="J224" s="438"/>
      <c r="K224" s="438">
        <f t="shared" si="51"/>
        <v>0</v>
      </c>
    </row>
    <row r="225" spans="1:11" ht="19.5" customHeight="1" x14ac:dyDescent="0.3">
      <c r="A225" s="323">
        <f>A188+1</f>
        <v>155</v>
      </c>
      <c r="B225" s="324" t="s">
        <v>1005</v>
      </c>
      <c r="C225" s="323" t="s">
        <v>193</v>
      </c>
      <c r="D225" s="406">
        <v>9.9</v>
      </c>
      <c r="E225" s="299">
        <v>7049.5719000000008</v>
      </c>
      <c r="F225" s="288">
        <f t="shared" ref="F225:F241" si="58">ROUND(E225*D225,2)</f>
        <v>69790.759999999995</v>
      </c>
      <c r="G225" s="288">
        <f t="shared" ref="G225:G241" si="59">ROUND(F225*1.2,2)</f>
        <v>83748.91</v>
      </c>
      <c r="I225" s="235"/>
      <c r="J225" s="438"/>
      <c r="K225" s="438">
        <f t="shared" si="51"/>
        <v>0</v>
      </c>
    </row>
    <row r="226" spans="1:11" ht="19.5" customHeight="1" x14ac:dyDescent="0.3">
      <c r="A226" s="323">
        <f>A225+1</f>
        <v>156</v>
      </c>
      <c r="B226" s="324" t="s">
        <v>1006</v>
      </c>
      <c r="C226" s="323" t="s">
        <v>193</v>
      </c>
      <c r="D226" s="406">
        <v>1.7</v>
      </c>
      <c r="E226" s="299">
        <v>5928.3420000000006</v>
      </c>
      <c r="F226" s="288">
        <f t="shared" si="58"/>
        <v>10078.18</v>
      </c>
      <c r="G226" s="288">
        <f t="shared" si="59"/>
        <v>12093.82</v>
      </c>
      <c r="I226" s="235"/>
      <c r="J226" s="438"/>
      <c r="K226" s="438">
        <f t="shared" si="51"/>
        <v>0</v>
      </c>
    </row>
    <row r="227" spans="1:11" ht="19.5" customHeight="1" x14ac:dyDescent="0.3">
      <c r="A227" s="323">
        <f t="shared" ref="A227:A241" si="60">A226+1</f>
        <v>157</v>
      </c>
      <c r="B227" s="324" t="s">
        <v>989</v>
      </c>
      <c r="C227" s="323" t="s">
        <v>254</v>
      </c>
      <c r="D227" s="406">
        <f>5.8*62</f>
        <v>359.59999999999997</v>
      </c>
      <c r="E227" s="299">
        <v>109.54545000000002</v>
      </c>
      <c r="F227" s="288">
        <f t="shared" si="58"/>
        <v>39392.54</v>
      </c>
      <c r="G227" s="288">
        <f t="shared" si="59"/>
        <v>47271.05</v>
      </c>
      <c r="I227" s="235"/>
      <c r="J227" s="438"/>
      <c r="K227" s="438">
        <f t="shared" si="51"/>
        <v>0</v>
      </c>
    </row>
    <row r="228" spans="1:11" ht="19.5" customHeight="1" x14ac:dyDescent="0.3">
      <c r="A228" s="323">
        <f t="shared" si="60"/>
        <v>158</v>
      </c>
      <c r="B228" s="324" t="s">
        <v>990</v>
      </c>
      <c r="C228" s="323" t="s">
        <v>254</v>
      </c>
      <c r="D228" s="406">
        <f>24*2.9</f>
        <v>69.599999999999994</v>
      </c>
      <c r="E228" s="299">
        <v>109.54545000000002</v>
      </c>
      <c r="F228" s="288">
        <f t="shared" si="58"/>
        <v>7624.36</v>
      </c>
      <c r="G228" s="288">
        <f t="shared" si="59"/>
        <v>9149.23</v>
      </c>
      <c r="I228" s="235"/>
      <c r="J228" s="438"/>
      <c r="K228" s="438">
        <f t="shared" si="51"/>
        <v>0</v>
      </c>
    </row>
    <row r="229" spans="1:11" ht="19.5" customHeight="1" x14ac:dyDescent="0.3">
      <c r="A229" s="323">
        <f t="shared" si="60"/>
        <v>159</v>
      </c>
      <c r="B229" s="324" t="s">
        <v>991</v>
      </c>
      <c r="C229" s="323" t="s">
        <v>254</v>
      </c>
      <c r="D229" s="406">
        <f>144*2.1</f>
        <v>302.40000000000003</v>
      </c>
      <c r="E229" s="299">
        <v>109.54545000000002</v>
      </c>
      <c r="F229" s="288">
        <f t="shared" si="58"/>
        <v>33126.54</v>
      </c>
      <c r="G229" s="288">
        <f t="shared" si="59"/>
        <v>39751.85</v>
      </c>
      <c r="I229" s="235"/>
      <c r="J229" s="438"/>
      <c r="K229" s="438">
        <f t="shared" si="51"/>
        <v>0</v>
      </c>
    </row>
    <row r="230" spans="1:11" ht="19.5" customHeight="1" x14ac:dyDescent="0.3">
      <c r="A230" s="323">
        <f t="shared" si="60"/>
        <v>160</v>
      </c>
      <c r="B230" s="324" t="s">
        <v>992</v>
      </c>
      <c r="C230" s="323" t="s">
        <v>254</v>
      </c>
      <c r="D230" s="406">
        <f>48*2.3</f>
        <v>110.39999999999999</v>
      </c>
      <c r="E230" s="299">
        <v>109.54545000000002</v>
      </c>
      <c r="F230" s="288">
        <f t="shared" si="58"/>
        <v>12093.82</v>
      </c>
      <c r="G230" s="288">
        <f t="shared" si="59"/>
        <v>14512.58</v>
      </c>
      <c r="I230" s="235"/>
      <c r="J230" s="438"/>
      <c r="K230" s="438">
        <f t="shared" si="51"/>
        <v>0</v>
      </c>
    </row>
    <row r="231" spans="1:11" ht="19.5" customHeight="1" x14ac:dyDescent="0.3">
      <c r="A231" s="323">
        <f t="shared" si="60"/>
        <v>161</v>
      </c>
      <c r="B231" s="324" t="s">
        <v>993</v>
      </c>
      <c r="C231" s="323" t="s">
        <v>254</v>
      </c>
      <c r="D231" s="406">
        <f>36*0.5</f>
        <v>18</v>
      </c>
      <c r="E231" s="299">
        <v>109.54545000000002</v>
      </c>
      <c r="F231" s="288">
        <f t="shared" si="58"/>
        <v>1971.82</v>
      </c>
      <c r="G231" s="288">
        <f t="shared" si="59"/>
        <v>2366.1799999999998</v>
      </c>
      <c r="I231" s="235"/>
      <c r="J231" s="438"/>
      <c r="K231" s="438">
        <f t="shared" si="51"/>
        <v>0</v>
      </c>
    </row>
    <row r="232" spans="1:11" ht="19.5" customHeight="1" x14ac:dyDescent="0.3">
      <c r="A232" s="323">
        <f t="shared" si="60"/>
        <v>162</v>
      </c>
      <c r="B232" s="324" t="s">
        <v>994</v>
      </c>
      <c r="C232" s="323" t="s">
        <v>254</v>
      </c>
      <c r="D232" s="406">
        <f>48*1.2</f>
        <v>57.599999999999994</v>
      </c>
      <c r="E232" s="299">
        <v>109.54545000000002</v>
      </c>
      <c r="F232" s="288">
        <f t="shared" si="58"/>
        <v>6309.82</v>
      </c>
      <c r="G232" s="288">
        <f t="shared" si="59"/>
        <v>7571.78</v>
      </c>
      <c r="I232" s="235"/>
      <c r="J232" s="438"/>
      <c r="K232" s="438">
        <f t="shared" si="51"/>
        <v>0</v>
      </c>
    </row>
    <row r="233" spans="1:11" ht="19.5" customHeight="1" x14ac:dyDescent="0.3">
      <c r="A233" s="323">
        <f t="shared" si="60"/>
        <v>163</v>
      </c>
      <c r="B233" s="324" t="s">
        <v>995</v>
      </c>
      <c r="C233" s="323" t="s">
        <v>254</v>
      </c>
      <c r="D233" s="406">
        <f>144*1.8</f>
        <v>259.2</v>
      </c>
      <c r="E233" s="299">
        <v>109.54545000000002</v>
      </c>
      <c r="F233" s="288">
        <f t="shared" si="58"/>
        <v>28394.18</v>
      </c>
      <c r="G233" s="288">
        <f t="shared" si="59"/>
        <v>34073.019999999997</v>
      </c>
      <c r="I233" s="235"/>
      <c r="J233" s="438"/>
      <c r="K233" s="438">
        <f t="shared" si="51"/>
        <v>0</v>
      </c>
    </row>
    <row r="234" spans="1:11" ht="19.5" customHeight="1" x14ac:dyDescent="0.3">
      <c r="A234" s="323">
        <f t="shared" si="60"/>
        <v>164</v>
      </c>
      <c r="B234" s="324" t="s">
        <v>996</v>
      </c>
      <c r="C234" s="323" t="s">
        <v>254</v>
      </c>
      <c r="D234" s="406">
        <f>48*1.2</f>
        <v>57.599999999999994</v>
      </c>
      <c r="E234" s="299">
        <v>109.54545000000002</v>
      </c>
      <c r="F234" s="288">
        <f t="shared" si="58"/>
        <v>6309.82</v>
      </c>
      <c r="G234" s="288">
        <f t="shared" si="59"/>
        <v>7571.78</v>
      </c>
      <c r="I234" s="235"/>
      <c r="J234" s="438"/>
      <c r="K234" s="438">
        <f t="shared" si="51"/>
        <v>0</v>
      </c>
    </row>
    <row r="235" spans="1:11" ht="19.5" customHeight="1" x14ac:dyDescent="0.3">
      <c r="A235" s="323">
        <f t="shared" si="60"/>
        <v>165</v>
      </c>
      <c r="B235" s="324" t="s">
        <v>997</v>
      </c>
      <c r="C235" s="323" t="s">
        <v>254</v>
      </c>
      <c r="D235" s="406">
        <f>186*0.09</f>
        <v>16.739999999999998</v>
      </c>
      <c r="E235" s="299">
        <v>109.54545000000002</v>
      </c>
      <c r="F235" s="288">
        <f t="shared" si="58"/>
        <v>1833.79</v>
      </c>
      <c r="G235" s="288">
        <f t="shared" si="59"/>
        <v>2200.5500000000002</v>
      </c>
      <c r="I235" s="235"/>
      <c r="J235" s="438"/>
      <c r="K235" s="438">
        <f t="shared" si="51"/>
        <v>0</v>
      </c>
    </row>
    <row r="236" spans="1:11" ht="19.5" customHeight="1" x14ac:dyDescent="0.3">
      <c r="A236" s="323">
        <f t="shared" si="60"/>
        <v>166</v>
      </c>
      <c r="B236" s="324" t="s">
        <v>998</v>
      </c>
      <c r="C236" s="323" t="s">
        <v>254</v>
      </c>
      <c r="D236" s="406">
        <f>80*3.8</f>
        <v>304</v>
      </c>
      <c r="E236" s="299">
        <v>109.54545000000002</v>
      </c>
      <c r="F236" s="288">
        <f t="shared" si="58"/>
        <v>33301.82</v>
      </c>
      <c r="G236" s="288">
        <f t="shared" si="59"/>
        <v>39962.18</v>
      </c>
      <c r="I236" s="235"/>
      <c r="J236" s="438"/>
      <c r="K236" s="438">
        <f t="shared" ref="K236:K299" si="61">E236*J236*1.2</f>
        <v>0</v>
      </c>
    </row>
    <row r="237" spans="1:11" ht="19.5" customHeight="1" x14ac:dyDescent="0.3">
      <c r="A237" s="323">
        <f t="shared" si="60"/>
        <v>167</v>
      </c>
      <c r="B237" s="324" t="s">
        <v>999</v>
      </c>
      <c r="C237" s="323" t="s">
        <v>254</v>
      </c>
      <c r="D237" s="406">
        <f>12*3.8</f>
        <v>45.599999999999994</v>
      </c>
      <c r="E237" s="299">
        <v>109.54545000000002</v>
      </c>
      <c r="F237" s="288">
        <f t="shared" si="58"/>
        <v>4995.2700000000004</v>
      </c>
      <c r="G237" s="288">
        <f t="shared" si="59"/>
        <v>5994.32</v>
      </c>
      <c r="I237" s="235"/>
      <c r="J237" s="438"/>
      <c r="K237" s="438">
        <f t="shared" si="61"/>
        <v>0</v>
      </c>
    </row>
    <row r="238" spans="1:11" ht="19.5" customHeight="1" x14ac:dyDescent="0.3">
      <c r="A238" s="323">
        <f t="shared" si="60"/>
        <v>168</v>
      </c>
      <c r="B238" s="324" t="s">
        <v>1000</v>
      </c>
      <c r="C238" s="323" t="s">
        <v>254</v>
      </c>
      <c r="D238" s="406">
        <f>12*1.3</f>
        <v>15.600000000000001</v>
      </c>
      <c r="E238" s="299">
        <v>109.54545000000002</v>
      </c>
      <c r="F238" s="288">
        <f t="shared" si="58"/>
        <v>1708.91</v>
      </c>
      <c r="G238" s="288">
        <f t="shared" si="59"/>
        <v>2050.69</v>
      </c>
      <c r="I238" s="235"/>
      <c r="J238" s="438"/>
      <c r="K238" s="438">
        <f t="shared" si="61"/>
        <v>0</v>
      </c>
    </row>
    <row r="239" spans="1:11" ht="19.5" customHeight="1" x14ac:dyDescent="0.3">
      <c r="A239" s="323">
        <f t="shared" si="60"/>
        <v>169</v>
      </c>
      <c r="B239" s="324" t="s">
        <v>1002</v>
      </c>
      <c r="C239" s="323" t="s">
        <v>254</v>
      </c>
      <c r="D239" s="406">
        <f>10.4*3</f>
        <v>31.200000000000003</v>
      </c>
      <c r="E239" s="299">
        <v>115.9893</v>
      </c>
      <c r="F239" s="288">
        <f t="shared" si="58"/>
        <v>3618.87</v>
      </c>
      <c r="G239" s="288">
        <f t="shared" si="59"/>
        <v>4342.6400000000003</v>
      </c>
      <c r="I239" s="235"/>
      <c r="J239" s="438"/>
      <c r="K239" s="438">
        <f t="shared" si="61"/>
        <v>0</v>
      </c>
    </row>
    <row r="240" spans="1:11" ht="19.5" customHeight="1" x14ac:dyDescent="0.3">
      <c r="A240" s="323">
        <f t="shared" si="60"/>
        <v>170</v>
      </c>
      <c r="B240" s="324" t="s">
        <v>1003</v>
      </c>
      <c r="C240" s="323" t="s">
        <v>254</v>
      </c>
      <c r="D240" s="406">
        <f>2.9*2</f>
        <v>5.8</v>
      </c>
      <c r="E240" s="299">
        <v>115.9893</v>
      </c>
      <c r="F240" s="288">
        <f t="shared" si="58"/>
        <v>672.74</v>
      </c>
      <c r="G240" s="288">
        <f t="shared" si="59"/>
        <v>807.29</v>
      </c>
      <c r="I240" s="232"/>
      <c r="J240" s="438"/>
      <c r="K240" s="438">
        <f t="shared" si="61"/>
        <v>0</v>
      </c>
    </row>
    <row r="241" spans="1:11" ht="19.5" customHeight="1" x14ac:dyDescent="0.3">
      <c r="A241" s="323">
        <f t="shared" si="60"/>
        <v>171</v>
      </c>
      <c r="B241" s="324" t="s">
        <v>1004</v>
      </c>
      <c r="C241" s="323" t="s">
        <v>254</v>
      </c>
      <c r="D241" s="406">
        <v>1.6</v>
      </c>
      <c r="E241" s="299">
        <v>115.9893</v>
      </c>
      <c r="F241" s="288">
        <f t="shared" si="58"/>
        <v>185.58</v>
      </c>
      <c r="G241" s="288">
        <f t="shared" si="59"/>
        <v>222.7</v>
      </c>
      <c r="I241" s="232"/>
      <c r="J241" s="438"/>
      <c r="K241" s="438">
        <f t="shared" si="61"/>
        <v>0</v>
      </c>
    </row>
    <row r="242" spans="1:11" ht="19.5" customHeight="1" x14ac:dyDescent="0.3">
      <c r="A242" s="323"/>
      <c r="B242" s="422" t="s">
        <v>1001</v>
      </c>
      <c r="C242" s="323"/>
      <c r="D242" s="420"/>
      <c r="E242" s="299">
        <v>0</v>
      </c>
      <c r="F242" s="288"/>
      <c r="G242" s="288"/>
      <c r="I242" s="235"/>
      <c r="J242" s="438"/>
      <c r="K242" s="438">
        <f t="shared" si="61"/>
        <v>0</v>
      </c>
    </row>
    <row r="243" spans="1:11" ht="19.5" customHeight="1" x14ac:dyDescent="0.3">
      <c r="A243" s="323">
        <f>A241+1</f>
        <v>172</v>
      </c>
      <c r="B243" s="324" t="s">
        <v>1018</v>
      </c>
      <c r="C243" s="323" t="s">
        <v>254</v>
      </c>
      <c r="D243" s="406">
        <f>1.22*3</f>
        <v>3.66</v>
      </c>
      <c r="E243" s="299">
        <v>109.54545000000002</v>
      </c>
      <c r="F243" s="288">
        <f>ROUND(E243*D243,2)</f>
        <v>400.94</v>
      </c>
      <c r="G243" s="288">
        <f t="shared" ref="G243:G244" si="62">ROUND(F243*1.2,2)</f>
        <v>481.13</v>
      </c>
      <c r="I243" s="235"/>
      <c r="J243" s="438"/>
      <c r="K243" s="438">
        <f t="shared" si="61"/>
        <v>0</v>
      </c>
    </row>
    <row r="244" spans="1:11" ht="19.5" customHeight="1" x14ac:dyDescent="0.3">
      <c r="A244" s="323">
        <f>A243+1</f>
        <v>173</v>
      </c>
      <c r="B244" s="324" t="s">
        <v>1019</v>
      </c>
      <c r="C244" s="323" t="s">
        <v>254</v>
      </c>
      <c r="D244" s="406">
        <f>0.27*16</f>
        <v>4.32</v>
      </c>
      <c r="E244" s="299">
        <v>109.54545000000002</v>
      </c>
      <c r="F244" s="288">
        <f>ROUND(E244*D244,2)</f>
        <v>473.24</v>
      </c>
      <c r="G244" s="288">
        <f t="shared" si="62"/>
        <v>567.89</v>
      </c>
      <c r="I244" s="235"/>
      <c r="J244" s="438"/>
      <c r="K244" s="438">
        <f t="shared" si="61"/>
        <v>0</v>
      </c>
    </row>
    <row r="245" spans="1:11" ht="19.5" customHeight="1" x14ac:dyDescent="0.3">
      <c r="A245" s="323"/>
      <c r="B245" s="422" t="s">
        <v>1021</v>
      </c>
      <c r="C245" s="323"/>
      <c r="D245" s="420"/>
      <c r="E245" s="299">
        <v>0</v>
      </c>
      <c r="F245" s="288"/>
      <c r="G245" s="288"/>
      <c r="I245" s="232"/>
      <c r="J245" s="438"/>
      <c r="K245" s="438">
        <f t="shared" si="61"/>
        <v>0</v>
      </c>
    </row>
    <row r="246" spans="1:11" s="316" customFormat="1" ht="19.5" customHeight="1" x14ac:dyDescent="0.3">
      <c r="A246" s="323">
        <f>A244+1</f>
        <v>174</v>
      </c>
      <c r="B246" s="324" t="s">
        <v>1022</v>
      </c>
      <c r="C246" s="323" t="s">
        <v>194</v>
      </c>
      <c r="D246" s="406">
        <v>23.55</v>
      </c>
      <c r="E246" s="299">
        <v>33.508020000000002</v>
      </c>
      <c r="F246" s="288">
        <f>ROUND(E246*D246,2)</f>
        <v>789.11</v>
      </c>
      <c r="G246" s="288">
        <f t="shared" ref="G246:G248" si="63">ROUND(F246*1.2,2)</f>
        <v>946.93</v>
      </c>
      <c r="I246" s="330"/>
      <c r="J246" s="438"/>
      <c r="K246" s="438">
        <f t="shared" si="61"/>
        <v>0</v>
      </c>
    </row>
    <row r="247" spans="1:11" ht="19.5" customHeight="1" x14ac:dyDescent="0.3">
      <c r="A247" s="323">
        <f>A246+1</f>
        <v>175</v>
      </c>
      <c r="B247" s="324" t="s">
        <v>1023</v>
      </c>
      <c r="C247" s="323" t="s">
        <v>193</v>
      </c>
      <c r="D247" s="404">
        <v>0.621</v>
      </c>
      <c r="E247" s="299">
        <v>6521.1762000000008</v>
      </c>
      <c r="F247" s="288">
        <f>ROUND(E247*D247,2)</f>
        <v>4049.65</v>
      </c>
      <c r="G247" s="288">
        <f t="shared" si="63"/>
        <v>4859.58</v>
      </c>
      <c r="I247" s="232"/>
      <c r="J247" s="438"/>
      <c r="K247" s="438">
        <f t="shared" si="61"/>
        <v>0</v>
      </c>
    </row>
    <row r="248" spans="1:11" ht="19.5" customHeight="1" x14ac:dyDescent="0.3">
      <c r="A248" s="323">
        <f>A247+1</f>
        <v>176</v>
      </c>
      <c r="B248" s="324" t="s">
        <v>1024</v>
      </c>
      <c r="C248" s="323" t="s">
        <v>254</v>
      </c>
      <c r="D248" s="406">
        <f>0.3</f>
        <v>0.3</v>
      </c>
      <c r="E248" s="299">
        <v>77.3262</v>
      </c>
      <c r="F248" s="288">
        <f>ROUND(E248*D248,2)</f>
        <v>23.2</v>
      </c>
      <c r="G248" s="288">
        <f t="shared" si="63"/>
        <v>27.84</v>
      </c>
      <c r="I248" s="232"/>
      <c r="J248" s="438"/>
      <c r="K248" s="438">
        <f t="shared" si="61"/>
        <v>0</v>
      </c>
    </row>
    <row r="249" spans="1:11" ht="19.5" customHeight="1" x14ac:dyDescent="0.3">
      <c r="A249" s="323"/>
      <c r="B249" s="398" t="s">
        <v>1025</v>
      </c>
      <c r="C249" s="323"/>
      <c r="D249" s="420"/>
      <c r="E249" s="299">
        <v>0</v>
      </c>
      <c r="F249" s="288"/>
      <c r="G249" s="288"/>
      <c r="I249" s="232"/>
      <c r="J249" s="438"/>
      <c r="K249" s="438">
        <f t="shared" si="61"/>
        <v>0</v>
      </c>
    </row>
    <row r="250" spans="1:11" s="316" customFormat="1" ht="19.5" customHeight="1" x14ac:dyDescent="0.3">
      <c r="A250" s="323">
        <f>A248+1</f>
        <v>177</v>
      </c>
      <c r="B250" s="324" t="s">
        <v>1008</v>
      </c>
      <c r="C250" s="323" t="s">
        <v>220</v>
      </c>
      <c r="D250" s="403">
        <v>1</v>
      </c>
      <c r="E250" s="299">
        <v>3672.9945000000002</v>
      </c>
      <c r="F250" s="288">
        <f t="shared" ref="F250:F266" si="64">ROUND(E250*D250,2)</f>
        <v>3672.99</v>
      </c>
      <c r="G250" s="288">
        <f t="shared" ref="G250:G266" si="65">ROUND(F250*1.2,2)</f>
        <v>4407.59</v>
      </c>
      <c r="I250" s="330"/>
      <c r="J250" s="438"/>
      <c r="K250" s="438">
        <f t="shared" si="61"/>
        <v>0</v>
      </c>
    </row>
    <row r="251" spans="1:11" ht="19.5" customHeight="1" x14ac:dyDescent="0.3">
      <c r="A251" s="323">
        <f t="shared" ref="A251:A266" si="66">A250+1</f>
        <v>178</v>
      </c>
      <c r="B251" s="324" t="s">
        <v>1026</v>
      </c>
      <c r="C251" s="323" t="s">
        <v>220</v>
      </c>
      <c r="D251" s="403">
        <v>1</v>
      </c>
      <c r="E251" s="299">
        <v>3840.5346</v>
      </c>
      <c r="F251" s="288">
        <f t="shared" si="64"/>
        <v>3840.53</v>
      </c>
      <c r="G251" s="288">
        <f t="shared" si="65"/>
        <v>4608.6400000000003</v>
      </c>
      <c r="I251" s="232"/>
      <c r="J251" s="438"/>
      <c r="K251" s="438">
        <f t="shared" si="61"/>
        <v>0</v>
      </c>
    </row>
    <row r="252" spans="1:11" ht="19.5" customHeight="1" x14ac:dyDescent="0.3">
      <c r="A252" s="323">
        <f t="shared" si="66"/>
        <v>179</v>
      </c>
      <c r="B252" s="324" t="s">
        <v>1027</v>
      </c>
      <c r="C252" s="323" t="s">
        <v>220</v>
      </c>
      <c r="D252" s="403">
        <v>1</v>
      </c>
      <c r="E252" s="299">
        <v>7023.7965000000013</v>
      </c>
      <c r="F252" s="288">
        <f t="shared" si="64"/>
        <v>7023.8</v>
      </c>
      <c r="G252" s="288">
        <f t="shared" si="65"/>
        <v>8428.56</v>
      </c>
      <c r="I252" s="232"/>
      <c r="J252" s="438"/>
      <c r="K252" s="438">
        <f t="shared" si="61"/>
        <v>0</v>
      </c>
    </row>
    <row r="253" spans="1:11" s="333" customFormat="1" ht="19.5" customHeight="1" x14ac:dyDescent="0.3">
      <c r="A253" s="323">
        <f t="shared" si="66"/>
        <v>180</v>
      </c>
      <c r="B253" s="324" t="s">
        <v>1011</v>
      </c>
      <c r="C253" s="323" t="s">
        <v>220</v>
      </c>
      <c r="D253" s="403">
        <v>1</v>
      </c>
      <c r="E253" s="299">
        <v>7513.5291000000007</v>
      </c>
      <c r="F253" s="288">
        <f t="shared" si="64"/>
        <v>7513.53</v>
      </c>
      <c r="G253" s="288">
        <f t="shared" si="65"/>
        <v>9016.24</v>
      </c>
      <c r="I253" s="334"/>
      <c r="J253" s="438"/>
      <c r="K253" s="438">
        <f t="shared" si="61"/>
        <v>0</v>
      </c>
    </row>
    <row r="254" spans="1:11" ht="19.5" customHeight="1" x14ac:dyDescent="0.3">
      <c r="A254" s="423">
        <f t="shared" si="66"/>
        <v>181</v>
      </c>
      <c r="B254" s="424" t="s">
        <v>1009</v>
      </c>
      <c r="C254" s="423" t="s">
        <v>220</v>
      </c>
      <c r="D254" s="425">
        <v>1</v>
      </c>
      <c r="E254" s="299">
        <v>19563.528600000005</v>
      </c>
      <c r="F254" s="419">
        <f t="shared" si="64"/>
        <v>19563.53</v>
      </c>
      <c r="G254" s="419">
        <f t="shared" si="65"/>
        <v>23476.240000000002</v>
      </c>
      <c r="I254" s="232"/>
      <c r="J254" s="438"/>
      <c r="K254" s="438">
        <f t="shared" si="61"/>
        <v>0</v>
      </c>
    </row>
    <row r="255" spans="1:11" ht="19.5" customHeight="1" x14ac:dyDescent="0.3">
      <c r="A255" s="323">
        <f t="shared" si="66"/>
        <v>182</v>
      </c>
      <c r="B255" s="324" t="s">
        <v>1010</v>
      </c>
      <c r="C255" s="323" t="s">
        <v>220</v>
      </c>
      <c r="D255" s="403">
        <v>1</v>
      </c>
      <c r="E255" s="299">
        <v>3415.2405000000003</v>
      </c>
      <c r="F255" s="288">
        <f t="shared" si="64"/>
        <v>3415.24</v>
      </c>
      <c r="G255" s="288">
        <f t="shared" si="65"/>
        <v>4098.29</v>
      </c>
      <c r="I255" s="232"/>
      <c r="J255" s="438"/>
      <c r="K255" s="438">
        <f t="shared" si="61"/>
        <v>0</v>
      </c>
    </row>
    <row r="256" spans="1:11" ht="19.5" customHeight="1" x14ac:dyDescent="0.3">
      <c r="A256" s="323">
        <f t="shared" si="66"/>
        <v>183</v>
      </c>
      <c r="B256" s="324" t="s">
        <v>1028</v>
      </c>
      <c r="C256" s="323" t="s">
        <v>254</v>
      </c>
      <c r="D256" s="403">
        <v>45</v>
      </c>
      <c r="E256" s="299">
        <v>7062.459600000001</v>
      </c>
      <c r="F256" s="288">
        <f t="shared" si="64"/>
        <v>317810.68</v>
      </c>
      <c r="G256" s="288">
        <f t="shared" si="65"/>
        <v>381372.82</v>
      </c>
      <c r="I256" s="232"/>
      <c r="J256" s="438"/>
      <c r="K256" s="438">
        <f t="shared" si="61"/>
        <v>0</v>
      </c>
    </row>
    <row r="257" spans="1:11" ht="19.5" customHeight="1" x14ac:dyDescent="0.3">
      <c r="A257" s="323">
        <f t="shared" si="66"/>
        <v>184</v>
      </c>
      <c r="B257" s="324" t="s">
        <v>1029</v>
      </c>
      <c r="C257" s="323" t="s">
        <v>220</v>
      </c>
      <c r="D257" s="403">
        <v>3</v>
      </c>
      <c r="E257" s="299">
        <v>824.81280000000015</v>
      </c>
      <c r="F257" s="288">
        <f t="shared" si="64"/>
        <v>2474.44</v>
      </c>
      <c r="G257" s="288">
        <f t="shared" si="65"/>
        <v>2969.33</v>
      </c>
      <c r="I257" s="232"/>
      <c r="J257" s="438"/>
      <c r="K257" s="438">
        <f t="shared" si="61"/>
        <v>0</v>
      </c>
    </row>
    <row r="258" spans="1:11" ht="19.5" customHeight="1" x14ac:dyDescent="0.3">
      <c r="A258" s="323">
        <f t="shared" si="66"/>
        <v>185</v>
      </c>
      <c r="B258" s="324" t="s">
        <v>975</v>
      </c>
      <c r="C258" s="323" t="s">
        <v>220</v>
      </c>
      <c r="D258" s="403">
        <v>4</v>
      </c>
      <c r="E258" s="299">
        <v>2938.3956000000003</v>
      </c>
      <c r="F258" s="288">
        <f t="shared" si="64"/>
        <v>11753.58</v>
      </c>
      <c r="G258" s="288">
        <f t="shared" si="65"/>
        <v>14104.3</v>
      </c>
      <c r="I258" s="232"/>
      <c r="J258" s="438"/>
      <c r="K258" s="438">
        <f t="shared" si="61"/>
        <v>0</v>
      </c>
    </row>
    <row r="259" spans="1:11" ht="19.5" customHeight="1" x14ac:dyDescent="0.3">
      <c r="A259" s="323">
        <f t="shared" si="66"/>
        <v>186</v>
      </c>
      <c r="B259" s="324" t="s">
        <v>1030</v>
      </c>
      <c r="C259" s="323" t="s">
        <v>193</v>
      </c>
      <c r="D259" s="406">
        <v>0.28000000000000003</v>
      </c>
      <c r="E259" s="299">
        <v>7474.866</v>
      </c>
      <c r="F259" s="288">
        <f t="shared" si="64"/>
        <v>2092.96</v>
      </c>
      <c r="G259" s="288">
        <f t="shared" si="65"/>
        <v>2511.5500000000002</v>
      </c>
      <c r="I259" s="232"/>
      <c r="J259" s="438"/>
      <c r="K259" s="438">
        <f t="shared" si="61"/>
        <v>0</v>
      </c>
    </row>
    <row r="260" spans="1:11" ht="19.5" customHeight="1" x14ac:dyDescent="0.3">
      <c r="A260" s="323">
        <f t="shared" si="66"/>
        <v>187</v>
      </c>
      <c r="B260" s="324" t="s">
        <v>1031</v>
      </c>
      <c r="C260" s="323" t="s">
        <v>193</v>
      </c>
      <c r="D260" s="406">
        <v>0.05</v>
      </c>
      <c r="E260" s="299">
        <v>7825.4114399999999</v>
      </c>
      <c r="F260" s="288">
        <f t="shared" si="64"/>
        <v>391.27</v>
      </c>
      <c r="G260" s="288">
        <f t="shared" si="65"/>
        <v>469.52</v>
      </c>
      <c r="I260" s="232"/>
      <c r="J260" s="438"/>
      <c r="K260" s="438">
        <f t="shared" si="61"/>
        <v>0</v>
      </c>
    </row>
    <row r="261" spans="1:11" ht="19.5" customHeight="1" x14ac:dyDescent="0.3">
      <c r="A261" s="323">
        <f t="shared" si="66"/>
        <v>188</v>
      </c>
      <c r="B261" s="324" t="s">
        <v>161</v>
      </c>
      <c r="C261" s="323" t="s">
        <v>193</v>
      </c>
      <c r="D261" s="405">
        <v>0.3</v>
      </c>
      <c r="E261" s="299">
        <v>1701.1764000000003</v>
      </c>
      <c r="F261" s="288">
        <f t="shared" si="64"/>
        <v>510.35</v>
      </c>
      <c r="G261" s="288">
        <f t="shared" si="65"/>
        <v>612.41999999999996</v>
      </c>
      <c r="I261" s="232"/>
      <c r="J261" s="438"/>
      <c r="K261" s="438">
        <f t="shared" si="61"/>
        <v>0</v>
      </c>
    </row>
    <row r="262" spans="1:11" ht="19.5" customHeight="1" x14ac:dyDescent="0.3">
      <c r="A262" s="323">
        <f t="shared" si="66"/>
        <v>189</v>
      </c>
      <c r="B262" s="324" t="s">
        <v>976</v>
      </c>
      <c r="C262" s="323" t="s">
        <v>254</v>
      </c>
      <c r="D262" s="405">
        <v>122.7</v>
      </c>
      <c r="E262" s="299">
        <v>231.9786</v>
      </c>
      <c r="F262" s="288">
        <f t="shared" si="64"/>
        <v>28463.77</v>
      </c>
      <c r="G262" s="288">
        <f t="shared" si="65"/>
        <v>34156.519999999997</v>
      </c>
      <c r="I262" s="232"/>
      <c r="J262" s="438"/>
      <c r="K262" s="438">
        <f t="shared" si="61"/>
        <v>0</v>
      </c>
    </row>
    <row r="263" spans="1:11" ht="19.5" customHeight="1" x14ac:dyDescent="0.3">
      <c r="A263" s="323">
        <f t="shared" si="66"/>
        <v>190</v>
      </c>
      <c r="B263" s="324" t="s">
        <v>1032</v>
      </c>
      <c r="C263" s="323" t="s">
        <v>220</v>
      </c>
      <c r="D263" s="403">
        <v>1</v>
      </c>
      <c r="E263" s="299">
        <v>19279.999200000002</v>
      </c>
      <c r="F263" s="288">
        <f t="shared" si="64"/>
        <v>19280</v>
      </c>
      <c r="G263" s="288">
        <f t="shared" si="65"/>
        <v>23136</v>
      </c>
      <c r="I263" s="232"/>
      <c r="J263" s="438"/>
      <c r="K263" s="438">
        <f t="shared" si="61"/>
        <v>0</v>
      </c>
    </row>
    <row r="264" spans="1:11" ht="19.5" customHeight="1" x14ac:dyDescent="0.3">
      <c r="A264" s="323">
        <f t="shared" si="66"/>
        <v>191</v>
      </c>
      <c r="B264" s="324" t="s">
        <v>1070</v>
      </c>
      <c r="C264" s="323" t="s">
        <v>387</v>
      </c>
      <c r="D264" s="406">
        <f>41.6*0.25</f>
        <v>10.4</v>
      </c>
      <c r="E264" s="299">
        <v>322.1925</v>
      </c>
      <c r="F264" s="288">
        <f t="shared" si="64"/>
        <v>3350.8</v>
      </c>
      <c r="G264" s="288">
        <f t="shared" si="65"/>
        <v>4020.96</v>
      </c>
      <c r="I264" s="232"/>
      <c r="J264" s="438"/>
      <c r="K264" s="438">
        <f t="shared" si="61"/>
        <v>0</v>
      </c>
    </row>
    <row r="265" spans="1:11" ht="19.5" customHeight="1" x14ac:dyDescent="0.3">
      <c r="A265" s="323">
        <f t="shared" si="66"/>
        <v>192</v>
      </c>
      <c r="B265" s="324" t="s">
        <v>1069</v>
      </c>
      <c r="C265" s="323" t="s">
        <v>254</v>
      </c>
      <c r="D265" s="406">
        <f>0.7*41.6*2</f>
        <v>58.239999999999995</v>
      </c>
      <c r="E265" s="299">
        <v>402.09624000000002</v>
      </c>
      <c r="F265" s="288">
        <f t="shared" si="64"/>
        <v>23418.09</v>
      </c>
      <c r="G265" s="288">
        <f t="shared" si="65"/>
        <v>28101.71</v>
      </c>
      <c r="I265" s="232"/>
      <c r="J265" s="438"/>
      <c r="K265" s="438">
        <f t="shared" si="61"/>
        <v>0</v>
      </c>
    </row>
    <row r="266" spans="1:11" s="316" customFormat="1" ht="19.5" customHeight="1" x14ac:dyDescent="0.3">
      <c r="A266" s="323">
        <f t="shared" si="66"/>
        <v>193</v>
      </c>
      <c r="B266" s="324" t="s">
        <v>977</v>
      </c>
      <c r="C266" s="323" t="s">
        <v>254</v>
      </c>
      <c r="D266" s="403">
        <v>133</v>
      </c>
      <c r="E266" s="299">
        <v>231.9786</v>
      </c>
      <c r="F266" s="288">
        <f t="shared" si="64"/>
        <v>30853.15</v>
      </c>
      <c r="G266" s="288">
        <f t="shared" si="65"/>
        <v>37023.78</v>
      </c>
      <c r="I266" s="330"/>
      <c r="J266" s="438"/>
      <c r="K266" s="438">
        <f t="shared" si="61"/>
        <v>0</v>
      </c>
    </row>
    <row r="267" spans="1:11" ht="19.5" customHeight="1" x14ac:dyDescent="0.3">
      <c r="A267" s="323"/>
      <c r="B267" s="398" t="s">
        <v>1059</v>
      </c>
      <c r="C267" s="323"/>
      <c r="D267" s="405"/>
      <c r="E267" s="299">
        <v>0</v>
      </c>
      <c r="F267" s="288"/>
      <c r="G267" s="288"/>
      <c r="I267" s="232"/>
      <c r="J267" s="438"/>
      <c r="K267" s="438">
        <f t="shared" si="61"/>
        <v>0</v>
      </c>
    </row>
    <row r="268" spans="1:11" ht="19.5" customHeight="1" x14ac:dyDescent="0.3">
      <c r="A268" s="323">
        <f>A263+1</f>
        <v>191</v>
      </c>
      <c r="B268" s="324" t="s">
        <v>1033</v>
      </c>
      <c r="C268" s="323" t="s">
        <v>220</v>
      </c>
      <c r="D268" s="403">
        <f>1*4</f>
        <v>4</v>
      </c>
      <c r="E268" s="299">
        <v>2062.0320000000002</v>
      </c>
      <c r="F268" s="288">
        <f t="shared" ref="F268:F275" si="67">ROUND(E268*D268,2)</f>
        <v>8248.1299999999992</v>
      </c>
      <c r="G268" s="288">
        <f t="shared" ref="G268:G275" si="68">ROUND(F268*1.2,2)</f>
        <v>9897.76</v>
      </c>
      <c r="I268" s="232"/>
      <c r="J268" s="438"/>
      <c r="K268" s="438">
        <f t="shared" si="61"/>
        <v>0</v>
      </c>
    </row>
    <row r="269" spans="1:11" ht="19.5" customHeight="1" x14ac:dyDescent="0.3">
      <c r="A269" s="323">
        <f>A268+1</f>
        <v>192</v>
      </c>
      <c r="B269" s="324" t="s">
        <v>1034</v>
      </c>
      <c r="C269" s="323" t="s">
        <v>254</v>
      </c>
      <c r="D269" s="406">
        <f>0.66*4</f>
        <v>2.64</v>
      </c>
      <c r="E269" s="299">
        <v>162.38502</v>
      </c>
      <c r="F269" s="288">
        <f t="shared" si="67"/>
        <v>428.7</v>
      </c>
      <c r="G269" s="288">
        <f t="shared" si="68"/>
        <v>514.44000000000005</v>
      </c>
      <c r="H269" s="335"/>
      <c r="I269" s="232"/>
      <c r="J269" s="438"/>
      <c r="K269" s="438">
        <f t="shared" si="61"/>
        <v>0</v>
      </c>
    </row>
    <row r="270" spans="1:11" s="316" customFormat="1" ht="19.5" customHeight="1" x14ac:dyDescent="0.3">
      <c r="A270" s="323">
        <f>A269+1</f>
        <v>193</v>
      </c>
      <c r="B270" s="324" t="s">
        <v>1035</v>
      </c>
      <c r="C270" s="323" t="s">
        <v>220</v>
      </c>
      <c r="D270" s="403">
        <f>1*4</f>
        <v>4</v>
      </c>
      <c r="E270" s="299">
        <v>2080.0747799999999</v>
      </c>
      <c r="F270" s="288">
        <f t="shared" si="67"/>
        <v>8320.2999999999993</v>
      </c>
      <c r="G270" s="288">
        <f t="shared" si="68"/>
        <v>9984.36</v>
      </c>
      <c r="I270" s="330"/>
      <c r="J270" s="438"/>
      <c r="K270" s="438">
        <f t="shared" si="61"/>
        <v>0</v>
      </c>
    </row>
    <row r="271" spans="1:11" s="316" customFormat="1" ht="19.5" customHeight="1" x14ac:dyDescent="0.3">
      <c r="A271" s="323">
        <f>A270+1</f>
        <v>194</v>
      </c>
      <c r="B271" s="324" t="s">
        <v>1036</v>
      </c>
      <c r="C271" s="323" t="s">
        <v>194</v>
      </c>
      <c r="D271" s="405">
        <f>0.2*4</f>
        <v>0.8</v>
      </c>
      <c r="E271" s="299">
        <v>618.6096</v>
      </c>
      <c r="F271" s="288">
        <f t="shared" si="67"/>
        <v>494.89</v>
      </c>
      <c r="G271" s="288">
        <f t="shared" si="68"/>
        <v>593.87</v>
      </c>
      <c r="I271" s="330"/>
      <c r="J271" s="438"/>
      <c r="K271" s="438">
        <f t="shared" si="61"/>
        <v>0</v>
      </c>
    </row>
    <row r="272" spans="1:11" ht="19.5" customHeight="1" x14ac:dyDescent="0.3">
      <c r="A272" s="323">
        <f t="shared" ref="A272:A275" si="69">A271+1</f>
        <v>195</v>
      </c>
      <c r="B272" s="324" t="s">
        <v>1037</v>
      </c>
      <c r="C272" s="323" t="s">
        <v>254</v>
      </c>
      <c r="D272" s="404">
        <f>0.032*2*4</f>
        <v>0.25600000000000001</v>
      </c>
      <c r="E272" s="299">
        <v>163.67379</v>
      </c>
      <c r="F272" s="288">
        <f t="shared" si="67"/>
        <v>41.9</v>
      </c>
      <c r="G272" s="288">
        <f t="shared" si="68"/>
        <v>50.28</v>
      </c>
      <c r="I272" s="232"/>
      <c r="J272" s="438"/>
      <c r="K272" s="438">
        <f t="shared" si="61"/>
        <v>0</v>
      </c>
    </row>
    <row r="273" spans="1:11" ht="19.5" customHeight="1" x14ac:dyDescent="0.3">
      <c r="A273" s="323">
        <f t="shared" si="69"/>
        <v>196</v>
      </c>
      <c r="B273" s="324" t="s">
        <v>1038</v>
      </c>
      <c r="C273" s="323" t="s">
        <v>254</v>
      </c>
      <c r="D273" s="404">
        <f>0.012*2*4</f>
        <v>9.6000000000000002E-2</v>
      </c>
      <c r="E273" s="299">
        <v>189.44919000000002</v>
      </c>
      <c r="F273" s="288">
        <f t="shared" si="67"/>
        <v>18.190000000000001</v>
      </c>
      <c r="G273" s="288">
        <f t="shared" si="68"/>
        <v>21.83</v>
      </c>
      <c r="I273" s="232"/>
      <c r="J273" s="438"/>
      <c r="K273" s="438">
        <f t="shared" si="61"/>
        <v>0</v>
      </c>
    </row>
    <row r="274" spans="1:11" ht="19.5" customHeight="1" x14ac:dyDescent="0.3">
      <c r="A274" s="323">
        <f t="shared" si="69"/>
        <v>197</v>
      </c>
      <c r="B274" s="324" t="s">
        <v>1039</v>
      </c>
      <c r="C274" s="323" t="s">
        <v>254</v>
      </c>
      <c r="D274" s="404">
        <f>0.002*2*4</f>
        <v>1.6E-2</v>
      </c>
      <c r="E274" s="299">
        <v>253.88768999999999</v>
      </c>
      <c r="F274" s="288">
        <f t="shared" si="67"/>
        <v>4.0599999999999996</v>
      </c>
      <c r="G274" s="288">
        <f t="shared" si="68"/>
        <v>4.87</v>
      </c>
      <c r="I274" s="232"/>
      <c r="J274" s="438"/>
      <c r="K274" s="438">
        <f t="shared" si="61"/>
        <v>0</v>
      </c>
    </row>
    <row r="275" spans="1:11" ht="19.5" customHeight="1" x14ac:dyDescent="0.3">
      <c r="A275" s="323">
        <f t="shared" si="69"/>
        <v>198</v>
      </c>
      <c r="B275" s="324" t="s">
        <v>1040</v>
      </c>
      <c r="C275" s="323" t="s">
        <v>254</v>
      </c>
      <c r="D275" s="404">
        <f>0.004*2*4</f>
        <v>3.2000000000000001E-2</v>
      </c>
      <c r="E275" s="299">
        <v>253.88768999999999</v>
      </c>
      <c r="F275" s="288">
        <f t="shared" si="67"/>
        <v>8.1199999999999992</v>
      </c>
      <c r="G275" s="288">
        <f t="shared" si="68"/>
        <v>9.74</v>
      </c>
      <c r="I275" s="232"/>
      <c r="J275" s="438"/>
      <c r="K275" s="438">
        <f t="shared" si="61"/>
        <v>0</v>
      </c>
    </row>
    <row r="276" spans="1:11" ht="19.5" customHeight="1" x14ac:dyDescent="0.3">
      <c r="A276" s="323"/>
      <c r="B276" s="398" t="s">
        <v>404</v>
      </c>
      <c r="C276" s="323"/>
      <c r="D276" s="420"/>
      <c r="E276" s="299">
        <v>0</v>
      </c>
      <c r="F276" s="288"/>
      <c r="G276" s="288"/>
      <c r="I276" s="232"/>
      <c r="J276" s="438"/>
      <c r="K276" s="438">
        <f t="shared" si="61"/>
        <v>0</v>
      </c>
    </row>
    <row r="277" spans="1:11" s="316" customFormat="1" ht="24.75" customHeight="1" x14ac:dyDescent="0.3">
      <c r="A277" s="323">
        <f>A275+1</f>
        <v>199</v>
      </c>
      <c r="B277" s="324" t="s">
        <v>1051</v>
      </c>
      <c r="C277" s="323" t="s">
        <v>194</v>
      </c>
      <c r="D277" s="403">
        <v>115</v>
      </c>
      <c r="E277" s="299">
        <v>1875.1603500000001</v>
      </c>
      <c r="F277" s="288">
        <f t="shared" ref="F277:F300" si="70">ROUND(E277*D277,2)</f>
        <v>215643.44</v>
      </c>
      <c r="G277" s="288">
        <f t="shared" ref="G277:G300" si="71">ROUND(F277*1.2,2)</f>
        <v>258772.13</v>
      </c>
      <c r="H277" s="336" t="s">
        <v>1206</v>
      </c>
      <c r="I277" s="330"/>
      <c r="J277" s="438"/>
      <c r="K277" s="438">
        <f t="shared" si="61"/>
        <v>0</v>
      </c>
    </row>
    <row r="278" spans="1:11" ht="19.5" customHeight="1" x14ac:dyDescent="0.3">
      <c r="A278" s="323">
        <f>A277+1</f>
        <v>200</v>
      </c>
      <c r="B278" s="324" t="s">
        <v>1042</v>
      </c>
      <c r="C278" s="323" t="s">
        <v>194</v>
      </c>
      <c r="D278" s="403">
        <v>20</v>
      </c>
      <c r="E278" s="299">
        <v>0</v>
      </c>
      <c r="F278" s="288">
        <f t="shared" si="70"/>
        <v>0</v>
      </c>
      <c r="G278" s="288">
        <f t="shared" si="71"/>
        <v>0</v>
      </c>
      <c r="I278" s="232"/>
      <c r="J278" s="438"/>
      <c r="K278" s="438">
        <f t="shared" si="61"/>
        <v>0</v>
      </c>
    </row>
    <row r="279" spans="1:11" ht="19.5" customHeight="1" x14ac:dyDescent="0.3">
      <c r="A279" s="323">
        <f t="shared" ref="A279:A300" si="72">A278+1</f>
        <v>201</v>
      </c>
      <c r="B279" s="324" t="s">
        <v>1054</v>
      </c>
      <c r="C279" s="323" t="s">
        <v>194</v>
      </c>
      <c r="D279" s="403">
        <v>24</v>
      </c>
      <c r="E279" s="299">
        <v>0</v>
      </c>
      <c r="F279" s="288">
        <f t="shared" si="70"/>
        <v>0</v>
      </c>
      <c r="G279" s="288">
        <f t="shared" si="71"/>
        <v>0</v>
      </c>
      <c r="I279" s="232"/>
      <c r="J279" s="438"/>
      <c r="K279" s="438">
        <f t="shared" si="61"/>
        <v>0</v>
      </c>
    </row>
    <row r="280" spans="1:11" s="316" customFormat="1" ht="19.5" customHeight="1" x14ac:dyDescent="0.3">
      <c r="A280" s="323">
        <f t="shared" si="72"/>
        <v>202</v>
      </c>
      <c r="B280" s="324" t="s">
        <v>1052</v>
      </c>
      <c r="C280" s="323" t="s">
        <v>194</v>
      </c>
      <c r="D280" s="403">
        <v>11</v>
      </c>
      <c r="E280" s="299">
        <v>1005.2406000000001</v>
      </c>
      <c r="F280" s="288">
        <f t="shared" si="70"/>
        <v>11057.65</v>
      </c>
      <c r="G280" s="288">
        <f t="shared" si="71"/>
        <v>13269.18</v>
      </c>
      <c r="I280" s="330"/>
      <c r="J280" s="438"/>
      <c r="K280" s="438">
        <f t="shared" si="61"/>
        <v>0</v>
      </c>
    </row>
    <row r="281" spans="1:11" s="316" customFormat="1" ht="19.5" customHeight="1" x14ac:dyDescent="0.3">
      <c r="A281" s="323">
        <f t="shared" si="72"/>
        <v>203</v>
      </c>
      <c r="B281" s="324" t="s">
        <v>1053</v>
      </c>
      <c r="C281" s="323" t="s">
        <v>194</v>
      </c>
      <c r="D281" s="405">
        <v>10.5</v>
      </c>
      <c r="E281" s="299">
        <v>667.58285999999998</v>
      </c>
      <c r="F281" s="288">
        <f t="shared" si="70"/>
        <v>7009.62</v>
      </c>
      <c r="G281" s="288">
        <f t="shared" si="71"/>
        <v>8411.5400000000009</v>
      </c>
      <c r="H281" s="317"/>
      <c r="I281" s="330"/>
      <c r="J281" s="438"/>
      <c r="K281" s="438">
        <f t="shared" si="61"/>
        <v>0</v>
      </c>
    </row>
    <row r="282" spans="1:11" s="316" customFormat="1" ht="19.5" customHeight="1" x14ac:dyDescent="0.3">
      <c r="A282" s="323">
        <f t="shared" si="72"/>
        <v>204</v>
      </c>
      <c r="B282" s="324" t="s">
        <v>1055</v>
      </c>
      <c r="C282" s="323" t="s">
        <v>194</v>
      </c>
      <c r="D282" s="405">
        <v>2</v>
      </c>
      <c r="E282" s="299">
        <v>4252.9410000000007</v>
      </c>
      <c r="F282" s="288">
        <f t="shared" si="70"/>
        <v>8505.8799999999992</v>
      </c>
      <c r="G282" s="288">
        <f t="shared" si="71"/>
        <v>10207.06</v>
      </c>
      <c r="H282" s="317"/>
      <c r="I282" s="330"/>
      <c r="J282" s="438"/>
      <c r="K282" s="438">
        <f t="shared" si="61"/>
        <v>0</v>
      </c>
    </row>
    <row r="283" spans="1:11" s="316" customFormat="1" ht="19.5" customHeight="1" x14ac:dyDescent="0.3">
      <c r="A283" s="323">
        <f t="shared" si="72"/>
        <v>205</v>
      </c>
      <c r="B283" s="324" t="s">
        <v>1043</v>
      </c>
      <c r="C283" s="323" t="s">
        <v>220</v>
      </c>
      <c r="D283" s="403">
        <f>4+12</f>
        <v>16</v>
      </c>
      <c r="E283" s="299">
        <v>5026.2030000000004</v>
      </c>
      <c r="F283" s="288">
        <f t="shared" si="70"/>
        <v>80419.25</v>
      </c>
      <c r="G283" s="288">
        <f t="shared" si="71"/>
        <v>96503.1</v>
      </c>
      <c r="H283" s="317"/>
      <c r="I283" s="330"/>
      <c r="J283" s="438"/>
      <c r="K283" s="438">
        <f t="shared" si="61"/>
        <v>0</v>
      </c>
    </row>
    <row r="284" spans="1:11" s="316" customFormat="1" ht="19.5" customHeight="1" x14ac:dyDescent="0.3">
      <c r="A284" s="323">
        <f t="shared" si="72"/>
        <v>206</v>
      </c>
      <c r="B284" s="324" t="s">
        <v>1056</v>
      </c>
      <c r="C284" s="323" t="s">
        <v>220</v>
      </c>
      <c r="D284" s="403">
        <v>6</v>
      </c>
      <c r="E284" s="299">
        <v>773.26200000000006</v>
      </c>
      <c r="F284" s="288">
        <f t="shared" si="70"/>
        <v>4639.57</v>
      </c>
      <c r="G284" s="288">
        <f t="shared" si="71"/>
        <v>5567.48</v>
      </c>
      <c r="H284" s="317"/>
      <c r="I284" s="330"/>
      <c r="J284" s="438"/>
      <c r="K284" s="438">
        <f t="shared" si="61"/>
        <v>0</v>
      </c>
    </row>
    <row r="285" spans="1:11" s="316" customFormat="1" ht="19.5" customHeight="1" x14ac:dyDescent="0.3">
      <c r="A285" s="323">
        <f t="shared" si="72"/>
        <v>207</v>
      </c>
      <c r="B285" s="324" t="s">
        <v>1044</v>
      </c>
      <c r="C285" s="323" t="s">
        <v>220</v>
      </c>
      <c r="D285" s="403">
        <f>4+4</f>
        <v>8</v>
      </c>
      <c r="E285" s="299">
        <v>212.64705000000004</v>
      </c>
      <c r="F285" s="288">
        <f t="shared" si="70"/>
        <v>1701.18</v>
      </c>
      <c r="G285" s="288">
        <f t="shared" si="71"/>
        <v>2041.42</v>
      </c>
      <c r="H285" s="317"/>
      <c r="I285" s="330"/>
      <c r="J285" s="438"/>
      <c r="K285" s="438">
        <f t="shared" si="61"/>
        <v>0</v>
      </c>
    </row>
    <row r="286" spans="1:11" s="316" customFormat="1" ht="33" customHeight="1" x14ac:dyDescent="0.3">
      <c r="A286" s="323">
        <f t="shared" si="72"/>
        <v>208</v>
      </c>
      <c r="B286" s="324" t="s">
        <v>1045</v>
      </c>
      <c r="C286" s="323" t="s">
        <v>220</v>
      </c>
      <c r="D286" s="403">
        <f>2+2</f>
        <v>4</v>
      </c>
      <c r="E286" s="299">
        <v>62363.580300000009</v>
      </c>
      <c r="F286" s="288">
        <f t="shared" si="70"/>
        <v>249454.32</v>
      </c>
      <c r="G286" s="288">
        <f t="shared" si="71"/>
        <v>299345.18</v>
      </c>
      <c r="I286" s="330"/>
      <c r="J286" s="438"/>
      <c r="K286" s="438">
        <f t="shared" si="61"/>
        <v>0</v>
      </c>
    </row>
    <row r="287" spans="1:11" s="316" customFormat="1" ht="33" customHeight="1" x14ac:dyDescent="0.3">
      <c r="A287" s="323">
        <f t="shared" si="72"/>
        <v>209</v>
      </c>
      <c r="B287" s="324" t="s">
        <v>1057</v>
      </c>
      <c r="C287" s="323" t="s">
        <v>220</v>
      </c>
      <c r="D287" s="403">
        <v>2</v>
      </c>
      <c r="E287" s="299">
        <v>12114.438000000002</v>
      </c>
      <c r="F287" s="288">
        <f t="shared" si="70"/>
        <v>24228.880000000001</v>
      </c>
      <c r="G287" s="288">
        <f t="shared" si="71"/>
        <v>29074.66</v>
      </c>
      <c r="I287" s="330"/>
      <c r="J287" s="438"/>
      <c r="K287" s="438">
        <f t="shared" si="61"/>
        <v>0</v>
      </c>
    </row>
    <row r="288" spans="1:11" s="316" customFormat="1" ht="30" customHeight="1" x14ac:dyDescent="0.3">
      <c r="A288" s="323">
        <f t="shared" si="72"/>
        <v>210</v>
      </c>
      <c r="B288" s="324" t="s">
        <v>1046</v>
      </c>
      <c r="C288" s="323" t="s">
        <v>220</v>
      </c>
      <c r="D288" s="403">
        <f>2+2</f>
        <v>4</v>
      </c>
      <c r="E288" s="299">
        <v>5283.9570000000003</v>
      </c>
      <c r="F288" s="288">
        <f t="shared" si="70"/>
        <v>21135.83</v>
      </c>
      <c r="G288" s="288">
        <f t="shared" si="71"/>
        <v>25363</v>
      </c>
      <c r="I288" s="330"/>
      <c r="J288" s="438"/>
      <c r="K288" s="438">
        <f t="shared" si="61"/>
        <v>0</v>
      </c>
    </row>
    <row r="289" spans="1:11" s="316" customFormat="1" ht="15.75" customHeight="1" x14ac:dyDescent="0.3">
      <c r="A289" s="323">
        <f t="shared" si="72"/>
        <v>211</v>
      </c>
      <c r="B289" s="324" t="s">
        <v>1047</v>
      </c>
      <c r="C289" s="323" t="s">
        <v>220</v>
      </c>
      <c r="D289" s="403">
        <v>24</v>
      </c>
      <c r="E289" s="299">
        <v>7255.7750999999998</v>
      </c>
      <c r="F289" s="288">
        <f t="shared" si="70"/>
        <v>174138.6</v>
      </c>
      <c r="G289" s="288">
        <f t="shared" si="71"/>
        <v>208966.32</v>
      </c>
      <c r="H289" s="317"/>
      <c r="I289" s="330"/>
      <c r="J289" s="438"/>
      <c r="K289" s="438">
        <f t="shared" si="61"/>
        <v>0</v>
      </c>
    </row>
    <row r="290" spans="1:11" s="316" customFormat="1" ht="15.75" customHeight="1" x14ac:dyDescent="0.3">
      <c r="A290" s="323">
        <f t="shared" si="72"/>
        <v>212</v>
      </c>
      <c r="B290" s="324" t="s">
        <v>1058</v>
      </c>
      <c r="C290" s="323" t="s">
        <v>220</v>
      </c>
      <c r="D290" s="403">
        <v>2</v>
      </c>
      <c r="E290" s="299">
        <v>2435.7753000000002</v>
      </c>
      <c r="F290" s="288">
        <f t="shared" si="70"/>
        <v>4871.55</v>
      </c>
      <c r="G290" s="288">
        <f t="shared" si="71"/>
        <v>5845.86</v>
      </c>
      <c r="I290" s="330"/>
      <c r="J290" s="438"/>
      <c r="K290" s="438">
        <f t="shared" si="61"/>
        <v>0</v>
      </c>
    </row>
    <row r="291" spans="1:11" s="316" customFormat="1" ht="15.75" customHeight="1" x14ac:dyDescent="0.3">
      <c r="A291" s="323">
        <f t="shared" si="72"/>
        <v>213</v>
      </c>
      <c r="B291" s="324" t="s">
        <v>1060</v>
      </c>
      <c r="C291" s="323" t="s">
        <v>220</v>
      </c>
      <c r="D291" s="403">
        <v>2</v>
      </c>
      <c r="E291" s="299">
        <v>2474.4384</v>
      </c>
      <c r="F291" s="288">
        <f t="shared" si="70"/>
        <v>4948.88</v>
      </c>
      <c r="G291" s="288">
        <f t="shared" si="71"/>
        <v>5938.66</v>
      </c>
      <c r="H291" s="317"/>
      <c r="I291" s="330"/>
      <c r="J291" s="438"/>
      <c r="K291" s="438">
        <f t="shared" si="61"/>
        <v>0</v>
      </c>
    </row>
    <row r="292" spans="1:11" s="316" customFormat="1" ht="15.75" customHeight="1" x14ac:dyDescent="0.3">
      <c r="A292" s="323">
        <f t="shared" si="72"/>
        <v>214</v>
      </c>
      <c r="B292" s="324" t="s">
        <v>1049</v>
      </c>
      <c r="C292" s="323" t="s">
        <v>220</v>
      </c>
      <c r="D292" s="403">
        <v>4</v>
      </c>
      <c r="E292" s="299">
        <v>15465.24</v>
      </c>
      <c r="F292" s="288">
        <f t="shared" si="70"/>
        <v>61860.959999999999</v>
      </c>
      <c r="G292" s="288">
        <f t="shared" si="71"/>
        <v>74233.149999999994</v>
      </c>
      <c r="I292" s="330"/>
      <c r="J292" s="438"/>
      <c r="K292" s="438">
        <f t="shared" si="61"/>
        <v>0</v>
      </c>
    </row>
    <row r="293" spans="1:11" s="316" customFormat="1" ht="15.75" customHeight="1" x14ac:dyDescent="0.3">
      <c r="A293" s="323">
        <f t="shared" si="72"/>
        <v>215</v>
      </c>
      <c r="B293" s="324" t="s">
        <v>1050</v>
      </c>
      <c r="C293" s="323" t="s">
        <v>220</v>
      </c>
      <c r="D293" s="403">
        <v>1</v>
      </c>
      <c r="E293" s="299">
        <v>15175.266750000003</v>
      </c>
      <c r="F293" s="288">
        <f t="shared" si="70"/>
        <v>15175.27</v>
      </c>
      <c r="G293" s="288">
        <f t="shared" si="71"/>
        <v>18210.32</v>
      </c>
      <c r="I293" s="330"/>
      <c r="J293" s="438"/>
      <c r="K293" s="438">
        <f t="shared" si="61"/>
        <v>0</v>
      </c>
    </row>
    <row r="294" spans="1:11" s="316" customFormat="1" ht="15.75" customHeight="1" x14ac:dyDescent="0.3">
      <c r="A294" s="323">
        <f t="shared" si="72"/>
        <v>216</v>
      </c>
      <c r="B294" s="324" t="s">
        <v>1061</v>
      </c>
      <c r="C294" s="323" t="s">
        <v>194</v>
      </c>
      <c r="D294" s="405">
        <v>2.2999999999999998</v>
      </c>
      <c r="E294" s="299">
        <v>479.42243999999999</v>
      </c>
      <c r="F294" s="288">
        <f t="shared" si="70"/>
        <v>1102.67</v>
      </c>
      <c r="G294" s="288">
        <f t="shared" si="71"/>
        <v>1323.2</v>
      </c>
      <c r="I294" s="330"/>
      <c r="J294" s="438"/>
      <c r="K294" s="438">
        <f t="shared" si="61"/>
        <v>0</v>
      </c>
    </row>
    <row r="295" spans="1:11" s="316" customFormat="1" ht="20.100000000000001" customHeight="1" x14ac:dyDescent="0.3">
      <c r="A295" s="323">
        <f t="shared" si="72"/>
        <v>217</v>
      </c>
      <c r="B295" s="324" t="s">
        <v>1062</v>
      </c>
      <c r="C295" s="323" t="s">
        <v>254</v>
      </c>
      <c r="D295" s="405">
        <v>3.5</v>
      </c>
      <c r="E295" s="299">
        <v>2448.663</v>
      </c>
      <c r="F295" s="288">
        <f t="shared" si="70"/>
        <v>8570.32</v>
      </c>
      <c r="G295" s="288">
        <f t="shared" si="71"/>
        <v>10284.379999999999</v>
      </c>
      <c r="I295" s="330"/>
      <c r="J295" s="438"/>
      <c r="K295" s="438">
        <f t="shared" si="61"/>
        <v>0</v>
      </c>
    </row>
    <row r="296" spans="1:11" s="316" customFormat="1" ht="15.75" customHeight="1" x14ac:dyDescent="0.3">
      <c r="A296" s="323">
        <f t="shared" si="72"/>
        <v>218</v>
      </c>
      <c r="B296" s="324" t="s">
        <v>1063</v>
      </c>
      <c r="C296" s="323" t="s">
        <v>220</v>
      </c>
      <c r="D296" s="403">
        <v>1</v>
      </c>
      <c r="E296" s="299">
        <v>8377.005000000001</v>
      </c>
      <c r="F296" s="288">
        <f t="shared" si="70"/>
        <v>8377.01</v>
      </c>
      <c r="G296" s="288">
        <f t="shared" si="71"/>
        <v>10052.41</v>
      </c>
      <c r="I296" s="330"/>
      <c r="J296" s="438"/>
      <c r="K296" s="438">
        <f t="shared" si="61"/>
        <v>0</v>
      </c>
    </row>
    <row r="297" spans="1:11" s="316" customFormat="1" ht="15.75" customHeight="1" x14ac:dyDescent="0.3">
      <c r="A297" s="323">
        <f t="shared" si="72"/>
        <v>219</v>
      </c>
      <c r="B297" s="324" t="s">
        <v>1064</v>
      </c>
      <c r="C297" s="323" t="s">
        <v>220</v>
      </c>
      <c r="D297" s="403">
        <v>4</v>
      </c>
      <c r="E297" s="299">
        <v>2629.0907999999999</v>
      </c>
      <c r="F297" s="288">
        <f t="shared" si="70"/>
        <v>10516.36</v>
      </c>
      <c r="G297" s="288">
        <f t="shared" si="71"/>
        <v>12619.63</v>
      </c>
      <c r="I297" s="330"/>
      <c r="J297" s="438"/>
      <c r="K297" s="438">
        <f t="shared" si="61"/>
        <v>0</v>
      </c>
    </row>
    <row r="298" spans="1:11" ht="15.75" customHeight="1" x14ac:dyDescent="0.3">
      <c r="A298" s="323">
        <f t="shared" si="72"/>
        <v>220</v>
      </c>
      <c r="B298" s="324" t="s">
        <v>1065</v>
      </c>
      <c r="C298" s="323" t="s">
        <v>254</v>
      </c>
      <c r="D298" s="406">
        <v>1.71</v>
      </c>
      <c r="E298" s="299">
        <v>231.9786</v>
      </c>
      <c r="F298" s="288">
        <f t="shared" si="70"/>
        <v>396.68</v>
      </c>
      <c r="G298" s="288">
        <f t="shared" si="71"/>
        <v>476.02</v>
      </c>
      <c r="I298" s="232"/>
      <c r="J298" s="438"/>
      <c r="K298" s="438">
        <f t="shared" si="61"/>
        <v>0</v>
      </c>
    </row>
    <row r="299" spans="1:11" s="316" customFormat="1" ht="15.75" customHeight="1" x14ac:dyDescent="0.3">
      <c r="A299" s="323">
        <f t="shared" si="72"/>
        <v>221</v>
      </c>
      <c r="B299" s="324" t="s">
        <v>1066</v>
      </c>
      <c r="C299" s="323" t="s">
        <v>220</v>
      </c>
      <c r="D299" s="403">
        <v>1</v>
      </c>
      <c r="E299" s="299">
        <v>11598.93</v>
      </c>
      <c r="F299" s="288">
        <f t="shared" si="70"/>
        <v>11598.93</v>
      </c>
      <c r="G299" s="288">
        <f t="shared" si="71"/>
        <v>13918.72</v>
      </c>
      <c r="I299" s="330"/>
      <c r="J299" s="438"/>
      <c r="K299" s="438">
        <f t="shared" si="61"/>
        <v>0</v>
      </c>
    </row>
    <row r="300" spans="1:11" ht="27.6" x14ac:dyDescent="0.3">
      <c r="A300" s="323">
        <f t="shared" si="72"/>
        <v>222</v>
      </c>
      <c r="B300" s="324" t="s">
        <v>407</v>
      </c>
      <c r="C300" s="323" t="s">
        <v>243</v>
      </c>
      <c r="D300" s="327">
        <v>1</v>
      </c>
      <c r="E300" s="299">
        <v>193315.5</v>
      </c>
      <c r="F300" s="288">
        <f t="shared" si="70"/>
        <v>193315.5</v>
      </c>
      <c r="G300" s="288">
        <f t="shared" si="71"/>
        <v>231978.6</v>
      </c>
      <c r="J300" s="438"/>
      <c r="K300" s="438">
        <f t="shared" ref="K300" si="73">E300*J300*1.2</f>
        <v>0</v>
      </c>
    </row>
    <row r="301" spans="1:11" ht="22.5" customHeight="1" x14ac:dyDescent="0.3">
      <c r="A301" s="552" t="s">
        <v>408</v>
      </c>
      <c r="B301" s="552"/>
      <c r="C301" s="552"/>
      <c r="D301" s="552"/>
      <c r="E301" s="552"/>
      <c r="F301" s="82">
        <f>SUM(F6:F300)</f>
        <v>18720257.529999997</v>
      </c>
      <c r="G301" s="82">
        <f>SUM(G6:G300)</f>
        <v>22464309.089999989</v>
      </c>
      <c r="J301" s="438"/>
      <c r="K301" s="436">
        <f>SUM(K5:K300)</f>
        <v>309428.50645475998</v>
      </c>
    </row>
  </sheetData>
  <mergeCells count="15">
    <mergeCell ref="J1:J3"/>
    <mergeCell ref="K1:K3"/>
    <mergeCell ref="A301:E301"/>
    <mergeCell ref="E1:E3"/>
    <mergeCell ref="F1:F3"/>
    <mergeCell ref="G1:G3"/>
    <mergeCell ref="B115:D115"/>
    <mergeCell ref="B144:D144"/>
    <mergeCell ref="B159:D159"/>
    <mergeCell ref="B183:D183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  <rowBreaks count="1" manualBreakCount="1">
    <brk id="267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2"/>
  <sheetViews>
    <sheetView view="pageBreakPreview" zoomScale="70" zoomScaleNormal="100" zoomScaleSheetLayoutView="70" workbookViewId="0">
      <selection activeCell="H14" sqref="H14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11" x14ac:dyDescent="0.3">
      <c r="A1" s="556" t="s">
        <v>226</v>
      </c>
      <c r="B1" s="556" t="s">
        <v>724</v>
      </c>
      <c r="C1" s="555" t="s">
        <v>732</v>
      </c>
      <c r="D1" s="555"/>
      <c r="E1" s="555"/>
      <c r="F1" s="557" t="s">
        <v>733</v>
      </c>
      <c r="G1" s="557"/>
      <c r="H1" s="557"/>
    </row>
    <row r="2" spans="1:11" ht="27.6" x14ac:dyDescent="0.3">
      <c r="A2" s="556"/>
      <c r="B2" s="556"/>
      <c r="C2" s="188" t="s">
        <v>725</v>
      </c>
      <c r="D2" s="189" t="s">
        <v>726</v>
      </c>
      <c r="E2" s="189" t="s">
        <v>727</v>
      </c>
      <c r="F2" s="190" t="s">
        <v>725</v>
      </c>
      <c r="G2" s="191" t="s">
        <v>726</v>
      </c>
      <c r="H2" s="191" t="s">
        <v>727</v>
      </c>
    </row>
    <row r="3" spans="1:11" x14ac:dyDescent="0.3">
      <c r="A3" s="105">
        <v>1</v>
      </c>
      <c r="B3" s="95" t="s">
        <v>176</v>
      </c>
      <c r="C3" s="192" t="e">
        <f>'СМР 417 путь'!#REF!</f>
        <v>#REF!</v>
      </c>
      <c r="D3" s="194">
        <f>'мат 417 путь'!F30</f>
        <v>157045205.96999997</v>
      </c>
      <c r="E3" s="195" t="e">
        <f>C3+D3</f>
        <v>#REF!</v>
      </c>
      <c r="F3" s="196" t="e">
        <f>'СМР 417 путь'!#REF!</f>
        <v>#REF!</v>
      </c>
      <c r="G3" s="197">
        <f>'мат 417 путь'!G30</f>
        <v>188454247.16</v>
      </c>
      <c r="H3" s="198" t="e">
        <f>F3+G3</f>
        <v>#REF!</v>
      </c>
      <c r="I3" s="30"/>
    </row>
    <row r="4" spans="1:11" hidden="1" x14ac:dyDescent="0.3">
      <c r="A4" s="105">
        <f>A3+1</f>
        <v>2</v>
      </c>
      <c r="B4" s="95" t="s">
        <v>177</v>
      </c>
      <c r="C4" s="192"/>
      <c r="D4" s="194"/>
      <c r="E4" s="195"/>
      <c r="F4" s="196"/>
      <c r="G4" s="197"/>
      <c r="H4" s="198"/>
      <c r="I4" s="30"/>
    </row>
    <row r="5" spans="1:11" x14ac:dyDescent="0.3">
      <c r="A5" s="105">
        <v>2</v>
      </c>
      <c r="B5" s="95" t="s">
        <v>731</v>
      </c>
      <c r="C5" s="192" t="e">
        <f>'СМР комм-ции 417'!#REF!</f>
        <v>#REF!</v>
      </c>
      <c r="D5" s="194">
        <f>'мат комм-ции 417'!F280</f>
        <v>55427240.580000006</v>
      </c>
      <c r="E5" s="195" t="e">
        <f t="shared" ref="E5:E12" si="0">C5+D5</f>
        <v>#REF!</v>
      </c>
      <c r="F5" s="196" t="e">
        <f>'СМР комм-ции 417'!#REF!</f>
        <v>#REF!</v>
      </c>
      <c r="G5" s="197">
        <f>'мат комм-ции 417'!G280</f>
        <v>66512688.640000008</v>
      </c>
      <c r="H5" s="198" t="e">
        <f t="shared" ref="H5:H12" si="1">F5+G5</f>
        <v>#REF!</v>
      </c>
      <c r="I5" s="30"/>
    </row>
    <row r="6" spans="1:11" hidden="1" x14ac:dyDescent="0.3">
      <c r="A6" s="105">
        <f t="shared" ref="A6:A12" si="2">A5+1</f>
        <v>3</v>
      </c>
      <c r="B6" s="200" t="s">
        <v>736</v>
      </c>
      <c r="C6" s="192"/>
      <c r="D6" s="194"/>
      <c r="E6" s="195"/>
      <c r="F6" s="196"/>
      <c r="G6" s="197"/>
      <c r="H6" s="198"/>
      <c r="I6" s="30"/>
      <c r="J6" s="30"/>
      <c r="K6" s="30"/>
    </row>
    <row r="7" spans="1:11" hidden="1" x14ac:dyDescent="0.3">
      <c r="A7" s="105">
        <f t="shared" si="2"/>
        <v>4</v>
      </c>
      <c r="B7" s="95" t="s">
        <v>729</v>
      </c>
      <c r="C7" s="192"/>
      <c r="D7" s="194"/>
      <c r="E7" s="195"/>
      <c r="F7" s="196"/>
      <c r="G7" s="197"/>
      <c r="H7" s="198"/>
      <c r="I7" s="30"/>
    </row>
    <row r="8" spans="1:11" hidden="1" x14ac:dyDescent="0.3">
      <c r="A8" s="105">
        <v>3</v>
      </c>
      <c r="B8" s="95" t="s">
        <v>730</v>
      </c>
      <c r="C8" s="192"/>
      <c r="D8" s="194"/>
      <c r="E8" s="195"/>
      <c r="F8" s="196"/>
      <c r="G8" s="197"/>
      <c r="H8" s="198"/>
      <c r="I8" s="30"/>
    </row>
    <row r="9" spans="1:11" x14ac:dyDescent="0.3">
      <c r="A9" s="105">
        <v>3</v>
      </c>
      <c r="B9" s="95" t="s">
        <v>1347</v>
      </c>
      <c r="C9" s="192" t="e">
        <f>'СМР ГСН'!#REF!</f>
        <v>#REF!</v>
      </c>
      <c r="D9" s="194">
        <f>'мат ГСН'!F32</f>
        <v>2439875.9699999993</v>
      </c>
      <c r="E9" s="195" t="e">
        <f t="shared" si="0"/>
        <v>#REF!</v>
      </c>
      <c r="F9" s="196" t="e">
        <f>'СМР ГСН'!#REF!</f>
        <v>#REF!</v>
      </c>
      <c r="G9" s="197">
        <f>'мат ГСН'!G32</f>
        <v>2927851.1699999995</v>
      </c>
      <c r="H9" s="198" t="e">
        <f t="shared" si="1"/>
        <v>#REF!</v>
      </c>
      <c r="I9" s="30"/>
    </row>
    <row r="10" spans="1:11" x14ac:dyDescent="0.3">
      <c r="A10" s="105">
        <v>4</v>
      </c>
      <c r="B10" s="95" t="s">
        <v>1601</v>
      </c>
      <c r="C10" s="192" t="e">
        <f>'СМР эстакада'!#REF!</f>
        <v>#REF!</v>
      </c>
      <c r="D10" s="194">
        <f>'мат эстакада'!F87</f>
        <v>2895517.84</v>
      </c>
      <c r="E10" s="195" t="e">
        <f t="shared" si="0"/>
        <v>#REF!</v>
      </c>
      <c r="F10" s="196" t="e">
        <f>'СМР эстакада'!#REF!</f>
        <v>#REF!</v>
      </c>
      <c r="G10" s="197">
        <f>'мат эстакада'!G87</f>
        <v>3474621.46</v>
      </c>
      <c r="H10" s="198" t="e">
        <f t="shared" si="1"/>
        <v>#REF!</v>
      </c>
      <c r="I10" s="30"/>
    </row>
    <row r="11" spans="1:11" x14ac:dyDescent="0.3">
      <c r="A11" s="105">
        <f t="shared" si="2"/>
        <v>5</v>
      </c>
      <c r="B11" s="95" t="s">
        <v>1348</v>
      </c>
      <c r="C11" s="192" t="e">
        <f>'СМР ТС2'!#REF!</f>
        <v>#REF!</v>
      </c>
      <c r="D11" s="194">
        <f>'мат ТС2'!F99</f>
        <v>1330631.2799999993</v>
      </c>
      <c r="E11" s="195" t="e">
        <f t="shared" si="0"/>
        <v>#REF!</v>
      </c>
      <c r="F11" s="196" t="e">
        <f>'СМР ТС2'!#REF!</f>
        <v>#REF!</v>
      </c>
      <c r="G11" s="197">
        <f>'мат ТС2'!G99</f>
        <v>1596757.52</v>
      </c>
      <c r="H11" s="198" t="e">
        <f t="shared" si="1"/>
        <v>#REF!</v>
      </c>
      <c r="I11" s="30"/>
    </row>
    <row r="12" spans="1:11" x14ac:dyDescent="0.3">
      <c r="A12" s="105">
        <f t="shared" si="2"/>
        <v>6</v>
      </c>
      <c r="B12" s="95" t="s">
        <v>1349</v>
      </c>
      <c r="C12" s="192" t="e">
        <f>'СМР ТС3'!#REF!</f>
        <v>#REF!</v>
      </c>
      <c r="D12" s="194">
        <f>'мат ТС3'!F93</f>
        <v>2106513.0699999994</v>
      </c>
      <c r="E12" s="195" t="e">
        <f t="shared" si="0"/>
        <v>#REF!</v>
      </c>
      <c r="F12" s="196" t="e">
        <f>'СМР ТС3'!#REF!</f>
        <v>#REF!</v>
      </c>
      <c r="G12" s="197">
        <f>'мат ТС3'!G93</f>
        <v>2527815.7100000009</v>
      </c>
      <c r="H12" s="198" t="e">
        <f t="shared" si="1"/>
        <v>#REF!</v>
      </c>
      <c r="I12" s="30"/>
    </row>
    <row r="13" spans="1:11" x14ac:dyDescent="0.3">
      <c r="A13" s="105"/>
      <c r="B13" s="95"/>
      <c r="C13" s="192"/>
      <c r="D13" s="194"/>
      <c r="E13" s="195"/>
      <c r="F13" s="196"/>
      <c r="G13" s="197"/>
      <c r="H13" s="198"/>
      <c r="I13" s="30"/>
    </row>
    <row r="14" spans="1:11" x14ac:dyDescent="0.3">
      <c r="A14" s="124"/>
      <c r="B14" s="93" t="s">
        <v>728</v>
      </c>
      <c r="C14" s="193" t="e">
        <f t="shared" ref="C14:H14" si="3">SUM(C3:C12)</f>
        <v>#REF!</v>
      </c>
      <c r="D14" s="193">
        <f t="shared" si="3"/>
        <v>221244984.70999998</v>
      </c>
      <c r="E14" s="193" t="e">
        <f t="shared" si="3"/>
        <v>#REF!</v>
      </c>
      <c r="F14" s="199" t="e">
        <f t="shared" si="3"/>
        <v>#REF!</v>
      </c>
      <c r="G14" s="199">
        <f t="shared" si="3"/>
        <v>265493981.66000003</v>
      </c>
      <c r="H14" s="199" t="e">
        <f t="shared" si="3"/>
        <v>#REF!</v>
      </c>
      <c r="I14" s="30"/>
    </row>
    <row r="15" spans="1:11" x14ac:dyDescent="0.3">
      <c r="A15" s="149"/>
      <c r="B15" s="149"/>
      <c r="C15" s="149"/>
      <c r="D15" s="149"/>
      <c r="E15" s="149"/>
      <c r="I15" s="30"/>
    </row>
    <row r="16" spans="1:11" x14ac:dyDescent="0.3">
      <c r="A16" s="149"/>
      <c r="B16" s="149"/>
      <c r="C16" s="149"/>
      <c r="D16" s="149"/>
      <c r="E16" s="149"/>
    </row>
    <row r="17" spans="1:5" x14ac:dyDescent="0.3">
      <c r="A17" s="149"/>
      <c r="B17" s="149"/>
      <c r="C17" s="149"/>
      <c r="D17" s="149"/>
      <c r="E17" s="149"/>
    </row>
    <row r="18" spans="1:5" x14ac:dyDescent="0.3">
      <c r="A18" s="149"/>
      <c r="B18" s="149"/>
      <c r="C18" s="149"/>
      <c r="D18" s="149"/>
      <c r="E18" s="149"/>
    </row>
    <row r="19" spans="1:5" x14ac:dyDescent="0.3">
      <c r="A19" s="149"/>
      <c r="B19" s="149"/>
      <c r="C19" s="149"/>
      <c r="D19" s="149"/>
      <c r="E19" s="149"/>
    </row>
    <row r="20" spans="1:5" x14ac:dyDescent="0.3">
      <c r="A20" s="149"/>
      <c r="B20" s="149"/>
      <c r="C20" s="149"/>
      <c r="D20" s="149"/>
      <c r="E20" s="149"/>
    </row>
    <row r="21" spans="1:5" x14ac:dyDescent="0.3">
      <c r="A21" s="149"/>
      <c r="B21" s="149"/>
      <c r="C21" s="149"/>
      <c r="D21" s="149"/>
      <c r="E21" s="149"/>
    </row>
    <row r="22" spans="1:5" x14ac:dyDescent="0.3">
      <c r="A22" s="149"/>
      <c r="B22" s="149"/>
      <c r="C22" s="149"/>
      <c r="D22" s="149"/>
      <c r="E22" s="149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E7C9-53D6-4D54-9052-7F19E6B4AE8B}">
  <dimension ref="A1:E999"/>
  <sheetViews>
    <sheetView zoomScale="80" zoomScaleNormal="80" workbookViewId="0">
      <selection activeCell="B11" sqref="B11"/>
    </sheetView>
  </sheetViews>
  <sheetFormatPr defaultColWidth="14.44140625" defaultRowHeight="15" customHeight="1" x14ac:dyDescent="0.3"/>
  <cols>
    <col min="1" max="1" width="37.5546875" style="345" customWidth="1"/>
    <col min="2" max="2" width="22.5546875" style="345" customWidth="1"/>
    <col min="3" max="3" width="17.109375" style="345" customWidth="1"/>
    <col min="4" max="4" width="20" style="345" customWidth="1"/>
    <col min="5" max="5" width="10.5546875" style="345" hidden="1" customWidth="1"/>
    <col min="6" max="6" width="8.77734375" style="345" customWidth="1"/>
    <col min="7" max="16384" width="14.44140625" style="345"/>
  </cols>
  <sheetData>
    <row r="1" spans="1:5" ht="14.4" x14ac:dyDescent="0.3">
      <c r="A1" s="342"/>
      <c r="B1" s="343"/>
      <c r="C1" s="343"/>
      <c r="D1" s="344"/>
    </row>
    <row r="2" spans="1:5" ht="33.6" customHeight="1" x14ac:dyDescent="0.3">
      <c r="A2" s="346" t="s">
        <v>1628</v>
      </c>
      <c r="B2" s="347"/>
      <c r="C2" s="347"/>
      <c r="D2" s="347"/>
      <c r="E2" s="348"/>
    </row>
    <row r="3" spans="1:5" ht="14.4" x14ac:dyDescent="0.3">
      <c r="A3" s="349" t="s">
        <v>1629</v>
      </c>
      <c r="B3" s="350">
        <f>[1]Выручка!E34/1000</f>
        <v>548003.99969434505</v>
      </c>
      <c r="C3" s="350">
        <v>548003.99969434505</v>
      </c>
    </row>
    <row r="4" spans="1:5" ht="14.4" x14ac:dyDescent="0.3">
      <c r="A4" s="349"/>
      <c r="B4" s="349"/>
      <c r="C4" s="349"/>
    </row>
    <row r="5" spans="1:5" ht="41.4" x14ac:dyDescent="0.3">
      <c r="A5" s="346" t="s">
        <v>1630</v>
      </c>
      <c r="B5" s="347" t="s">
        <v>1631</v>
      </c>
      <c r="C5" s="351" t="s">
        <v>1632</v>
      </c>
      <c r="D5" s="352" t="s">
        <v>1633</v>
      </c>
      <c r="E5" s="353" t="s">
        <v>1634</v>
      </c>
    </row>
    <row r="6" spans="1:5" ht="14.4" x14ac:dyDescent="0.3">
      <c r="A6" s="354" t="s">
        <v>1635</v>
      </c>
      <c r="B6" s="355">
        <f>[1]PL_CF!U4</f>
        <v>456669.99974528741</v>
      </c>
      <c r="C6" s="355">
        <v>456669.99974528741</v>
      </c>
      <c r="D6" s="355">
        <v>456669.99974528741</v>
      </c>
      <c r="E6" s="356">
        <v>479955.30044194311</v>
      </c>
    </row>
    <row r="7" spans="1:5" ht="14.4" x14ac:dyDescent="0.3">
      <c r="A7" s="354" t="s">
        <v>1636</v>
      </c>
      <c r="B7" s="355">
        <f>[1]PL_CF!U5</f>
        <v>-320230.36179916671</v>
      </c>
      <c r="C7" s="355">
        <v>-320230.36179916671</v>
      </c>
      <c r="D7" s="355">
        <v>-320230.36179916665</v>
      </c>
      <c r="E7" s="356">
        <v>-323478.32263249991</v>
      </c>
    </row>
    <row r="8" spans="1:5" ht="14.4" x14ac:dyDescent="0.3">
      <c r="A8" s="354" t="s">
        <v>1637</v>
      </c>
      <c r="B8" s="355">
        <f>[1]PL_CF!U6</f>
        <v>-7706.7749999999996</v>
      </c>
      <c r="C8" s="355">
        <v>-7706.7749999999996</v>
      </c>
      <c r="D8" s="355">
        <v>-9059.2833300000002</v>
      </c>
      <c r="E8" s="558">
        <v>-14699</v>
      </c>
    </row>
    <row r="9" spans="1:5" ht="14.4" x14ac:dyDescent="0.3">
      <c r="A9" s="354" t="s">
        <v>1638</v>
      </c>
      <c r="B9" s="355">
        <f>[1]PL_CF!U7</f>
        <v>-9904.0159987773768</v>
      </c>
      <c r="C9" s="355">
        <v>-9904.0159987773768</v>
      </c>
      <c r="D9" s="355">
        <v>-11858.015996641687</v>
      </c>
      <c r="E9" s="559"/>
    </row>
    <row r="10" spans="1:5" ht="14.4" x14ac:dyDescent="0.3">
      <c r="A10" s="357" t="s">
        <v>1639</v>
      </c>
      <c r="B10" s="358">
        <f>[1]PL_CF!U8</f>
        <v>118828.84694734331</v>
      </c>
      <c r="C10" s="358">
        <v>118828.84694734331</v>
      </c>
      <c r="D10" s="358">
        <v>115522.33861947905</v>
      </c>
      <c r="E10" s="358">
        <v>141778.23087413987</v>
      </c>
    </row>
    <row r="11" spans="1:5" ht="14.4" x14ac:dyDescent="0.3">
      <c r="A11" s="359" t="s">
        <v>1640</v>
      </c>
      <c r="B11" s="360">
        <f>[1]PL_CF!U9</f>
        <v>0.26020725472139922</v>
      </c>
      <c r="C11" s="360">
        <v>0.26020725472139922</v>
      </c>
      <c r="D11" s="360">
        <v>0.25296677838244874</v>
      </c>
      <c r="E11" s="356">
        <v>0.29539882306454457</v>
      </c>
    </row>
    <row r="12" spans="1:5" ht="14.4" x14ac:dyDescent="0.3">
      <c r="A12" s="361"/>
      <c r="B12" s="355"/>
      <c r="C12" s="355"/>
      <c r="D12" s="355"/>
      <c r="E12" s="356"/>
    </row>
    <row r="13" spans="1:5" ht="14.4" x14ac:dyDescent="0.3">
      <c r="A13" s="354" t="s">
        <v>1641</v>
      </c>
      <c r="B13" s="355">
        <f>[1]PL_CF!U11</f>
        <v>-36689.8908045977</v>
      </c>
      <c r="C13" s="355">
        <v>-36689.8908045977</v>
      </c>
      <c r="D13" s="355">
        <v>-38320.900383141758</v>
      </c>
      <c r="E13" s="356">
        <v>-39942.396551724138</v>
      </c>
    </row>
    <row r="14" spans="1:5" ht="14.4" x14ac:dyDescent="0.3">
      <c r="A14" s="357" t="s">
        <v>1642</v>
      </c>
      <c r="B14" s="358">
        <f>[1]PL_CF!U12</f>
        <v>82138.956142745606</v>
      </c>
      <c r="C14" s="358">
        <v>82138.956142745606</v>
      </c>
      <c r="D14" s="358">
        <v>77201.438236337286</v>
      </c>
      <c r="E14" s="358">
        <v>101835.83432241573</v>
      </c>
    </row>
    <row r="15" spans="1:5" ht="14.4" x14ac:dyDescent="0.3">
      <c r="A15" s="362"/>
      <c r="B15" s="362"/>
      <c r="C15" s="362"/>
      <c r="D15" s="362"/>
      <c r="E15" s="356"/>
    </row>
    <row r="16" spans="1:5" ht="14.4" x14ac:dyDescent="0.3">
      <c r="A16" s="363" t="s">
        <v>1643</v>
      </c>
      <c r="B16" s="364">
        <f>[1]PL_CF!U36</f>
        <v>-1362.4999998011463</v>
      </c>
      <c r="C16" s="364">
        <v>-1362.4999998011463</v>
      </c>
      <c r="D16" s="364">
        <v>-1882.3397704268746</v>
      </c>
      <c r="E16" s="356">
        <v>0</v>
      </c>
    </row>
    <row r="17" spans="1:5" ht="14.4" x14ac:dyDescent="0.3">
      <c r="A17" s="357" t="s">
        <v>1644</v>
      </c>
      <c r="B17" s="358">
        <f>[1]PL_CF!U16</f>
        <v>80776.456142944546</v>
      </c>
      <c r="C17" s="358">
        <v>80776.456142944546</v>
      </c>
      <c r="D17" s="358">
        <v>75319.098465910458</v>
      </c>
      <c r="E17" s="358">
        <v>101835.83432241561</v>
      </c>
    </row>
    <row r="18" spans="1:5" ht="14.4" x14ac:dyDescent="0.3">
      <c r="A18" s="354"/>
      <c r="B18" s="355"/>
      <c r="C18" s="355"/>
      <c r="D18" s="355"/>
      <c r="E18" s="356"/>
    </row>
    <row r="19" spans="1:5" ht="14.4" x14ac:dyDescent="0.3">
      <c r="A19" s="354" t="s">
        <v>1645</v>
      </c>
      <c r="B19" s="355">
        <f>[1]PL_CF!U18</f>
        <v>-19335.616206673203</v>
      </c>
      <c r="C19" s="355">
        <v>-19335.616206673203</v>
      </c>
      <c r="D19" s="355">
        <v>-18264.390256322746</v>
      </c>
      <c r="E19" s="356">
        <v>-22397.514967931398</v>
      </c>
    </row>
    <row r="20" spans="1:5" ht="15.75" customHeight="1" x14ac:dyDescent="0.3">
      <c r="A20" s="357" t="s">
        <v>1646</v>
      </c>
      <c r="B20" s="358">
        <f>[1]PL_CF!U20</f>
        <v>61440.839936271346</v>
      </c>
      <c r="C20" s="358">
        <v>61440.839936271346</v>
      </c>
      <c r="D20" s="358">
        <v>57054.708209587712</v>
      </c>
      <c r="E20" s="358">
        <v>79438.319354484207</v>
      </c>
    </row>
    <row r="21" spans="1:5" ht="15.75" customHeight="1" x14ac:dyDescent="0.3">
      <c r="A21" s="359" t="s">
        <v>1647</v>
      </c>
      <c r="B21" s="365">
        <f>[1]PL_CF!U21</f>
        <v>0.13454100328583141</v>
      </c>
      <c r="C21" s="365">
        <v>0.13454100328583141</v>
      </c>
      <c r="D21" s="365">
        <v>0.12493640537239273</v>
      </c>
      <c r="E21" s="365">
        <v>0.1655119117995725</v>
      </c>
    </row>
    <row r="22" spans="1:5" ht="14.4" x14ac:dyDescent="0.3">
      <c r="A22" s="366" t="s">
        <v>1648</v>
      </c>
      <c r="B22" s="367">
        <f>[1]PL_CF!U25</f>
        <v>-24220.339255890842</v>
      </c>
      <c r="C22" s="367">
        <v>-24220.339255890842</v>
      </c>
      <c r="D22" s="367">
        <v>-23197.759812113076</v>
      </c>
      <c r="E22" s="367">
        <v>-28382.738895888615</v>
      </c>
    </row>
    <row r="23" spans="1:5" ht="15.75" customHeight="1" x14ac:dyDescent="0.3">
      <c r="A23" s="359"/>
      <c r="B23" s="368"/>
      <c r="C23" s="369"/>
      <c r="E23" s="370"/>
    </row>
    <row r="24" spans="1:5" ht="15.75" customHeight="1" x14ac:dyDescent="0.3">
      <c r="A24" s="354" t="s">
        <v>1649</v>
      </c>
      <c r="B24" s="355"/>
      <c r="C24" s="371"/>
      <c r="E24" s="370"/>
    </row>
    <row r="25" spans="1:5" ht="15.75" customHeight="1" x14ac:dyDescent="0.3">
      <c r="A25" s="354" t="s">
        <v>1650</v>
      </c>
      <c r="B25" s="355"/>
      <c r="C25" s="371"/>
    </row>
    <row r="26" spans="1:5" ht="15.75" customHeight="1" x14ac:dyDescent="0.3">
      <c r="A26" s="359" t="s">
        <v>1651</v>
      </c>
      <c r="B26" s="372"/>
      <c r="C26" s="373"/>
    </row>
    <row r="27" spans="1:5" ht="15.75" customHeight="1" x14ac:dyDescent="0.3">
      <c r="A27" s="354" t="s">
        <v>1652</v>
      </c>
      <c r="B27" s="355"/>
      <c r="C27" s="371"/>
    </row>
    <row r="28" spans="1:5" ht="15.75" customHeight="1" x14ac:dyDescent="0.3">
      <c r="A28" s="354" t="s">
        <v>1653</v>
      </c>
      <c r="B28" s="355"/>
      <c r="C28" s="371"/>
    </row>
    <row r="29" spans="1:5" ht="15.75" customHeight="1" x14ac:dyDescent="0.3">
      <c r="A29" s="354"/>
      <c r="B29" s="355"/>
      <c r="C29" s="371"/>
    </row>
    <row r="30" spans="1:5" ht="15.75" customHeight="1" x14ac:dyDescent="0.3">
      <c r="A30" s="354" t="s">
        <v>1654</v>
      </c>
      <c r="B30" s="374"/>
      <c r="C30" s="375"/>
    </row>
    <row r="31" spans="1:5" ht="15.75" customHeight="1" x14ac:dyDescent="0.3">
      <c r="A31" s="357" t="s">
        <v>1655</v>
      </c>
      <c r="B31" s="358"/>
      <c r="C31" s="376"/>
    </row>
    <row r="32" spans="1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">
    <mergeCell ref="E8:E9"/>
  </mergeCells>
  <conditionalFormatting sqref="D1">
    <cfRule type="containsText" dxfId="3" priority="1" operator="containsText" text="ука">
      <formula>NOT(ISERROR(SEARCH(("ука"),(D1))))</formula>
    </cfRule>
  </conditionalFormatting>
  <conditionalFormatting sqref="D1">
    <cfRule type="cellIs" dxfId="2" priority="2" operator="equal">
      <formula>0</formula>
    </cfRule>
  </conditionalFormatting>
  <conditionalFormatting sqref="D1">
    <cfRule type="cellIs" dxfId="1" priority="3" operator="lessThan">
      <formula>0</formula>
    </cfRule>
  </conditionalFormatting>
  <conditionalFormatting sqref="D1">
    <cfRule type="cellIs" dxfId="0" priority="4" operator="greaterThan">
      <formula>0</formula>
    </cfRule>
  </conditionalFormatting>
  <pageMargins left="0.7" right="0.7" top="0.75" bottom="0.75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L36"/>
  <sheetViews>
    <sheetView zoomScale="90" zoomScaleNormal="90" zoomScaleSheetLayoutView="100" workbookViewId="0">
      <pane ySplit="2" topLeftCell="A3" activePane="bottomLeft" state="frozen"/>
      <selection pane="bottomLeft" activeCell="N9" sqref="N9"/>
    </sheetView>
  </sheetViews>
  <sheetFormatPr defaultRowHeight="14.4" x14ac:dyDescent="0.3"/>
  <cols>
    <col min="1" max="1" width="7.109375" customWidth="1"/>
    <col min="2" max="2" width="61.21875" customWidth="1"/>
    <col min="3" max="3" width="10.6640625" customWidth="1"/>
    <col min="4" max="4" width="11" customWidth="1"/>
    <col min="5" max="5" width="12.88671875" customWidth="1"/>
    <col min="6" max="6" width="16.5546875" style="83" customWidth="1"/>
    <col min="7" max="7" width="18.5546875" style="29" customWidth="1"/>
    <col min="8" max="8" width="11.21875" customWidth="1"/>
    <col min="10" max="11" width="17" style="440" customWidth="1"/>
  </cols>
  <sheetData>
    <row r="1" spans="1:12" s="1" customFormat="1" ht="21.75" customHeight="1" x14ac:dyDescent="0.3">
      <c r="A1" s="565" t="s">
        <v>200</v>
      </c>
      <c r="B1" s="565" t="s">
        <v>227</v>
      </c>
      <c r="C1" s="565" t="s">
        <v>411</v>
      </c>
      <c r="D1" s="565" t="s">
        <v>202</v>
      </c>
      <c r="E1" s="539" t="s">
        <v>412</v>
      </c>
      <c r="F1" s="566" t="s">
        <v>438</v>
      </c>
      <c r="G1" s="539" t="s">
        <v>409</v>
      </c>
      <c r="J1" s="536" t="s">
        <v>1657</v>
      </c>
      <c r="K1" s="536" t="s">
        <v>1658</v>
      </c>
    </row>
    <row r="2" spans="1:12" ht="36" customHeight="1" x14ac:dyDescent="0.3">
      <c r="A2" s="565"/>
      <c r="B2" s="565"/>
      <c r="C2" s="565"/>
      <c r="D2" s="565"/>
      <c r="E2" s="541"/>
      <c r="F2" s="567"/>
      <c r="G2" s="541"/>
      <c r="J2" s="536"/>
      <c r="K2" s="536"/>
      <c r="L2" s="381"/>
    </row>
    <row r="3" spans="1:12" ht="12.7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  <c r="J3" s="536"/>
      <c r="K3" s="536"/>
      <c r="L3" s="381"/>
    </row>
    <row r="4" spans="1:12" ht="14.55" customHeight="1" x14ac:dyDescent="0.3">
      <c r="A4" s="537" t="s">
        <v>207</v>
      </c>
      <c r="B4" s="564"/>
      <c r="C4" s="119"/>
      <c r="D4" s="119"/>
      <c r="E4" s="120"/>
      <c r="F4" s="119"/>
      <c r="G4" s="119"/>
      <c r="J4" s="437"/>
      <c r="K4" s="437"/>
      <c r="L4" s="381"/>
    </row>
    <row r="5" spans="1:12" x14ac:dyDescent="0.3">
      <c r="A5" s="456">
        <v>1</v>
      </c>
      <c r="B5" s="94" t="s">
        <v>429</v>
      </c>
      <c r="C5" s="106" t="s">
        <v>193</v>
      </c>
      <c r="D5" s="109">
        <f>7955.76*1.5</f>
        <v>11933.64</v>
      </c>
      <c r="E5" s="109">
        <f>'искл-свод'!B3</f>
        <v>1361.6</v>
      </c>
      <c r="F5" s="101">
        <f>ROUND(E5*D5,2)</f>
        <v>16248844.220000001</v>
      </c>
      <c r="G5" s="101">
        <f>ROUND(F5*1.2,2)</f>
        <v>19498613.059999999</v>
      </c>
      <c r="H5" s="455"/>
      <c r="I5" s="455"/>
      <c r="J5" s="438"/>
      <c r="K5" s="438">
        <f>E5*J5*1.2</f>
        <v>0</v>
      </c>
    </row>
    <row r="6" spans="1:12" x14ac:dyDescent="0.3">
      <c r="A6" s="106">
        <f>A5+1</f>
        <v>2</v>
      </c>
      <c r="B6" s="94" t="s">
        <v>428</v>
      </c>
      <c r="C6" s="106" t="s">
        <v>193</v>
      </c>
      <c r="D6" s="109">
        <v>598.14</v>
      </c>
      <c r="E6" s="109">
        <v>1776.3630479999999</v>
      </c>
      <c r="F6" s="101">
        <f>ROUND(E6*D6,2)</f>
        <v>1062513.79</v>
      </c>
      <c r="G6" s="101">
        <f t="shared" ref="G6:G8" si="0">ROUND(F6*1.2,2)</f>
        <v>1275016.55</v>
      </c>
      <c r="J6" s="438"/>
      <c r="K6" s="438">
        <f t="shared" ref="K6:K34" si="1">E6*J6*1.2</f>
        <v>0</v>
      </c>
    </row>
    <row r="7" spans="1:12" x14ac:dyDescent="0.3">
      <c r="A7" s="106">
        <f>A6+1</f>
        <v>3</v>
      </c>
      <c r="B7" s="94" t="s">
        <v>430</v>
      </c>
      <c r="C7" s="106" t="s">
        <v>431</v>
      </c>
      <c r="D7" s="109">
        <v>762.75</v>
      </c>
      <c r="E7" s="109">
        <v>418.34637000000004</v>
      </c>
      <c r="F7" s="101">
        <f>ROUND(E7*D7,2)</f>
        <v>319093.69</v>
      </c>
      <c r="G7" s="101">
        <f t="shared" si="0"/>
        <v>382912.43</v>
      </c>
      <c r="J7" s="438"/>
      <c r="K7" s="438">
        <f t="shared" si="1"/>
        <v>0</v>
      </c>
    </row>
    <row r="8" spans="1:12" x14ac:dyDescent="0.3">
      <c r="A8" s="106">
        <f>A7+1</f>
        <v>4</v>
      </c>
      <c r="B8" s="94" t="s">
        <v>712</v>
      </c>
      <c r="C8" s="106" t="s">
        <v>431</v>
      </c>
      <c r="D8" s="109">
        <v>12970.93</v>
      </c>
      <c r="E8" s="109">
        <v>418.34637000000004</v>
      </c>
      <c r="F8" s="101">
        <f>ROUND(E8*D8,2)</f>
        <v>5426341.4800000004</v>
      </c>
      <c r="G8" s="101">
        <f t="shared" si="0"/>
        <v>6511609.7800000003</v>
      </c>
      <c r="J8" s="438"/>
      <c r="K8" s="438">
        <f t="shared" si="1"/>
        <v>0</v>
      </c>
    </row>
    <row r="9" spans="1:12" x14ac:dyDescent="0.3">
      <c r="A9" s="537" t="s">
        <v>713</v>
      </c>
      <c r="B9" s="564"/>
      <c r="C9" s="119"/>
      <c r="D9" s="119"/>
      <c r="E9" s="119"/>
      <c r="F9" s="119"/>
      <c r="G9" s="119"/>
      <c r="J9" s="438"/>
      <c r="K9" s="438">
        <f t="shared" si="1"/>
        <v>0</v>
      </c>
    </row>
    <row r="10" spans="1:12" x14ac:dyDescent="0.3">
      <c r="A10" s="323">
        <f>A8+1</f>
        <v>5</v>
      </c>
      <c r="B10" s="377" t="s">
        <v>425</v>
      </c>
      <c r="C10" s="323" t="s">
        <v>178</v>
      </c>
      <c r="D10" s="378">
        <v>1</v>
      </c>
      <c r="E10" s="109">
        <v>156714.695568</v>
      </c>
      <c r="F10" s="288">
        <f>ROUND(E10*D10,2)</f>
        <v>156714.70000000001</v>
      </c>
      <c r="G10" s="288">
        <f t="shared" ref="G10:G13" si="2">ROUND(F10*1.2,2)</f>
        <v>188057.64</v>
      </c>
      <c r="J10" s="438"/>
      <c r="K10" s="438">
        <f t="shared" si="1"/>
        <v>0</v>
      </c>
    </row>
    <row r="11" spans="1:12" x14ac:dyDescent="0.3">
      <c r="A11" s="323">
        <f>A10+1</f>
        <v>6</v>
      </c>
      <c r="B11" s="377" t="s">
        <v>424</v>
      </c>
      <c r="C11" s="323" t="s">
        <v>194</v>
      </c>
      <c r="D11" s="378">
        <v>809</v>
      </c>
      <c r="E11" s="109">
        <v>2980.6284960000003</v>
      </c>
      <c r="F11" s="288">
        <f>ROUND(E11*D11,2)</f>
        <v>2411328.4500000002</v>
      </c>
      <c r="G11" s="288">
        <f t="shared" si="2"/>
        <v>2893594.14</v>
      </c>
      <c r="J11" s="438"/>
      <c r="K11" s="438">
        <f t="shared" si="1"/>
        <v>0</v>
      </c>
    </row>
    <row r="12" spans="1:12" x14ac:dyDescent="0.3">
      <c r="A12" s="323">
        <f>A11+1</f>
        <v>7</v>
      </c>
      <c r="B12" s="377" t="s">
        <v>424</v>
      </c>
      <c r="C12" s="323" t="s">
        <v>194</v>
      </c>
      <c r="D12" s="378">
        <v>6</v>
      </c>
      <c r="E12" s="109">
        <v>2980.6284960000003</v>
      </c>
      <c r="F12" s="288">
        <f>ROUND(E12*D12,2)</f>
        <v>17883.77</v>
      </c>
      <c r="G12" s="288">
        <f t="shared" ref="G12" si="3">ROUND(F12*1.2,2)</f>
        <v>21460.52</v>
      </c>
      <c r="H12" t="s">
        <v>1334</v>
      </c>
      <c r="J12" s="438"/>
      <c r="K12" s="438">
        <f t="shared" si="1"/>
        <v>0</v>
      </c>
    </row>
    <row r="13" spans="1:12" x14ac:dyDescent="0.3">
      <c r="A13" s="323">
        <f>A12+1</f>
        <v>8</v>
      </c>
      <c r="B13" s="377" t="s">
        <v>426</v>
      </c>
      <c r="C13" s="323" t="s">
        <v>178</v>
      </c>
      <c r="D13" s="378">
        <v>3</v>
      </c>
      <c r="E13" s="109">
        <v>124216.6914</v>
      </c>
      <c r="F13" s="288">
        <f>ROUND(E13*D13,2)</f>
        <v>372650.07</v>
      </c>
      <c r="G13" s="288">
        <f t="shared" si="2"/>
        <v>447180.08</v>
      </c>
      <c r="J13" s="438"/>
      <c r="K13" s="438">
        <f t="shared" si="1"/>
        <v>0</v>
      </c>
    </row>
    <row r="14" spans="1:12" ht="27.6" x14ac:dyDescent="0.3">
      <c r="A14" s="380">
        <f>A13+1</f>
        <v>9</v>
      </c>
      <c r="B14" s="377" t="s">
        <v>1325</v>
      </c>
      <c r="C14" s="323" t="s">
        <v>178</v>
      </c>
      <c r="D14" s="378">
        <v>1</v>
      </c>
      <c r="E14" s="109">
        <v>124216.6914</v>
      </c>
      <c r="F14" s="288">
        <f>ROUND(E14*D14,2)</f>
        <v>124216.69</v>
      </c>
      <c r="G14" s="288">
        <f t="shared" ref="G14" si="4">ROUND(F14*1.2,2)</f>
        <v>149060.03</v>
      </c>
      <c r="H14" s="210" t="s">
        <v>1326</v>
      </c>
      <c r="J14" s="438"/>
      <c r="K14" s="438">
        <f t="shared" si="1"/>
        <v>0</v>
      </c>
    </row>
    <row r="15" spans="1:12" ht="14.55" customHeight="1" x14ac:dyDescent="0.3">
      <c r="A15" s="537" t="s">
        <v>413</v>
      </c>
      <c r="B15" s="564"/>
      <c r="C15" s="119"/>
      <c r="D15" s="119"/>
      <c r="E15" s="119"/>
      <c r="F15" s="119"/>
      <c r="G15" s="119"/>
      <c r="H15" s="209"/>
      <c r="J15" s="438"/>
      <c r="K15" s="438">
        <f t="shared" si="1"/>
        <v>0</v>
      </c>
    </row>
    <row r="16" spans="1:12" x14ac:dyDescent="0.3">
      <c r="A16" s="323">
        <f>A14+1</f>
        <v>10</v>
      </c>
      <c r="B16" s="377" t="s">
        <v>710</v>
      </c>
      <c r="C16" s="323" t="s">
        <v>193</v>
      </c>
      <c r="D16" s="379">
        <v>5327.17</v>
      </c>
      <c r="E16" s="109">
        <v>2139.3589751999998</v>
      </c>
      <c r="F16" s="288">
        <f t="shared" ref="F16:F34" si="5">ROUND(E16*D16,2)</f>
        <v>11396728.949999999</v>
      </c>
      <c r="G16" s="288">
        <f t="shared" ref="G16:G34" si="6">ROUND(F16*1.2,2)</f>
        <v>13676074.74</v>
      </c>
      <c r="J16" s="438"/>
      <c r="K16" s="438">
        <f t="shared" si="1"/>
        <v>0</v>
      </c>
    </row>
    <row r="17" spans="1:11" ht="27.6" x14ac:dyDescent="0.3">
      <c r="A17" s="323">
        <f>A16+1</f>
        <v>11</v>
      </c>
      <c r="B17" s="377" t="s">
        <v>711</v>
      </c>
      <c r="C17" s="323" t="s">
        <v>193</v>
      </c>
      <c r="D17" s="379">
        <v>437.94</v>
      </c>
      <c r="E17" s="109">
        <v>2073.7107756</v>
      </c>
      <c r="F17" s="288">
        <f t="shared" si="5"/>
        <v>908160.9</v>
      </c>
      <c r="G17" s="288">
        <f t="shared" si="6"/>
        <v>1089793.08</v>
      </c>
      <c r="J17" s="438"/>
      <c r="K17" s="438">
        <f t="shared" si="1"/>
        <v>0</v>
      </c>
    </row>
    <row r="18" spans="1:11" ht="41.4" x14ac:dyDescent="0.3">
      <c r="A18" s="323">
        <f t="shared" ref="A18:A34" si="7">A17+1</f>
        <v>12</v>
      </c>
      <c r="B18" s="377" t="s">
        <v>414</v>
      </c>
      <c r="C18" s="323" t="s">
        <v>194</v>
      </c>
      <c r="D18" s="378">
        <v>1211</v>
      </c>
      <c r="E18" s="109">
        <v>3358.2129119999995</v>
      </c>
      <c r="F18" s="288">
        <f t="shared" si="5"/>
        <v>4066795.84</v>
      </c>
      <c r="G18" s="288">
        <f t="shared" si="6"/>
        <v>4880155.01</v>
      </c>
      <c r="H18" s="560"/>
      <c r="J18" s="438"/>
      <c r="K18" s="438">
        <f t="shared" si="1"/>
        <v>0</v>
      </c>
    </row>
    <row r="19" spans="1:11" ht="41.4" x14ac:dyDescent="0.3">
      <c r="A19" s="323">
        <f t="shared" si="7"/>
        <v>13</v>
      </c>
      <c r="B19" s="377" t="s">
        <v>415</v>
      </c>
      <c r="C19" s="323" t="s">
        <v>194</v>
      </c>
      <c r="D19" s="378">
        <v>688</v>
      </c>
      <c r="E19" s="109">
        <v>2269.7972279999994</v>
      </c>
      <c r="F19" s="288">
        <f t="shared" si="5"/>
        <v>1561620.49</v>
      </c>
      <c r="G19" s="288">
        <f t="shared" si="6"/>
        <v>1873944.59</v>
      </c>
      <c r="H19" s="560"/>
      <c r="J19" s="438"/>
      <c r="K19" s="438">
        <f t="shared" si="1"/>
        <v>0</v>
      </c>
    </row>
    <row r="20" spans="1:11" ht="24.75" customHeight="1" x14ac:dyDescent="0.3">
      <c r="A20" s="323">
        <f>A19+1</f>
        <v>14</v>
      </c>
      <c r="B20" s="377" t="s">
        <v>1324</v>
      </c>
      <c r="C20" s="323" t="s">
        <v>220</v>
      </c>
      <c r="D20" s="378">
        <f>266*3</f>
        <v>798</v>
      </c>
      <c r="E20" s="109">
        <v>417.15449999999998</v>
      </c>
      <c r="F20" s="288">
        <f t="shared" si="5"/>
        <v>332889.28999999998</v>
      </c>
      <c r="G20" s="288">
        <f t="shared" ref="G20" si="8">ROUND(F20*1.2,2)</f>
        <v>399467.15</v>
      </c>
      <c r="H20" s="271" t="s">
        <v>1331</v>
      </c>
      <c r="J20" s="438"/>
      <c r="K20" s="438">
        <f t="shared" si="1"/>
        <v>0</v>
      </c>
    </row>
    <row r="21" spans="1:11" ht="41.4" x14ac:dyDescent="0.3">
      <c r="A21" s="323">
        <f>A20+1</f>
        <v>15</v>
      </c>
      <c r="B21" s="377" t="s">
        <v>416</v>
      </c>
      <c r="C21" s="323" t="s">
        <v>194</v>
      </c>
      <c r="D21" s="379">
        <v>31.12</v>
      </c>
      <c r="E21" s="109">
        <v>3358.2129119999995</v>
      </c>
      <c r="F21" s="288">
        <f t="shared" si="5"/>
        <v>104507.59</v>
      </c>
      <c r="G21" s="288">
        <f t="shared" si="6"/>
        <v>125409.11</v>
      </c>
      <c r="H21" s="249"/>
      <c r="J21" s="438"/>
      <c r="K21" s="438">
        <f t="shared" si="1"/>
        <v>0</v>
      </c>
    </row>
    <row r="22" spans="1:11" ht="41.4" x14ac:dyDescent="0.3">
      <c r="A22" s="323">
        <f>A21+1</f>
        <v>16</v>
      </c>
      <c r="B22" s="377" t="s">
        <v>416</v>
      </c>
      <c r="C22" s="323" t="s">
        <v>194</v>
      </c>
      <c r="D22" s="379">
        <v>31.12</v>
      </c>
      <c r="E22" s="109">
        <v>3358.2129119999995</v>
      </c>
      <c r="F22" s="288">
        <f t="shared" si="5"/>
        <v>104507.59</v>
      </c>
      <c r="G22" s="288">
        <f t="shared" ref="G22:G23" si="9">ROUND(F22*1.2,2)</f>
        <v>125409.11</v>
      </c>
      <c r="H22" s="210" t="s">
        <v>1327</v>
      </c>
      <c r="J22" s="438"/>
      <c r="K22" s="438">
        <f t="shared" si="1"/>
        <v>0</v>
      </c>
    </row>
    <row r="23" spans="1:11" ht="41.4" x14ac:dyDescent="0.3">
      <c r="A23" s="323">
        <f t="shared" si="7"/>
        <v>17</v>
      </c>
      <c r="B23" s="377" t="s">
        <v>415</v>
      </c>
      <c r="C23" s="323" t="s">
        <v>194</v>
      </c>
      <c r="D23" s="378">
        <v>25</v>
      </c>
      <c r="E23" s="109">
        <v>2269.7972279999994</v>
      </c>
      <c r="F23" s="288">
        <f t="shared" si="5"/>
        <v>56744.93</v>
      </c>
      <c r="G23" s="288">
        <f t="shared" si="9"/>
        <v>68093.919999999998</v>
      </c>
      <c r="H23" s="210" t="s">
        <v>1332</v>
      </c>
      <c r="J23" s="438"/>
      <c r="K23" s="438">
        <f t="shared" si="1"/>
        <v>0</v>
      </c>
    </row>
    <row r="24" spans="1:11" ht="41.4" x14ac:dyDescent="0.3">
      <c r="A24" s="323">
        <f t="shared" si="7"/>
        <v>18</v>
      </c>
      <c r="B24" s="377" t="s">
        <v>415</v>
      </c>
      <c r="C24" s="323" t="s">
        <v>194</v>
      </c>
      <c r="D24" s="378">
        <v>25</v>
      </c>
      <c r="E24" s="109">
        <v>2269.7972279999994</v>
      </c>
      <c r="F24" s="288">
        <f t="shared" si="5"/>
        <v>56744.93</v>
      </c>
      <c r="G24" s="288">
        <f t="shared" ref="G24" si="10">ROUND(F24*1.2,2)</f>
        <v>68093.919999999998</v>
      </c>
      <c r="H24" s="210" t="s">
        <v>1335</v>
      </c>
      <c r="J24" s="438"/>
      <c r="K24" s="438">
        <f t="shared" si="1"/>
        <v>0</v>
      </c>
    </row>
    <row r="25" spans="1:11" ht="27.6" x14ac:dyDescent="0.3">
      <c r="A25" s="323">
        <f>A21+1</f>
        <v>16</v>
      </c>
      <c r="B25" s="377" t="s">
        <v>417</v>
      </c>
      <c r="C25" s="323" t="s">
        <v>194</v>
      </c>
      <c r="D25" s="379">
        <f>9*4</f>
        <v>36</v>
      </c>
      <c r="E25" s="109">
        <v>2269.7972279999994</v>
      </c>
      <c r="F25" s="288">
        <f t="shared" si="5"/>
        <v>81712.7</v>
      </c>
      <c r="G25" s="288">
        <f t="shared" si="6"/>
        <v>98055.24</v>
      </c>
      <c r="H25" s="209"/>
      <c r="J25" s="438"/>
      <c r="K25" s="438">
        <f t="shared" si="1"/>
        <v>0</v>
      </c>
    </row>
    <row r="26" spans="1:11" ht="48" customHeight="1" x14ac:dyDescent="0.3">
      <c r="A26" s="323">
        <f t="shared" si="7"/>
        <v>17</v>
      </c>
      <c r="B26" s="377" t="s">
        <v>715</v>
      </c>
      <c r="C26" s="323" t="s">
        <v>195</v>
      </c>
      <c r="D26" s="378">
        <v>1</v>
      </c>
      <c r="E26" s="109">
        <v>270959.72579999996</v>
      </c>
      <c r="F26" s="288">
        <f t="shared" si="5"/>
        <v>270959.73</v>
      </c>
      <c r="G26" s="288">
        <f t="shared" si="6"/>
        <v>325151.68</v>
      </c>
      <c r="J26" s="438"/>
      <c r="K26" s="438">
        <f t="shared" si="1"/>
        <v>0</v>
      </c>
    </row>
    <row r="27" spans="1:11" ht="48" customHeight="1" x14ac:dyDescent="0.3">
      <c r="A27" s="323">
        <f t="shared" si="7"/>
        <v>18</v>
      </c>
      <c r="B27" s="377" t="s">
        <v>714</v>
      </c>
      <c r="C27" s="323" t="s">
        <v>193</v>
      </c>
      <c r="D27" s="378">
        <v>796</v>
      </c>
      <c r="E27" s="109">
        <v>418.34637000000004</v>
      </c>
      <c r="F27" s="288">
        <f t="shared" si="5"/>
        <v>333003.71000000002</v>
      </c>
      <c r="G27" s="288">
        <f t="shared" si="6"/>
        <v>399604.45</v>
      </c>
      <c r="J27" s="438"/>
      <c r="K27" s="438">
        <f t="shared" si="1"/>
        <v>0</v>
      </c>
    </row>
    <row r="28" spans="1:11" ht="41.4" x14ac:dyDescent="0.3">
      <c r="A28" s="323">
        <f t="shared" si="7"/>
        <v>19</v>
      </c>
      <c r="B28" s="377" t="s">
        <v>418</v>
      </c>
      <c r="C28" s="323" t="s">
        <v>195</v>
      </c>
      <c r="D28" s="378">
        <v>2</v>
      </c>
      <c r="E28" s="109">
        <v>308932.70400000003</v>
      </c>
      <c r="F28" s="288">
        <f t="shared" si="5"/>
        <v>617865.41</v>
      </c>
      <c r="G28" s="288">
        <f t="shared" si="6"/>
        <v>741438.49</v>
      </c>
      <c r="J28" s="438"/>
      <c r="K28" s="438">
        <f t="shared" si="1"/>
        <v>0</v>
      </c>
    </row>
    <row r="29" spans="1:11" ht="41.4" x14ac:dyDescent="0.3">
      <c r="A29" s="323">
        <f t="shared" si="7"/>
        <v>20</v>
      </c>
      <c r="B29" s="377" t="s">
        <v>419</v>
      </c>
      <c r="C29" s="323" t="s">
        <v>195</v>
      </c>
      <c r="D29" s="378">
        <v>1</v>
      </c>
      <c r="E29" s="109">
        <v>308932.70400000003</v>
      </c>
      <c r="F29" s="288">
        <f t="shared" si="5"/>
        <v>308932.7</v>
      </c>
      <c r="G29" s="288">
        <f t="shared" si="6"/>
        <v>370719.24</v>
      </c>
      <c r="J29" s="438"/>
      <c r="K29" s="438">
        <f t="shared" si="1"/>
        <v>0</v>
      </c>
    </row>
    <row r="30" spans="1:11" ht="41.4" x14ac:dyDescent="0.3">
      <c r="A30" s="323">
        <f t="shared" si="7"/>
        <v>21</v>
      </c>
      <c r="B30" s="377" t="s">
        <v>420</v>
      </c>
      <c r="C30" s="323" t="s">
        <v>195</v>
      </c>
      <c r="D30" s="378">
        <v>2</v>
      </c>
      <c r="E30" s="109">
        <v>248496.313536</v>
      </c>
      <c r="F30" s="288">
        <f t="shared" si="5"/>
        <v>496992.63</v>
      </c>
      <c r="G30" s="288">
        <f t="shared" si="6"/>
        <v>596391.16</v>
      </c>
      <c r="J30" s="438"/>
      <c r="K30" s="438">
        <f t="shared" si="1"/>
        <v>0</v>
      </c>
    </row>
    <row r="31" spans="1:11" ht="41.4" x14ac:dyDescent="0.3">
      <c r="A31" s="323">
        <f t="shared" si="7"/>
        <v>22</v>
      </c>
      <c r="B31" s="377" t="s">
        <v>421</v>
      </c>
      <c r="C31" s="323" t="s">
        <v>195</v>
      </c>
      <c r="D31" s="378">
        <v>1</v>
      </c>
      <c r="E31" s="109">
        <v>248496.313536</v>
      </c>
      <c r="F31" s="288">
        <f t="shared" si="5"/>
        <v>248496.31</v>
      </c>
      <c r="G31" s="288">
        <f t="shared" si="6"/>
        <v>298195.57</v>
      </c>
      <c r="J31" s="438"/>
      <c r="K31" s="438">
        <f t="shared" si="1"/>
        <v>0</v>
      </c>
    </row>
    <row r="32" spans="1:11" ht="41.4" x14ac:dyDescent="0.3">
      <c r="A32" s="323">
        <f t="shared" si="7"/>
        <v>23</v>
      </c>
      <c r="B32" s="377" t="s">
        <v>422</v>
      </c>
      <c r="C32" s="323" t="s">
        <v>195</v>
      </c>
      <c r="D32" s="378">
        <v>3</v>
      </c>
      <c r="E32" s="109">
        <v>248496.313536</v>
      </c>
      <c r="F32" s="288">
        <f t="shared" si="5"/>
        <v>745488.94</v>
      </c>
      <c r="G32" s="288">
        <f t="shared" si="6"/>
        <v>894586.73</v>
      </c>
      <c r="J32" s="438"/>
      <c r="K32" s="438">
        <f t="shared" si="1"/>
        <v>0</v>
      </c>
    </row>
    <row r="33" spans="1:11" x14ac:dyDescent="0.3">
      <c r="A33" s="323">
        <f>A32+1</f>
        <v>24</v>
      </c>
      <c r="B33" s="377" t="s">
        <v>124</v>
      </c>
      <c r="C33" s="323" t="s">
        <v>178</v>
      </c>
      <c r="D33" s="378">
        <v>4</v>
      </c>
      <c r="E33" s="109">
        <v>114419.52</v>
      </c>
      <c r="F33" s="288">
        <f t="shared" si="5"/>
        <v>457678.08000000002</v>
      </c>
      <c r="G33" s="288">
        <f t="shared" si="6"/>
        <v>549213.69999999995</v>
      </c>
      <c r="J33" s="438"/>
      <c r="K33" s="438">
        <f t="shared" si="1"/>
        <v>0</v>
      </c>
    </row>
    <row r="34" spans="1:11" x14ac:dyDescent="0.3">
      <c r="A34" s="323">
        <f t="shared" si="7"/>
        <v>25</v>
      </c>
      <c r="B34" s="377" t="s">
        <v>423</v>
      </c>
      <c r="C34" s="323" t="s">
        <v>194</v>
      </c>
      <c r="D34" s="378">
        <v>28</v>
      </c>
      <c r="E34" s="109">
        <v>6007.0248000000001</v>
      </c>
      <c r="F34" s="288">
        <f t="shared" si="5"/>
        <v>168196.69</v>
      </c>
      <c r="G34" s="288">
        <f t="shared" si="6"/>
        <v>201836.03</v>
      </c>
      <c r="J34" s="438"/>
      <c r="K34" s="438">
        <f t="shared" si="1"/>
        <v>0</v>
      </c>
    </row>
    <row r="35" spans="1:11" x14ac:dyDescent="0.3">
      <c r="A35" s="99"/>
      <c r="B35" s="561" t="s">
        <v>721</v>
      </c>
      <c r="C35" s="562"/>
      <c r="D35" s="562"/>
      <c r="E35" s="563"/>
      <c r="F35" s="110">
        <f>SUM(F5:F34)</f>
        <v>48457614.270000003</v>
      </c>
      <c r="G35" s="318">
        <f>SUM(G5:G34)</f>
        <v>58149137.150000006</v>
      </c>
      <c r="J35" s="438"/>
      <c r="K35" s="436">
        <f>SUM(K5:K34)</f>
        <v>0</v>
      </c>
    </row>
    <row r="36" spans="1:11" x14ac:dyDescent="0.3">
      <c r="J36" s="438"/>
      <c r="K36" s="436">
        <f>SUM(K5:K35)</f>
        <v>0</v>
      </c>
    </row>
  </sheetData>
  <mergeCells count="14">
    <mergeCell ref="J1:J3"/>
    <mergeCell ref="K1:K3"/>
    <mergeCell ref="H18:H19"/>
    <mergeCell ref="B35:E35"/>
    <mergeCell ref="A15:B15"/>
    <mergeCell ref="A9:B9"/>
    <mergeCell ref="A1:A2"/>
    <mergeCell ref="B1:B2"/>
    <mergeCell ref="C1:C2"/>
    <mergeCell ref="D1:D2"/>
    <mergeCell ref="E1:E2"/>
    <mergeCell ref="F1:F2"/>
    <mergeCell ref="G1:G2"/>
    <mergeCell ref="A4:B4"/>
  </mergeCells>
  <pageMargins left="0.7" right="0.7" top="0.75" bottom="0.7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L30"/>
  <sheetViews>
    <sheetView zoomScale="85" zoomScaleNormal="85" zoomScaleSheetLayoutView="85" workbookViewId="0">
      <pane ySplit="2" topLeftCell="A3" activePane="bottomLeft" state="frozen"/>
      <selection pane="bottomLeft" activeCell="J1" sqref="J1:K1048576"/>
    </sheetView>
  </sheetViews>
  <sheetFormatPr defaultRowHeight="14.4" x14ac:dyDescent="0.3"/>
  <cols>
    <col min="1" max="1" width="4.21875" customWidth="1"/>
    <col min="2" max="2" width="60.88671875" style="2" bestFit="1" customWidth="1"/>
    <col min="4" max="4" width="11.44140625" bestFit="1" customWidth="1"/>
    <col min="5" max="5" width="12.88671875" style="52" customWidth="1"/>
    <col min="6" max="6" width="16.21875" customWidth="1"/>
    <col min="7" max="7" width="17" customWidth="1"/>
    <col min="8" max="8" width="11.109375" customWidth="1"/>
    <col min="10" max="11" width="17" style="440" customWidth="1"/>
  </cols>
  <sheetData>
    <row r="1" spans="1:12" ht="28.95" customHeight="1" x14ac:dyDescent="0.3">
      <c r="A1" s="568" t="s">
        <v>226</v>
      </c>
      <c r="B1" s="539" t="s">
        <v>201</v>
      </c>
      <c r="C1" s="570" t="s">
        <v>705</v>
      </c>
      <c r="D1" s="570" t="s">
        <v>202</v>
      </c>
      <c r="E1" s="572" t="s">
        <v>704</v>
      </c>
      <c r="F1" s="568" t="s">
        <v>197</v>
      </c>
      <c r="G1" s="568" t="s">
        <v>199</v>
      </c>
      <c r="J1" s="536" t="s">
        <v>1657</v>
      </c>
      <c r="K1" s="536" t="s">
        <v>1658</v>
      </c>
    </row>
    <row r="2" spans="1:12" s="54" customFormat="1" ht="20.7" customHeight="1" x14ac:dyDescent="0.3">
      <c r="A2" s="569"/>
      <c r="B2" s="541"/>
      <c r="C2" s="571"/>
      <c r="D2" s="571"/>
      <c r="E2" s="573"/>
      <c r="F2" s="569"/>
      <c r="G2" s="569"/>
      <c r="I2"/>
      <c r="J2" s="536"/>
      <c r="K2" s="536"/>
      <c r="L2" s="381"/>
    </row>
    <row r="3" spans="1:12" ht="12.7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536"/>
      <c r="K3" s="536"/>
      <c r="L3" s="381"/>
    </row>
    <row r="4" spans="1:12" x14ac:dyDescent="0.3">
      <c r="A4" s="413">
        <v>1</v>
      </c>
      <c r="B4" s="414" t="s">
        <v>161</v>
      </c>
      <c r="C4" s="415" t="s">
        <v>193</v>
      </c>
      <c r="D4" s="415">
        <v>598.14</v>
      </c>
      <c r="E4" s="315">
        <v>1396.1632041</v>
      </c>
      <c r="F4" s="288">
        <f t="shared" ref="F4:F29" si="0">ROUND(E4*D4,2)</f>
        <v>835101.06</v>
      </c>
      <c r="G4" s="288">
        <f>ROUND(F4*1.2,2)</f>
        <v>1002121.27</v>
      </c>
      <c r="J4" s="437"/>
      <c r="K4" s="437"/>
      <c r="L4" s="381"/>
    </row>
    <row r="5" spans="1:12" x14ac:dyDescent="0.3">
      <c r="A5" s="413">
        <f>A4+1</f>
        <v>2</v>
      </c>
      <c r="B5" s="414" t="s">
        <v>179</v>
      </c>
      <c r="C5" s="415" t="s">
        <v>193</v>
      </c>
      <c r="D5" s="416">
        <f>6232.7889+504.9</f>
        <v>6737.6888999999992</v>
      </c>
      <c r="E5" s="315">
        <v>5692.0717958999994</v>
      </c>
      <c r="F5" s="288">
        <f t="shared" si="0"/>
        <v>38351408.960000001</v>
      </c>
      <c r="G5" s="288">
        <f t="shared" ref="G5:G27" si="1">ROUND(F5*1.2,2)</f>
        <v>46021690.75</v>
      </c>
      <c r="J5" s="438"/>
      <c r="K5" s="438">
        <f>E5*J5*1.2</f>
        <v>0</v>
      </c>
    </row>
    <row r="6" spans="1:12" x14ac:dyDescent="0.3">
      <c r="A6" s="413">
        <f>A5+1</f>
        <v>3</v>
      </c>
      <c r="B6" s="414" t="s">
        <v>180</v>
      </c>
      <c r="C6" s="415" t="s">
        <v>431</v>
      </c>
      <c r="D6" s="417">
        <v>6000</v>
      </c>
      <c r="E6" s="315">
        <v>197.60710410000002</v>
      </c>
      <c r="F6" s="288">
        <f t="shared" si="0"/>
        <v>1185642.6200000001</v>
      </c>
      <c r="G6" s="288">
        <f t="shared" si="1"/>
        <v>1422771.14</v>
      </c>
      <c r="J6" s="438"/>
      <c r="K6" s="438">
        <f t="shared" ref="K6:K29" si="2">E6*J6*1.2</f>
        <v>0</v>
      </c>
    </row>
    <row r="7" spans="1:12" x14ac:dyDescent="0.3">
      <c r="A7" s="413">
        <f t="shared" ref="A7:A29" si="3">A6+1</f>
        <v>4</v>
      </c>
      <c r="B7" s="414" t="s">
        <v>181</v>
      </c>
      <c r="C7" s="415" t="s">
        <v>194</v>
      </c>
      <c r="D7" s="315">
        <v>36</v>
      </c>
      <c r="E7" s="315">
        <v>17720.587500000001</v>
      </c>
      <c r="F7" s="288">
        <f t="shared" si="0"/>
        <v>637941.15</v>
      </c>
      <c r="G7" s="288">
        <f t="shared" si="1"/>
        <v>765529.38</v>
      </c>
      <c r="H7" s="209"/>
      <c r="I7" s="418"/>
      <c r="J7" s="438"/>
      <c r="K7" s="438">
        <f t="shared" si="2"/>
        <v>0</v>
      </c>
    </row>
    <row r="8" spans="1:12" ht="27.6" x14ac:dyDescent="0.3">
      <c r="A8" s="413">
        <f>A7+1</f>
        <v>5</v>
      </c>
      <c r="B8" s="414" t="s">
        <v>182</v>
      </c>
      <c r="C8" s="415" t="s">
        <v>194</v>
      </c>
      <c r="D8" s="417">
        <v>1211</v>
      </c>
      <c r="E8" s="315">
        <v>34058.973170186997</v>
      </c>
      <c r="F8" s="288">
        <f t="shared" si="0"/>
        <v>41245416.509999998</v>
      </c>
      <c r="G8" s="288">
        <f t="shared" si="1"/>
        <v>49494499.810000002</v>
      </c>
      <c r="H8" s="560"/>
      <c r="J8" s="438"/>
      <c r="K8" s="438">
        <f t="shared" si="2"/>
        <v>0</v>
      </c>
    </row>
    <row r="9" spans="1:12" ht="27.6" x14ac:dyDescent="0.3">
      <c r="A9" s="413">
        <f t="shared" si="3"/>
        <v>6</v>
      </c>
      <c r="B9" s="414" t="s">
        <v>183</v>
      </c>
      <c r="C9" s="415" t="s">
        <v>194</v>
      </c>
      <c r="D9" s="417">
        <v>688</v>
      </c>
      <c r="E9" s="315">
        <v>38453.670879812998</v>
      </c>
      <c r="F9" s="288">
        <f t="shared" si="0"/>
        <v>26456125.57</v>
      </c>
      <c r="G9" s="288">
        <f t="shared" si="1"/>
        <v>31747350.68</v>
      </c>
      <c r="H9" s="560"/>
      <c r="J9" s="438"/>
      <c r="K9" s="438">
        <f t="shared" si="2"/>
        <v>0</v>
      </c>
    </row>
    <row r="10" spans="1:12" x14ac:dyDescent="0.3">
      <c r="A10" s="413">
        <f t="shared" si="3"/>
        <v>7</v>
      </c>
      <c r="B10" s="414" t="s">
        <v>706</v>
      </c>
      <c r="C10" s="415" t="s">
        <v>178</v>
      </c>
      <c r="D10" s="417">
        <f>620*6</f>
        <v>3720</v>
      </c>
      <c r="E10" s="315">
        <v>214.79929589999998</v>
      </c>
      <c r="F10" s="288">
        <f t="shared" si="0"/>
        <v>799053.38</v>
      </c>
      <c r="G10" s="288">
        <f t="shared" si="1"/>
        <v>958864.06</v>
      </c>
      <c r="J10" s="438"/>
      <c r="K10" s="438">
        <f t="shared" si="2"/>
        <v>0</v>
      </c>
    </row>
    <row r="11" spans="1:12" x14ac:dyDescent="0.3">
      <c r="A11" s="413">
        <f t="shared" si="3"/>
        <v>8</v>
      </c>
      <c r="B11" s="414" t="s">
        <v>707</v>
      </c>
      <c r="C11" s="415" t="s">
        <v>178</v>
      </c>
      <c r="D11" s="417">
        <v>620</v>
      </c>
      <c r="E11" s="315">
        <v>6273.0879750000004</v>
      </c>
      <c r="F11" s="288">
        <f t="shared" si="0"/>
        <v>3889314.54</v>
      </c>
      <c r="G11" s="288">
        <f t="shared" si="1"/>
        <v>4667177.45</v>
      </c>
      <c r="H11" s="209"/>
      <c r="J11" s="438"/>
      <c r="K11" s="438">
        <f t="shared" si="2"/>
        <v>0</v>
      </c>
    </row>
    <row r="12" spans="1:12" ht="27.6" x14ac:dyDescent="0.3">
      <c r="A12" s="413">
        <f t="shared" si="3"/>
        <v>9</v>
      </c>
      <c r="B12" s="414" t="s">
        <v>184</v>
      </c>
      <c r="C12" s="415" t="s">
        <v>194</v>
      </c>
      <c r="D12" s="415">
        <f>6*12.5/2</f>
        <v>37.5</v>
      </c>
      <c r="E12" s="315">
        <v>32960.292750000001</v>
      </c>
      <c r="F12" s="288">
        <f t="shared" si="0"/>
        <v>1236010.98</v>
      </c>
      <c r="G12" s="288">
        <f t="shared" si="1"/>
        <v>1483213.18</v>
      </c>
      <c r="H12" s="249"/>
      <c r="J12" s="438"/>
      <c r="K12" s="438">
        <f t="shared" si="2"/>
        <v>0</v>
      </c>
    </row>
    <row r="13" spans="1:12" ht="27.6" x14ac:dyDescent="0.3">
      <c r="A13" s="413">
        <f t="shared" si="3"/>
        <v>10</v>
      </c>
      <c r="B13" s="414" t="s">
        <v>184</v>
      </c>
      <c r="C13" s="415" t="s">
        <v>194</v>
      </c>
      <c r="D13" s="415">
        <f>6*12.5/2</f>
        <v>37.5</v>
      </c>
      <c r="E13" s="315">
        <v>32960.292750000001</v>
      </c>
      <c r="F13" s="288">
        <f t="shared" si="0"/>
        <v>1236010.98</v>
      </c>
      <c r="G13" s="288">
        <f t="shared" ref="G13:G14" si="4">ROUND(F13*1.2,2)</f>
        <v>1483213.18</v>
      </c>
      <c r="H13" s="210" t="s">
        <v>1330</v>
      </c>
      <c r="J13" s="438"/>
      <c r="K13" s="438">
        <f t="shared" si="2"/>
        <v>0</v>
      </c>
    </row>
    <row r="14" spans="1:12" ht="27.6" x14ac:dyDescent="0.3">
      <c r="A14" s="413">
        <f t="shared" si="3"/>
        <v>11</v>
      </c>
      <c r="B14" s="414" t="s">
        <v>183</v>
      </c>
      <c r="C14" s="415" t="s">
        <v>194</v>
      </c>
      <c r="D14" s="417">
        <v>25</v>
      </c>
      <c r="E14" s="315">
        <v>38453.670879812998</v>
      </c>
      <c r="F14" s="288">
        <f t="shared" si="0"/>
        <v>961341.77</v>
      </c>
      <c r="G14" s="288">
        <f t="shared" si="4"/>
        <v>1153610.1200000001</v>
      </c>
      <c r="H14" s="210" t="s">
        <v>1333</v>
      </c>
      <c r="J14" s="438"/>
      <c r="K14" s="438">
        <f t="shared" si="2"/>
        <v>0</v>
      </c>
    </row>
    <row r="15" spans="1:12" x14ac:dyDescent="0.3">
      <c r="A15" s="413">
        <f>A12+1</f>
        <v>10</v>
      </c>
      <c r="B15" s="414" t="s">
        <v>708</v>
      </c>
      <c r="C15" s="415" t="s">
        <v>178</v>
      </c>
      <c r="D15" s="415">
        <f>14*6</f>
        <v>84</v>
      </c>
      <c r="E15" s="315">
        <v>154.6524</v>
      </c>
      <c r="F15" s="288">
        <f t="shared" si="0"/>
        <v>12990.8</v>
      </c>
      <c r="G15" s="288">
        <f t="shared" si="1"/>
        <v>15588.96</v>
      </c>
      <c r="H15" s="560"/>
      <c r="J15" s="438"/>
      <c r="K15" s="438">
        <f t="shared" si="2"/>
        <v>0</v>
      </c>
    </row>
    <row r="16" spans="1:12" x14ac:dyDescent="0.3">
      <c r="A16" s="413">
        <f t="shared" si="3"/>
        <v>11</v>
      </c>
      <c r="B16" s="414" t="s">
        <v>709</v>
      </c>
      <c r="C16" s="415" t="s">
        <v>178</v>
      </c>
      <c r="D16" s="415">
        <v>14</v>
      </c>
      <c r="E16" s="315">
        <v>6209.7191541000002</v>
      </c>
      <c r="F16" s="288">
        <f t="shared" si="0"/>
        <v>86936.07</v>
      </c>
      <c r="G16" s="288">
        <f t="shared" si="1"/>
        <v>104323.28</v>
      </c>
      <c r="H16" s="560"/>
      <c r="J16" s="438"/>
      <c r="K16" s="438">
        <f t="shared" si="2"/>
        <v>0</v>
      </c>
    </row>
    <row r="17" spans="1:11" ht="27.6" x14ac:dyDescent="0.3">
      <c r="A17" s="413">
        <f t="shared" si="3"/>
        <v>12</v>
      </c>
      <c r="B17" s="414" t="s">
        <v>185</v>
      </c>
      <c r="C17" s="415" t="s">
        <v>195</v>
      </c>
      <c r="D17" s="417">
        <v>1</v>
      </c>
      <c r="E17" s="315">
        <v>1610962.5</v>
      </c>
      <c r="F17" s="288">
        <f t="shared" si="0"/>
        <v>1610962.5</v>
      </c>
      <c r="G17" s="288">
        <f t="shared" si="1"/>
        <v>1933155</v>
      </c>
      <c r="J17" s="438"/>
      <c r="K17" s="438">
        <f t="shared" si="2"/>
        <v>0</v>
      </c>
    </row>
    <row r="18" spans="1:11" x14ac:dyDescent="0.3">
      <c r="A18" s="413">
        <f t="shared" si="3"/>
        <v>13</v>
      </c>
      <c r="B18" s="414" t="s">
        <v>1252</v>
      </c>
      <c r="C18" s="415" t="s">
        <v>178</v>
      </c>
      <c r="D18" s="417">
        <v>31</v>
      </c>
      <c r="E18" s="315">
        <v>0</v>
      </c>
      <c r="F18" s="288">
        <f t="shared" si="0"/>
        <v>0</v>
      </c>
      <c r="G18" s="288">
        <f t="shared" ref="G18:G19" si="5">ROUND(F18*1.2,2)</f>
        <v>0</v>
      </c>
      <c r="H18" s="560" t="s">
        <v>1626</v>
      </c>
      <c r="J18" s="438"/>
      <c r="K18" s="438">
        <f t="shared" si="2"/>
        <v>0</v>
      </c>
    </row>
    <row r="19" spans="1:11" x14ac:dyDescent="0.3">
      <c r="A19" s="413">
        <f t="shared" si="3"/>
        <v>14</v>
      </c>
      <c r="B19" s="414" t="s">
        <v>1253</v>
      </c>
      <c r="C19" s="415" t="s">
        <v>178</v>
      </c>
      <c r="D19" s="417">
        <v>89</v>
      </c>
      <c r="E19" s="315">
        <v>0</v>
      </c>
      <c r="F19" s="288">
        <f t="shared" si="0"/>
        <v>0</v>
      </c>
      <c r="G19" s="288">
        <f t="shared" si="5"/>
        <v>0</v>
      </c>
      <c r="H19" s="560"/>
      <c r="J19" s="438"/>
      <c r="K19" s="438">
        <f t="shared" si="2"/>
        <v>0</v>
      </c>
    </row>
    <row r="20" spans="1:11" s="56" customFormat="1" ht="27.6" x14ac:dyDescent="0.3">
      <c r="A20" s="413">
        <f t="shared" si="3"/>
        <v>15</v>
      </c>
      <c r="B20" s="414" t="s">
        <v>186</v>
      </c>
      <c r="C20" s="415" t="s">
        <v>195</v>
      </c>
      <c r="D20" s="417">
        <v>2</v>
      </c>
      <c r="E20" s="315">
        <v>5163779.1935048141</v>
      </c>
      <c r="F20" s="288">
        <f t="shared" si="0"/>
        <v>10327558.390000001</v>
      </c>
      <c r="G20" s="288">
        <f t="shared" si="1"/>
        <v>12393070.07</v>
      </c>
      <c r="H20" s="282"/>
      <c r="J20" s="438"/>
      <c r="K20" s="438">
        <f t="shared" si="2"/>
        <v>0</v>
      </c>
    </row>
    <row r="21" spans="1:11" s="56" customFormat="1" ht="27.6" x14ac:dyDescent="0.3">
      <c r="A21" s="413">
        <f t="shared" si="3"/>
        <v>16</v>
      </c>
      <c r="B21" s="414" t="s">
        <v>187</v>
      </c>
      <c r="C21" s="415" t="s">
        <v>195</v>
      </c>
      <c r="D21" s="417">
        <v>1</v>
      </c>
      <c r="E21" s="315">
        <v>5163779.1935048141</v>
      </c>
      <c r="F21" s="288">
        <f t="shared" si="0"/>
        <v>5163779.1900000004</v>
      </c>
      <c r="G21" s="288">
        <f t="shared" si="1"/>
        <v>6196535.0300000003</v>
      </c>
      <c r="H21" s="282"/>
      <c r="J21" s="438"/>
      <c r="K21" s="438">
        <f t="shared" si="2"/>
        <v>0</v>
      </c>
    </row>
    <row r="22" spans="1:11" s="56" customFormat="1" ht="27.6" x14ac:dyDescent="0.3">
      <c r="A22" s="413">
        <f t="shared" si="3"/>
        <v>17</v>
      </c>
      <c r="B22" s="414" t="s">
        <v>189</v>
      </c>
      <c r="C22" s="415" t="s">
        <v>195</v>
      </c>
      <c r="D22" s="417">
        <v>2</v>
      </c>
      <c r="E22" s="315">
        <v>4174970.4110048139</v>
      </c>
      <c r="F22" s="288">
        <f t="shared" si="0"/>
        <v>8349940.8200000003</v>
      </c>
      <c r="G22" s="288">
        <f t="shared" si="1"/>
        <v>10019928.98</v>
      </c>
      <c r="H22" s="282"/>
      <c r="J22" s="438"/>
      <c r="K22" s="438">
        <f t="shared" si="2"/>
        <v>0</v>
      </c>
    </row>
    <row r="23" spans="1:11" s="56" customFormat="1" ht="27.6" x14ac:dyDescent="0.3">
      <c r="A23" s="413">
        <f t="shared" si="3"/>
        <v>18</v>
      </c>
      <c r="B23" s="414" t="s">
        <v>188</v>
      </c>
      <c r="C23" s="415" t="s">
        <v>195</v>
      </c>
      <c r="D23" s="417">
        <v>1</v>
      </c>
      <c r="E23" s="315">
        <v>4174970.4110048139</v>
      </c>
      <c r="F23" s="288">
        <f t="shared" si="0"/>
        <v>4174970.41</v>
      </c>
      <c r="G23" s="288">
        <f t="shared" si="1"/>
        <v>5009964.49</v>
      </c>
      <c r="H23" s="282"/>
      <c r="J23" s="438"/>
      <c r="K23" s="438">
        <f t="shared" si="2"/>
        <v>0</v>
      </c>
    </row>
    <row r="24" spans="1:11" s="56" customFormat="1" ht="27.6" x14ac:dyDescent="0.3">
      <c r="A24" s="413">
        <f t="shared" si="3"/>
        <v>19</v>
      </c>
      <c r="B24" s="414" t="s">
        <v>190</v>
      </c>
      <c r="C24" s="415" t="s">
        <v>195</v>
      </c>
      <c r="D24" s="417">
        <v>3</v>
      </c>
      <c r="E24" s="315">
        <v>2911492.5302451868</v>
      </c>
      <c r="F24" s="288">
        <f t="shared" si="0"/>
        <v>8734477.5899999999</v>
      </c>
      <c r="G24" s="288">
        <f t="shared" si="1"/>
        <v>10481373.109999999</v>
      </c>
      <c r="J24" s="438"/>
      <c r="K24" s="438">
        <f t="shared" si="2"/>
        <v>0</v>
      </c>
    </row>
    <row r="25" spans="1:11" s="56" customFormat="1" ht="19.5" customHeight="1" x14ac:dyDescent="0.3">
      <c r="A25" s="413">
        <f t="shared" si="3"/>
        <v>20</v>
      </c>
      <c r="B25" s="414" t="s">
        <v>1328</v>
      </c>
      <c r="C25" s="415" t="s">
        <v>178</v>
      </c>
      <c r="D25" s="417">
        <v>9</v>
      </c>
      <c r="E25" s="315">
        <v>64425.612300000008</v>
      </c>
      <c r="F25" s="288">
        <f t="shared" si="0"/>
        <v>579830.51</v>
      </c>
      <c r="G25" s="288">
        <f t="shared" si="1"/>
        <v>695796.61</v>
      </c>
      <c r="H25" s="272" t="s">
        <v>1329</v>
      </c>
      <c r="J25" s="438"/>
      <c r="K25" s="438">
        <f t="shared" si="2"/>
        <v>0</v>
      </c>
    </row>
    <row r="26" spans="1:11" x14ac:dyDescent="0.3">
      <c r="A26" s="413">
        <f t="shared" si="3"/>
        <v>21</v>
      </c>
      <c r="B26" s="414" t="s">
        <v>191</v>
      </c>
      <c r="C26" s="415" t="s">
        <v>178</v>
      </c>
      <c r="D26" s="417">
        <v>3</v>
      </c>
      <c r="E26" s="315">
        <v>165392.14570410002</v>
      </c>
      <c r="F26" s="288">
        <f t="shared" si="0"/>
        <v>496176.44</v>
      </c>
      <c r="G26" s="288">
        <f t="shared" si="1"/>
        <v>595411.73</v>
      </c>
      <c r="J26" s="438"/>
      <c r="K26" s="438">
        <f t="shared" si="2"/>
        <v>0</v>
      </c>
    </row>
    <row r="27" spans="1:11" x14ac:dyDescent="0.3">
      <c r="A27" s="413">
        <f t="shared" si="3"/>
        <v>22</v>
      </c>
      <c r="B27" s="414" t="s">
        <v>192</v>
      </c>
      <c r="C27" s="415" t="s">
        <v>178</v>
      </c>
      <c r="D27" s="417">
        <v>1</v>
      </c>
      <c r="E27" s="315">
        <v>85918.004295899998</v>
      </c>
      <c r="F27" s="288">
        <f t="shared" si="0"/>
        <v>85918</v>
      </c>
      <c r="G27" s="288">
        <f t="shared" si="1"/>
        <v>103101.6</v>
      </c>
      <c r="J27" s="438"/>
      <c r="K27" s="438">
        <f t="shared" si="2"/>
        <v>0</v>
      </c>
    </row>
    <row r="28" spans="1:11" x14ac:dyDescent="0.3">
      <c r="A28" s="413">
        <f t="shared" si="3"/>
        <v>23</v>
      </c>
      <c r="B28" s="414" t="s">
        <v>734</v>
      </c>
      <c r="C28" s="415" t="s">
        <v>193</v>
      </c>
      <c r="D28" s="417">
        <v>80</v>
      </c>
      <c r="E28" s="315">
        <v>2037.54537</v>
      </c>
      <c r="F28" s="288">
        <f t="shared" si="0"/>
        <v>163003.63</v>
      </c>
      <c r="G28" s="288">
        <f t="shared" ref="G28" si="6">ROUND(F28*1.2,2)</f>
        <v>195604.36</v>
      </c>
      <c r="J28" s="438"/>
      <c r="K28" s="438">
        <f t="shared" si="2"/>
        <v>0</v>
      </c>
    </row>
    <row r="29" spans="1:11" x14ac:dyDescent="0.3">
      <c r="A29" s="413">
        <f t="shared" si="3"/>
        <v>24</v>
      </c>
      <c r="B29" s="414" t="s">
        <v>719</v>
      </c>
      <c r="C29" s="415" t="s">
        <v>735</v>
      </c>
      <c r="D29" s="417">
        <v>1</v>
      </c>
      <c r="E29" s="315">
        <v>425294.10000000003</v>
      </c>
      <c r="F29" s="288">
        <f t="shared" si="0"/>
        <v>425294.1</v>
      </c>
      <c r="G29" s="288">
        <f t="shared" ref="G29" si="7">ROUND(F29*1.2,2)</f>
        <v>510352.92</v>
      </c>
      <c r="J29" s="438"/>
      <c r="K29" s="438">
        <f t="shared" si="2"/>
        <v>0</v>
      </c>
    </row>
    <row r="30" spans="1:11" s="1" customFormat="1" x14ac:dyDescent="0.3">
      <c r="A30" s="93"/>
      <c r="B30" s="561" t="s">
        <v>721</v>
      </c>
      <c r="C30" s="562"/>
      <c r="D30" s="562"/>
      <c r="E30" s="563"/>
      <c r="F30" s="110">
        <f>SUM(F4:F29)</f>
        <v>157045205.96999997</v>
      </c>
      <c r="G30" s="110">
        <f>SUM(G4:G29)</f>
        <v>188454247.16</v>
      </c>
      <c r="J30" s="438"/>
      <c r="K30" s="436">
        <f>SUM(K4:K29)</f>
        <v>0</v>
      </c>
    </row>
  </sheetData>
  <mergeCells count="13">
    <mergeCell ref="J1:J3"/>
    <mergeCell ref="K1:K3"/>
    <mergeCell ref="H15:H16"/>
    <mergeCell ref="H8:H9"/>
    <mergeCell ref="B30:E30"/>
    <mergeCell ref="A1:A2"/>
    <mergeCell ref="B1:B2"/>
    <mergeCell ref="C1:C2"/>
    <mergeCell ref="D1:D2"/>
    <mergeCell ref="H18:H19"/>
    <mergeCell ref="G1:G2"/>
    <mergeCell ref="F1:F2"/>
    <mergeCell ref="E1:E2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109375" customWidth="1"/>
    <col min="2" max="2" width="61.5546875" customWidth="1"/>
    <col min="5" max="5" width="11.21875" bestFit="1" customWidth="1"/>
    <col min="6" max="6" width="14" style="15" customWidth="1"/>
    <col min="7" max="7" width="13.6640625" style="15" customWidth="1"/>
    <col min="8" max="8" width="14.21875" bestFit="1" customWidth="1"/>
  </cols>
  <sheetData>
    <row r="1" spans="1:7" s="1" customFormat="1" x14ac:dyDescent="0.3">
      <c r="A1" s="576" t="s">
        <v>200</v>
      </c>
      <c r="B1" s="576" t="s">
        <v>227</v>
      </c>
      <c r="C1" s="576" t="s">
        <v>411</v>
      </c>
      <c r="D1" s="576" t="s">
        <v>202</v>
      </c>
      <c r="E1" s="556" t="s">
        <v>703</v>
      </c>
      <c r="F1" s="556"/>
      <c r="G1" s="556"/>
    </row>
    <row r="2" spans="1:7" ht="26.4" x14ac:dyDescent="0.3">
      <c r="A2" s="576"/>
      <c r="B2" s="576"/>
      <c r="C2" s="576"/>
      <c r="D2" s="576"/>
      <c r="E2" s="90" t="s">
        <v>412</v>
      </c>
      <c r="F2" s="111" t="s">
        <v>438</v>
      </c>
      <c r="G2" s="112" t="s">
        <v>409</v>
      </c>
    </row>
    <row r="3" spans="1:7" ht="12.7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</row>
    <row r="4" spans="1:7" ht="14.55" customHeight="1" x14ac:dyDescent="0.3">
      <c r="A4" s="574" t="s">
        <v>713</v>
      </c>
      <c r="B4" s="575"/>
      <c r="C4" s="119"/>
      <c r="D4" s="121"/>
      <c r="E4" s="119"/>
      <c r="F4" s="119"/>
      <c r="G4" s="122"/>
    </row>
    <row r="5" spans="1:7" x14ac:dyDescent="0.3">
      <c r="A5" s="106">
        <v>1</v>
      </c>
      <c r="B5" s="107" t="s">
        <v>425</v>
      </c>
      <c r="C5" s="107" t="s">
        <v>178</v>
      </c>
      <c r="D5" s="117">
        <v>2</v>
      </c>
      <c r="E5" s="96">
        <v>109572</v>
      </c>
      <c r="F5" s="101">
        <f>ROUND(E5*D5,2)</f>
        <v>219144</v>
      </c>
      <c r="G5" s="101">
        <f>ROUND(F5*1.2,2)</f>
        <v>262972.79999999999</v>
      </c>
    </row>
    <row r="6" spans="1:7" x14ac:dyDescent="0.3">
      <c r="A6" s="106">
        <f>A5+1</f>
        <v>2</v>
      </c>
      <c r="B6" s="107" t="s">
        <v>435</v>
      </c>
      <c r="C6" s="107" t="s">
        <v>194</v>
      </c>
      <c r="D6" s="116">
        <v>8.5</v>
      </c>
      <c r="E6" s="96">
        <v>4200</v>
      </c>
      <c r="F6" s="101">
        <f>ROUND(E6*D6,2)</f>
        <v>35700</v>
      </c>
      <c r="G6" s="101">
        <f>ROUND(F6*1.2,2)</f>
        <v>42840</v>
      </c>
    </row>
    <row r="7" spans="1:7" x14ac:dyDescent="0.3">
      <c r="A7" s="106">
        <f>A6+1</f>
        <v>3</v>
      </c>
      <c r="B7" s="107" t="s">
        <v>424</v>
      </c>
      <c r="C7" s="107" t="s">
        <v>194</v>
      </c>
      <c r="D7" s="117">
        <v>110</v>
      </c>
      <c r="E7" s="96">
        <f>ROUND(2315*0.9,2)</f>
        <v>2083.5</v>
      </c>
      <c r="F7" s="101">
        <f>ROUND(E7*D7,2)</f>
        <v>229185</v>
      </c>
      <c r="G7" s="101">
        <f>ROUND(F7*1.2,2)</f>
        <v>275022</v>
      </c>
    </row>
    <row r="8" spans="1:7" ht="14.55" customHeight="1" x14ac:dyDescent="0.3">
      <c r="A8" s="574" t="s">
        <v>207</v>
      </c>
      <c r="B8" s="575"/>
      <c r="C8" s="119"/>
      <c r="D8" s="121"/>
      <c r="E8" s="119"/>
      <c r="F8" s="119"/>
      <c r="G8" s="122"/>
    </row>
    <row r="9" spans="1:7" x14ac:dyDescent="0.3">
      <c r="A9" s="106">
        <f>A7+1</f>
        <v>4</v>
      </c>
      <c r="B9" s="107" t="s">
        <v>428</v>
      </c>
      <c r="C9" s="107" t="s">
        <v>193</v>
      </c>
      <c r="D9" s="115">
        <v>146.52000000000001</v>
      </c>
      <c r="E9" s="96">
        <f>ROUND(1380*0.9,2)</f>
        <v>1242</v>
      </c>
      <c r="F9" s="101">
        <f t="shared" ref="F9:F14" si="0">ROUND(E9*D9,2)</f>
        <v>181977.84</v>
      </c>
      <c r="G9" s="101">
        <f t="shared" ref="G9:G14" si="1">ROUND(F9*1.2,2)</f>
        <v>218373.41</v>
      </c>
    </row>
    <row r="10" spans="1:7" x14ac:dyDescent="0.3">
      <c r="A10" s="106">
        <f>A9+1</f>
        <v>5</v>
      </c>
      <c r="B10" s="107" t="s">
        <v>429</v>
      </c>
      <c r="C10" s="107" t="s">
        <v>193</v>
      </c>
      <c r="D10" s="115">
        <v>704.98</v>
      </c>
      <c r="E10" s="96">
        <f>ROUND(5165*0.9,2)</f>
        <v>4648.5</v>
      </c>
      <c r="F10" s="101">
        <f t="shared" si="0"/>
        <v>3277099.53</v>
      </c>
      <c r="G10" s="101">
        <f t="shared" si="1"/>
        <v>3932519.44</v>
      </c>
    </row>
    <row r="11" spans="1:7" x14ac:dyDescent="0.3">
      <c r="A11" s="106">
        <f t="shared" ref="A11:A14" si="2">A10+1</f>
        <v>6</v>
      </c>
      <c r="B11" s="107" t="s">
        <v>430</v>
      </c>
      <c r="C11" s="107" t="s">
        <v>431</v>
      </c>
      <c r="D11" s="115">
        <v>226</v>
      </c>
      <c r="E11" s="96">
        <f>ROUND(325*0.9,2)</f>
        <v>292.5</v>
      </c>
      <c r="F11" s="101">
        <f t="shared" si="0"/>
        <v>66105</v>
      </c>
      <c r="G11" s="101">
        <f t="shared" si="1"/>
        <v>79326</v>
      </c>
    </row>
    <row r="12" spans="1:7" x14ac:dyDescent="0.3">
      <c r="A12" s="106">
        <f t="shared" si="2"/>
        <v>7</v>
      </c>
      <c r="B12" s="107" t="s">
        <v>432</v>
      </c>
      <c r="C12" s="107" t="s">
        <v>431</v>
      </c>
      <c r="D12" s="115">
        <v>73.2</v>
      </c>
      <c r="E12" s="96">
        <f t="shared" ref="E12:E14" si="3">ROUND(325*0.9,2)</f>
        <v>292.5</v>
      </c>
      <c r="F12" s="101">
        <f t="shared" si="0"/>
        <v>21411</v>
      </c>
      <c r="G12" s="101">
        <f t="shared" si="1"/>
        <v>25693.200000000001</v>
      </c>
    </row>
    <row r="13" spans="1:7" x14ac:dyDescent="0.3">
      <c r="A13" s="106">
        <f t="shared" si="2"/>
        <v>8</v>
      </c>
      <c r="B13" s="107" t="s">
        <v>436</v>
      </c>
      <c r="C13" s="107" t="s">
        <v>431</v>
      </c>
      <c r="D13" s="115">
        <v>861.3</v>
      </c>
      <c r="E13" s="96">
        <f t="shared" si="3"/>
        <v>292.5</v>
      </c>
      <c r="F13" s="101">
        <f t="shared" si="0"/>
        <v>251930.25</v>
      </c>
      <c r="G13" s="101">
        <f t="shared" si="1"/>
        <v>302316.3</v>
      </c>
    </row>
    <row r="14" spans="1:7" x14ac:dyDescent="0.3">
      <c r="A14" s="106">
        <f t="shared" si="2"/>
        <v>9</v>
      </c>
      <c r="B14" s="107" t="s">
        <v>437</v>
      </c>
      <c r="C14" s="107" t="s">
        <v>431</v>
      </c>
      <c r="D14" s="115">
        <v>475.92</v>
      </c>
      <c r="E14" s="96">
        <f t="shared" si="3"/>
        <v>292.5</v>
      </c>
      <c r="F14" s="101">
        <f t="shared" si="0"/>
        <v>139206.6</v>
      </c>
      <c r="G14" s="101">
        <f t="shared" si="1"/>
        <v>167047.92000000001</v>
      </c>
    </row>
    <row r="15" spans="1:7" ht="14.55" customHeight="1" x14ac:dyDescent="0.3">
      <c r="A15" s="574" t="s">
        <v>413</v>
      </c>
      <c r="B15" s="575"/>
      <c r="C15" s="119"/>
      <c r="D15" s="121"/>
      <c r="E15" s="119"/>
      <c r="F15" s="119"/>
      <c r="G15" s="122"/>
    </row>
    <row r="16" spans="1:7" x14ac:dyDescent="0.3">
      <c r="A16" s="106">
        <f>A14+1</f>
        <v>10</v>
      </c>
      <c r="B16" s="107" t="s">
        <v>427</v>
      </c>
      <c r="C16" s="107" t="s">
        <v>193</v>
      </c>
      <c r="D16" s="115">
        <v>549.42999999999995</v>
      </c>
      <c r="E16" s="96">
        <f>ROUND(1610.8*0.9,2)</f>
        <v>1449.72</v>
      </c>
      <c r="F16" s="101">
        <f>ROUND(E16*D16,2)</f>
        <v>796519.66</v>
      </c>
      <c r="G16" s="101">
        <f>ROUND(F16*1.2,2)</f>
        <v>955823.59</v>
      </c>
    </row>
    <row r="17" spans="1:8" ht="41.4" x14ac:dyDescent="0.3">
      <c r="A17" s="106">
        <f>A16+1</f>
        <v>11</v>
      </c>
      <c r="B17" s="107" t="s">
        <v>414</v>
      </c>
      <c r="C17" s="107" t="s">
        <v>194</v>
      </c>
      <c r="D17" s="114">
        <v>284</v>
      </c>
      <c r="E17" s="96">
        <v>2348</v>
      </c>
      <c r="F17" s="101">
        <f>ROUND(E17*D17,2)</f>
        <v>666832</v>
      </c>
      <c r="G17" s="101">
        <f>ROUND(F17*1.2,2)</f>
        <v>800198.4</v>
      </c>
      <c r="H17" s="30"/>
    </row>
    <row r="18" spans="1:8" ht="41.4" x14ac:dyDescent="0.3">
      <c r="A18" s="106">
        <f>A17+1</f>
        <v>12</v>
      </c>
      <c r="B18" s="107" t="s">
        <v>434</v>
      </c>
      <c r="C18" s="107" t="s">
        <v>194</v>
      </c>
      <c r="D18" s="113">
        <v>145.63</v>
      </c>
      <c r="E18" s="96">
        <v>1587</v>
      </c>
      <c r="F18" s="101">
        <f>ROUND(E18*D18,2)</f>
        <v>231114.81</v>
      </c>
      <c r="G18" s="101">
        <f>ROUND(F18*1.2,2)</f>
        <v>277337.77</v>
      </c>
    </row>
    <row r="19" spans="1:8" s="1" customFormat="1" x14ac:dyDescent="0.3">
      <c r="A19" s="99"/>
      <c r="B19" s="561" t="s">
        <v>721</v>
      </c>
      <c r="C19" s="562"/>
      <c r="D19" s="562"/>
      <c r="E19" s="563"/>
      <c r="F19" s="110">
        <f>SUM(F5:F18)</f>
        <v>6116225.6899999985</v>
      </c>
      <c r="G19" s="110">
        <f>SUM(G5:G18)</f>
        <v>7339470.8300000001</v>
      </c>
    </row>
    <row r="20" spans="1:8" x14ac:dyDescent="0.3">
      <c r="A20" s="533" t="s">
        <v>722</v>
      </c>
      <c r="B20" s="534"/>
      <c r="C20" s="534"/>
      <c r="D20" s="534"/>
      <c r="E20" s="535"/>
      <c r="F20" s="211">
        <f>ROUND(F19*0.03,2)</f>
        <v>183486.77</v>
      </c>
      <c r="G20" s="211">
        <f>ROUND(G19*0.03,2)</f>
        <v>220184.12</v>
      </c>
      <c r="H20" s="52"/>
    </row>
    <row r="21" spans="1:8" x14ac:dyDescent="0.3">
      <c r="A21" s="533" t="s">
        <v>723</v>
      </c>
      <c r="B21" s="534"/>
      <c r="C21" s="534"/>
      <c r="D21" s="534"/>
      <c r="E21" s="535"/>
      <c r="F21" s="211">
        <f>F19+F20</f>
        <v>6299712.4599999981</v>
      </c>
      <c r="G21" s="211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18</vt:i4>
      </vt:variant>
    </vt:vector>
  </HeadingPairs>
  <TitlesOfParts>
    <vt:vector size="45" baseType="lpstr">
      <vt:lpstr>Лист1</vt:lpstr>
      <vt:lpstr>Лист2</vt:lpstr>
      <vt:lpstr>СМР трнсбрдр (2)</vt:lpstr>
      <vt:lpstr>мат трнсбрдр (2)</vt:lpstr>
      <vt:lpstr>Свод</vt:lpstr>
      <vt:lpstr>Результат</vt:lpstr>
      <vt:lpstr>СМР 417 путь</vt:lpstr>
      <vt:lpstr>мат 417 путь</vt:lpstr>
      <vt:lpstr>СМР 217 путь</vt:lpstr>
      <vt:lpstr>мат 217 путь</vt:lpstr>
      <vt:lpstr>СМР комм-ции 417</vt:lpstr>
      <vt:lpstr>мат комм-ции 417</vt:lpstr>
      <vt:lpstr>искл-свод</vt:lpstr>
      <vt:lpstr>СМР комм-ции 217 </vt:lpstr>
      <vt:lpstr>мат комм-ции 217</vt:lpstr>
      <vt:lpstr>СМР жд 8 цех</vt:lpstr>
      <vt:lpstr>мат 8 цех</vt:lpstr>
      <vt:lpstr>СМР трнсбрдр</vt:lpstr>
      <vt:lpstr>мат трнсбрдр</vt:lpstr>
      <vt:lpstr>СМР ГСН</vt:lpstr>
      <vt:lpstr>мат ГСН</vt:lpstr>
      <vt:lpstr>СМР эстакада</vt:lpstr>
      <vt:lpstr>мат эстакада</vt:lpstr>
      <vt:lpstr>СМР ТС2</vt:lpstr>
      <vt:lpstr>мат ТС2</vt:lpstr>
      <vt:lpstr>СМР ТС3</vt:lpstr>
      <vt:lpstr>мат ТС3</vt:lpstr>
      <vt:lpstr>'мат 417 путь'!Область_печати</vt:lpstr>
      <vt:lpstr>'мат комм-ции 217'!Область_печати</vt:lpstr>
      <vt:lpstr>'мат комм-ции 417'!Область_печати</vt:lpstr>
      <vt:lpstr>'мат трнсбрдр'!Область_печати</vt:lpstr>
      <vt:lpstr>'мат трнсбрдр (2)'!Область_печати</vt:lpstr>
      <vt:lpstr>'мат ТС2'!Область_печати</vt:lpstr>
      <vt:lpstr>'мат ТС3'!Область_печати</vt:lpstr>
      <vt:lpstr>'мат эстакада'!Область_печати</vt:lpstr>
      <vt:lpstr>Свод!Область_печати</vt:lpstr>
      <vt:lpstr>'СМР 417 путь'!Область_печати</vt:lpstr>
      <vt:lpstr>'СМР ГСН'!Область_печати</vt:lpstr>
      <vt:lpstr>'СМР комм-ции 217 '!Область_печати</vt:lpstr>
      <vt:lpstr>'СМР комм-ции 417'!Область_печати</vt:lpstr>
      <vt:lpstr>'СМР трнсбрдр'!Область_печати</vt:lpstr>
      <vt:lpstr>'СМР трнсбрдр (2)'!Область_печати</vt:lpstr>
      <vt:lpstr>'СМР ТС2'!Область_печати</vt:lpstr>
      <vt:lpstr>'СМР ТС3'!Область_печати</vt:lpstr>
      <vt:lpstr>'СМР эстакада'!Область_печати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2023-05-18T12:01:53Z</cp:lastPrinted>
  <dcterms:created xsi:type="dcterms:W3CDTF">2023-03-21T11:58:40Z</dcterms:created>
  <dcterms:modified xsi:type="dcterms:W3CDTF">2023-09-15T09:12:10Z</dcterms:modified>
</cp:coreProperties>
</file>