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wnloads\Анализ ВДЦ Мытищи\"/>
    </mc:Choice>
  </mc:AlternateContent>
  <xr:revisionPtr revIDLastSave="0" documentId="13_ncr:1_{694932E2-84A2-471C-95D1-7A960B7C5A5F}" xr6:coauthVersionLast="43" xr6:coauthVersionMax="45" xr10:uidLastSave="{00000000-0000-0000-0000-000000000000}"/>
  <bookViews>
    <workbookView xWindow="-28920" yWindow="1185" windowWidth="29040" windowHeight="15840" tabRatio="811" xr2:uid="{00000000-000D-0000-FFFF-FFFF00000000}"/>
  </bookViews>
  <sheets>
    <sheet name="Свод НВК5" sheetId="1" r:id="rId1"/>
    <sheet name="К16А дождеп" sheetId="17" r:id="rId2"/>
    <sheet name="К15-К17" sheetId="18" r:id="rId3"/>
    <sheet name="Кл1,2,3" sheetId="20" r:id="rId4"/>
    <sheet name="К26-27" sheetId="19" r:id="rId5"/>
  </sheets>
  <definedNames>
    <definedName name="_xlnm.Print_Area" localSheetId="2">'К15-К17'!$A$1:$L$93</definedName>
    <definedName name="_xlnm.Print_Area" localSheetId="1">'К16А дождеп'!$A$1:$L$80</definedName>
    <definedName name="_xlnm.Print_Area" localSheetId="4">'К26-27'!$A$1:$L$26</definedName>
    <definedName name="_xlnm.Print_Area" localSheetId="3">'Кл1,2,3'!$A$1:$L$49</definedName>
    <definedName name="_xlnm.Print_Area" localSheetId="0">'Свод НВК5'!$A$1:$H$7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6" i="1"/>
  <c r="D6" i="1"/>
  <c r="C6" i="1"/>
  <c r="D13" i="18" l="1"/>
  <c r="H41" i="20" l="1"/>
  <c r="H37" i="20"/>
  <c r="H39" i="20"/>
  <c r="F17" i="20" l="1"/>
  <c r="K17" i="20" s="1"/>
  <c r="G17" i="20" l="1"/>
  <c r="L17" i="20" s="1"/>
  <c r="D34" i="20"/>
  <c r="D74" i="18"/>
  <c r="D88" i="18"/>
  <c r="D58" i="17"/>
  <c r="I45" i="20" l="1"/>
  <c r="F44" i="20"/>
  <c r="K44" i="20" s="1"/>
  <c r="F43" i="20"/>
  <c r="K43" i="20" s="1"/>
  <c r="F42" i="20"/>
  <c r="K42" i="20" s="1"/>
  <c r="D41" i="20"/>
  <c r="I39" i="20"/>
  <c r="J39" i="20" s="1"/>
  <c r="L39" i="20" s="1"/>
  <c r="F38" i="20"/>
  <c r="G38" i="20" s="1"/>
  <c r="L38" i="20" s="1"/>
  <c r="D37" i="20"/>
  <c r="I37" i="20" s="1"/>
  <c r="F40" i="20"/>
  <c r="K40" i="20" s="1"/>
  <c r="K45" i="20" l="1"/>
  <c r="J45" i="20"/>
  <c r="L45" i="20" s="1"/>
  <c r="G44" i="20"/>
  <c r="L44" i="20" s="1"/>
  <c r="G43" i="20"/>
  <c r="L43" i="20" s="1"/>
  <c r="G42" i="20"/>
  <c r="L42" i="20" s="1"/>
  <c r="K39" i="20"/>
  <c r="K38" i="20"/>
  <c r="K37" i="20"/>
  <c r="J37" i="20"/>
  <c r="L37" i="20" s="1"/>
  <c r="G40" i="20"/>
  <c r="L40" i="20" s="1"/>
  <c r="I30" i="20" l="1"/>
  <c r="K30" i="20" s="1"/>
  <c r="I29" i="20"/>
  <c r="J29" i="20" s="1"/>
  <c r="L29" i="20" s="1"/>
  <c r="I28" i="20"/>
  <c r="K28" i="20" s="1"/>
  <c r="I27" i="20"/>
  <c r="K27" i="20" s="1"/>
  <c r="F26" i="20"/>
  <c r="G26" i="20" s="1"/>
  <c r="L26" i="20" s="1"/>
  <c r="I34" i="20"/>
  <c r="F33" i="20"/>
  <c r="K33" i="20" s="1"/>
  <c r="D32" i="20"/>
  <c r="I32" i="20" s="1"/>
  <c r="F31" i="20"/>
  <c r="K31" i="20" s="1"/>
  <c r="I25" i="20"/>
  <c r="K25" i="20" s="1"/>
  <c r="I24" i="20"/>
  <c r="J24" i="20" s="1"/>
  <c r="L24" i="20" s="1"/>
  <c r="I23" i="20"/>
  <c r="J23" i="20" s="1"/>
  <c r="L23" i="20" s="1"/>
  <c r="I22" i="20"/>
  <c r="J22" i="20" s="1"/>
  <c r="L22" i="20" s="1"/>
  <c r="F21" i="20"/>
  <c r="F10" i="20"/>
  <c r="K10" i="20" s="1"/>
  <c r="I41" i="20"/>
  <c r="F36" i="20"/>
  <c r="K36" i="20" s="1"/>
  <c r="F19" i="20"/>
  <c r="K19" i="20" s="1"/>
  <c r="D16" i="20"/>
  <c r="I16" i="20" s="1"/>
  <c r="F15" i="20"/>
  <c r="G15" i="20" s="1"/>
  <c r="L15" i="20" s="1"/>
  <c r="D14" i="20"/>
  <c r="I14" i="20" s="1"/>
  <c r="F13" i="20"/>
  <c r="G13" i="20" s="1"/>
  <c r="L13" i="20" s="1"/>
  <c r="D12" i="20"/>
  <c r="I12" i="20" s="1"/>
  <c r="F11" i="20"/>
  <c r="G11" i="20" s="1"/>
  <c r="L11" i="20" s="1"/>
  <c r="F9" i="20"/>
  <c r="G9" i="20" s="1"/>
  <c r="L9" i="20" s="1"/>
  <c r="F8" i="20"/>
  <c r="K8" i="20" s="1"/>
  <c r="K29" i="20" l="1"/>
  <c r="K26" i="20"/>
  <c r="J28" i="20"/>
  <c r="L28" i="20" s="1"/>
  <c r="J27" i="20"/>
  <c r="L27" i="20" s="1"/>
  <c r="J30" i="20"/>
  <c r="L30" i="20" s="1"/>
  <c r="G31" i="20"/>
  <c r="L31" i="20" s="1"/>
  <c r="K23" i="20"/>
  <c r="K24" i="20"/>
  <c r="K34" i="20"/>
  <c r="J34" i="20"/>
  <c r="L34" i="20" s="1"/>
  <c r="K21" i="20"/>
  <c r="G21" i="20"/>
  <c r="L21" i="20" s="1"/>
  <c r="J32" i="20"/>
  <c r="L32" i="20" s="1"/>
  <c r="K32" i="20"/>
  <c r="K22" i="20"/>
  <c r="J25" i="20"/>
  <c r="L25" i="20" s="1"/>
  <c r="G33" i="20"/>
  <c r="L33" i="20" s="1"/>
  <c r="G10" i="20"/>
  <c r="L10" i="20" s="1"/>
  <c r="K15" i="20"/>
  <c r="K9" i="20"/>
  <c r="K11" i="20"/>
  <c r="K16" i="20"/>
  <c r="J16" i="20"/>
  <c r="L16" i="20" s="1"/>
  <c r="K14" i="20"/>
  <c r="J14" i="20"/>
  <c r="L14" i="20" s="1"/>
  <c r="K12" i="20"/>
  <c r="J12" i="20"/>
  <c r="L12" i="20" s="1"/>
  <c r="J41" i="20"/>
  <c r="L41" i="20" s="1"/>
  <c r="K41" i="20"/>
  <c r="A9" i="20"/>
  <c r="A10" i="20" s="1"/>
  <c r="A11" i="20" s="1"/>
  <c r="A13" i="20" s="1"/>
  <c r="A15" i="20" s="1"/>
  <c r="A17" i="20" s="1"/>
  <c r="A19" i="20" s="1"/>
  <c r="G36" i="20"/>
  <c r="L36" i="20" s="1"/>
  <c r="K13" i="20"/>
  <c r="G19" i="20"/>
  <c r="L19" i="20" s="1"/>
  <c r="F46" i="20"/>
  <c r="G8" i="20"/>
  <c r="L8" i="20" s="1"/>
  <c r="I46" i="20" l="1"/>
  <c r="J46" i="20" s="1"/>
  <c r="G5" i="1" s="1"/>
  <c r="A21" i="20"/>
  <c r="G46" i="20"/>
  <c r="F5" i="1" s="1"/>
  <c r="C5" i="1"/>
  <c r="K46" i="20"/>
  <c r="L46" i="20" s="1"/>
  <c r="D5" i="1" l="1"/>
  <c r="E5" i="1" s="1"/>
  <c r="A26" i="20"/>
  <c r="A31" i="20" s="1"/>
  <c r="A33" i="20" s="1"/>
  <c r="A36" i="20" s="1"/>
  <c r="A38" i="20" s="1"/>
  <c r="A40" i="20" s="1"/>
  <c r="A42" i="20" s="1"/>
  <c r="A43" i="20" s="1"/>
  <c r="A44" i="20" s="1"/>
  <c r="H5" i="1"/>
  <c r="D63" i="18" l="1"/>
  <c r="I68" i="18" l="1"/>
  <c r="K68" i="18" s="1"/>
  <c r="F57" i="18"/>
  <c r="K57" i="18" s="1"/>
  <c r="F56" i="18"/>
  <c r="K56" i="18" s="1"/>
  <c r="J68" i="18" l="1"/>
  <c r="L68" i="18" s="1"/>
  <c r="G57" i="18"/>
  <c r="L57" i="18" s="1"/>
  <c r="G56" i="18"/>
  <c r="L56" i="18" s="1"/>
  <c r="E22" i="19" l="1"/>
  <c r="F25" i="19" l="1"/>
  <c r="K25" i="19" s="1"/>
  <c r="D19" i="19"/>
  <c r="I19" i="19" s="1"/>
  <c r="F18" i="19"/>
  <c r="K18" i="19" s="1"/>
  <c r="D16" i="19"/>
  <c r="F16" i="19" s="1"/>
  <c r="G16" i="19" s="1"/>
  <c r="L16" i="19" s="1"/>
  <c r="D48" i="18"/>
  <c r="D46" i="18"/>
  <c r="D43" i="18"/>
  <c r="I24" i="19"/>
  <c r="J24" i="19" s="1"/>
  <c r="L24" i="19" s="1"/>
  <c r="D23" i="19"/>
  <c r="I23" i="19" s="1"/>
  <c r="K23" i="19" s="1"/>
  <c r="F22" i="19"/>
  <c r="K22" i="19" s="1"/>
  <c r="D21" i="19"/>
  <c r="I21" i="19" s="1"/>
  <c r="F20" i="19"/>
  <c r="K20" i="19" s="1"/>
  <c r="D14" i="19"/>
  <c r="I14" i="19" s="1"/>
  <c r="K14" i="19" s="1"/>
  <c r="F13" i="19"/>
  <c r="K13" i="19" s="1"/>
  <c r="D12" i="19"/>
  <c r="I12" i="19" s="1"/>
  <c r="K12" i="19" s="1"/>
  <c r="F11" i="19"/>
  <c r="G11" i="19" s="1"/>
  <c r="L11" i="19" s="1"/>
  <c r="F10" i="19"/>
  <c r="K10" i="19" s="1"/>
  <c r="F9" i="19"/>
  <c r="K9" i="19" s="1"/>
  <c r="I83" i="18"/>
  <c r="K83" i="18" s="1"/>
  <c r="I88" i="18"/>
  <c r="F87" i="18"/>
  <c r="K87" i="18" s="1"/>
  <c r="D86" i="18"/>
  <c r="I86" i="18" s="1"/>
  <c r="F85" i="18"/>
  <c r="G85" i="18" s="1"/>
  <c r="L85" i="18" s="1"/>
  <c r="I74" i="18"/>
  <c r="F73" i="18"/>
  <c r="K73" i="18" s="1"/>
  <c r="D72" i="18"/>
  <c r="I72" i="18" s="1"/>
  <c r="F71" i="18"/>
  <c r="G71" i="18" s="1"/>
  <c r="L71" i="18" s="1"/>
  <c r="I70" i="18"/>
  <c r="K70" i="18" s="1"/>
  <c r="I61" i="18"/>
  <c r="K61" i="18" s="1"/>
  <c r="F60" i="18"/>
  <c r="G60" i="18" s="1"/>
  <c r="L60" i="18" s="1"/>
  <c r="I59" i="18"/>
  <c r="K59" i="18" s="1"/>
  <c r="F58" i="18"/>
  <c r="G58" i="18" s="1"/>
  <c r="L58" i="18" s="1"/>
  <c r="D55" i="18"/>
  <c r="D53" i="18"/>
  <c r="D51" i="18"/>
  <c r="F38" i="18"/>
  <c r="K38" i="18" s="1"/>
  <c r="D33" i="18"/>
  <c r="E33" i="18" s="1"/>
  <c r="F33" i="18" s="1"/>
  <c r="K33" i="18" s="1"/>
  <c r="F36" i="18"/>
  <c r="K36" i="18" s="1"/>
  <c r="F35" i="18"/>
  <c r="G35" i="18" s="1"/>
  <c r="L35" i="18" s="1"/>
  <c r="D26" i="18"/>
  <c r="D24" i="18"/>
  <c r="F22" i="18"/>
  <c r="K22" i="18" s="1"/>
  <c r="F21" i="18"/>
  <c r="K21" i="18" s="1"/>
  <c r="D19" i="18"/>
  <c r="F17" i="18"/>
  <c r="K17" i="18" s="1"/>
  <c r="F75" i="17"/>
  <c r="K75" i="17" s="1"/>
  <c r="F73" i="17"/>
  <c r="K73" i="17" s="1"/>
  <c r="I72" i="17"/>
  <c r="K72" i="17" s="1"/>
  <c r="F71" i="17"/>
  <c r="K71" i="17" s="1"/>
  <c r="E69" i="17"/>
  <c r="F69" i="17" s="1"/>
  <c r="E68" i="17"/>
  <c r="F68" i="17" s="1"/>
  <c r="I65" i="17"/>
  <c r="K65" i="17" s="1"/>
  <c r="F64" i="17"/>
  <c r="F66" i="17"/>
  <c r="K66" i="17" s="1"/>
  <c r="E61" i="17"/>
  <c r="F61" i="17" s="1"/>
  <c r="K61" i="17" s="1"/>
  <c r="E62" i="17"/>
  <c r="F62" i="17" s="1"/>
  <c r="K62" i="17" s="1"/>
  <c r="K71" i="18" l="1"/>
  <c r="G25" i="19"/>
  <c r="L25" i="19" s="1"/>
  <c r="K19" i="19"/>
  <c r="J19" i="19"/>
  <c r="L19" i="19" s="1"/>
  <c r="G18" i="19"/>
  <c r="L18" i="19" s="1"/>
  <c r="K11" i="19"/>
  <c r="G10" i="19"/>
  <c r="L10" i="19" s="1"/>
  <c r="K24" i="19"/>
  <c r="G13" i="19"/>
  <c r="L13" i="19" s="1"/>
  <c r="G9" i="19"/>
  <c r="L9" i="19" s="1"/>
  <c r="K16" i="19"/>
  <c r="J23" i="19"/>
  <c r="L23" i="19" s="1"/>
  <c r="J21" i="19"/>
  <c r="L21" i="19" s="1"/>
  <c r="K21" i="19"/>
  <c r="F26" i="19"/>
  <c r="A10" i="19"/>
  <c r="A11" i="19" s="1"/>
  <c r="A13" i="19" s="1"/>
  <c r="J14" i="19"/>
  <c r="L14" i="19" s="1"/>
  <c r="G22" i="19"/>
  <c r="L22" i="19" s="1"/>
  <c r="J12" i="19"/>
  <c r="L12" i="19" s="1"/>
  <c r="G20" i="19"/>
  <c r="L20" i="19" s="1"/>
  <c r="J83" i="18"/>
  <c r="L83" i="18" s="1"/>
  <c r="K85" i="18"/>
  <c r="J86" i="18"/>
  <c r="L86" i="18" s="1"/>
  <c r="K86" i="18"/>
  <c r="K88" i="18"/>
  <c r="J88" i="18"/>
  <c r="L88" i="18" s="1"/>
  <c r="G87" i="18"/>
  <c r="L87" i="18" s="1"/>
  <c r="J72" i="18"/>
  <c r="L72" i="18" s="1"/>
  <c r="K72" i="18"/>
  <c r="K74" i="18"/>
  <c r="J74" i="18"/>
  <c r="L74" i="18" s="1"/>
  <c r="G73" i="18"/>
  <c r="L73" i="18" s="1"/>
  <c r="J70" i="18"/>
  <c r="L70" i="18" s="1"/>
  <c r="J61" i="18"/>
  <c r="L61" i="18" s="1"/>
  <c r="K60" i="18"/>
  <c r="J59" i="18"/>
  <c r="L59" i="18" s="1"/>
  <c r="K58" i="18"/>
  <c r="K35" i="18"/>
  <c r="G38" i="18"/>
  <c r="L38" i="18" s="1"/>
  <c r="G36" i="18"/>
  <c r="L36" i="18" s="1"/>
  <c r="G33" i="18"/>
  <c r="L33" i="18" s="1"/>
  <c r="G22" i="18"/>
  <c r="L22" i="18" s="1"/>
  <c r="G21" i="18"/>
  <c r="L21" i="18" s="1"/>
  <c r="G17" i="18"/>
  <c r="L17" i="18" s="1"/>
  <c r="G75" i="17"/>
  <c r="L75" i="17" s="1"/>
  <c r="G71" i="17"/>
  <c r="L71" i="17" s="1"/>
  <c r="G73" i="17"/>
  <c r="L73" i="17" s="1"/>
  <c r="J72" i="17"/>
  <c r="L72" i="17" s="1"/>
  <c r="G69" i="17"/>
  <c r="L69" i="17" s="1"/>
  <c r="K69" i="17"/>
  <c r="K68" i="17"/>
  <c r="G68" i="17"/>
  <c r="L68" i="17" s="1"/>
  <c r="G64" i="17"/>
  <c r="L64" i="17" s="1"/>
  <c r="K64" i="17"/>
  <c r="J65" i="17"/>
  <c r="L65" i="17" s="1"/>
  <c r="G66" i="17"/>
  <c r="L66" i="17" s="1"/>
  <c r="G61" i="17"/>
  <c r="L61" i="17" s="1"/>
  <c r="G62" i="17"/>
  <c r="L62" i="17" s="1"/>
  <c r="G26" i="19" l="1"/>
  <c r="A16" i="19"/>
  <c r="A18" i="19" s="1"/>
  <c r="A20" i="19" s="1"/>
  <c r="A22" i="19" s="1"/>
  <c r="A25" i="19" s="1"/>
  <c r="I26" i="19"/>
  <c r="K26" i="19"/>
  <c r="L26" i="19" s="1"/>
  <c r="J26" i="19" l="1"/>
  <c r="I58" i="17"/>
  <c r="F57" i="17"/>
  <c r="K57" i="17" s="1"/>
  <c r="D56" i="17"/>
  <c r="I56" i="17" s="1"/>
  <c r="F55" i="17"/>
  <c r="K55" i="17" s="1"/>
  <c r="D47" i="17"/>
  <c r="I47" i="17" s="1"/>
  <c r="F46" i="17"/>
  <c r="K46" i="17" s="1"/>
  <c r="I43" i="17"/>
  <c r="K43" i="17" s="1"/>
  <c r="D42" i="17"/>
  <c r="I42" i="17" s="1"/>
  <c r="F41" i="17"/>
  <c r="K41" i="17" s="1"/>
  <c r="D41" i="18"/>
  <c r="D40" i="17"/>
  <c r="I40" i="17" s="1"/>
  <c r="F39" i="17"/>
  <c r="K39" i="17" s="1"/>
  <c r="F38" i="17"/>
  <c r="K38" i="17" s="1"/>
  <c r="D37" i="17"/>
  <c r="J56" i="17" l="1"/>
  <c r="L56" i="17" s="1"/>
  <c r="K56" i="17"/>
  <c r="K58" i="17"/>
  <c r="J58" i="17"/>
  <c r="L58" i="17" s="1"/>
  <c r="G55" i="17"/>
  <c r="L55" i="17" s="1"/>
  <c r="G57" i="17"/>
  <c r="L57" i="17" s="1"/>
  <c r="K47" i="17"/>
  <c r="J47" i="17"/>
  <c r="L47" i="17" s="1"/>
  <c r="G46" i="17"/>
  <c r="L46" i="17" s="1"/>
  <c r="G41" i="17"/>
  <c r="L41" i="17" s="1"/>
  <c r="J42" i="17"/>
  <c r="L42" i="17" s="1"/>
  <c r="K42" i="17"/>
  <c r="J43" i="17"/>
  <c r="L43" i="17" s="1"/>
  <c r="K40" i="17"/>
  <c r="J40" i="17"/>
  <c r="L40" i="17" s="1"/>
  <c r="G39" i="17"/>
  <c r="L39" i="17" s="1"/>
  <c r="G38" i="17"/>
  <c r="L38" i="17" s="1"/>
  <c r="F36" i="17" l="1"/>
  <c r="K36" i="17" s="1"/>
  <c r="D29" i="17"/>
  <c r="I29" i="17" s="1"/>
  <c r="D20" i="17"/>
  <c r="I20" i="17" s="1"/>
  <c r="F19" i="17"/>
  <c r="K19" i="17" s="1"/>
  <c r="D18" i="17"/>
  <c r="D10" i="17"/>
  <c r="F10" i="17" s="1"/>
  <c r="D9" i="17"/>
  <c r="D8" i="17"/>
  <c r="F8" i="17" s="1"/>
  <c r="K8" i="17" s="1"/>
  <c r="A8" i="17"/>
  <c r="A9" i="17" s="1"/>
  <c r="A10" i="17" s="1"/>
  <c r="A12" i="17" s="1"/>
  <c r="A15" i="17" s="1"/>
  <c r="A16" i="17" s="1"/>
  <c r="A17" i="17" s="1"/>
  <c r="F8" i="18"/>
  <c r="G8" i="18" s="1"/>
  <c r="L8" i="18" s="1"/>
  <c r="A9" i="18"/>
  <c r="A10" i="18" s="1"/>
  <c r="A11" i="18" s="1"/>
  <c r="A13" i="18" s="1"/>
  <c r="A16" i="18" s="1"/>
  <c r="F9" i="18"/>
  <c r="G9" i="18" s="1"/>
  <c r="L9" i="18" s="1"/>
  <c r="E10" i="18"/>
  <c r="F10" i="18" s="1"/>
  <c r="G10" i="18" s="1"/>
  <c r="L10" i="18" s="1"/>
  <c r="F11" i="18"/>
  <c r="K11" i="18" s="1"/>
  <c r="F13" i="18"/>
  <c r="K13" i="18" s="1"/>
  <c r="F16" i="18"/>
  <c r="G16" i="18" s="1"/>
  <c r="L16" i="18" s="1"/>
  <c r="F18" i="18"/>
  <c r="G18" i="18" s="1"/>
  <c r="L18" i="18" s="1"/>
  <c r="I19" i="18"/>
  <c r="F23" i="18"/>
  <c r="G23" i="18" s="1"/>
  <c r="L23" i="18" s="1"/>
  <c r="I24" i="18"/>
  <c r="K24" i="18" s="1"/>
  <c r="F25" i="18"/>
  <c r="K25" i="18" s="1"/>
  <c r="I26" i="18"/>
  <c r="J26" i="18" s="1"/>
  <c r="L26" i="18" s="1"/>
  <c r="F27" i="18"/>
  <c r="G27" i="18" s="1"/>
  <c r="L27" i="18" s="1"/>
  <c r="F28" i="18"/>
  <c r="K28" i="18" s="1"/>
  <c r="F30" i="18"/>
  <c r="G30" i="18" s="1"/>
  <c r="L30" i="18" s="1"/>
  <c r="F31" i="18"/>
  <c r="G31" i="18" s="1"/>
  <c r="L31" i="18" s="1"/>
  <c r="F40" i="18"/>
  <c r="K40" i="18" s="1"/>
  <c r="I41" i="18"/>
  <c r="J41" i="18" s="1"/>
  <c r="L41" i="18" s="1"/>
  <c r="F42" i="18"/>
  <c r="K42" i="18" s="1"/>
  <c r="I43" i="18"/>
  <c r="J43" i="18" s="1"/>
  <c r="L43" i="18" s="1"/>
  <c r="I44" i="18"/>
  <c r="J44" i="18" s="1"/>
  <c r="L44" i="18" s="1"/>
  <c r="E45" i="18"/>
  <c r="F45" i="18" s="1"/>
  <c r="K45" i="18" s="1"/>
  <c r="H46" i="18"/>
  <c r="E47" i="18"/>
  <c r="F47" i="18" s="1"/>
  <c r="I48" i="18"/>
  <c r="I49" i="18"/>
  <c r="K49" i="18" s="1"/>
  <c r="F50" i="18"/>
  <c r="G50" i="18" s="1"/>
  <c r="L50" i="18" s="1"/>
  <c r="F52" i="18"/>
  <c r="G52" i="18" s="1"/>
  <c r="L52" i="18" s="1"/>
  <c r="F54" i="18"/>
  <c r="K54" i="18" s="1"/>
  <c r="F63" i="18"/>
  <c r="I64" i="18"/>
  <c r="I65" i="18"/>
  <c r="J65" i="18" s="1"/>
  <c r="L65" i="18" s="1"/>
  <c r="I66" i="18"/>
  <c r="I67" i="18"/>
  <c r="I69" i="18"/>
  <c r="K69" i="18" s="1"/>
  <c r="D76" i="18"/>
  <c r="F76" i="18" s="1"/>
  <c r="I77" i="18"/>
  <c r="I78" i="18"/>
  <c r="I79" i="18"/>
  <c r="J79" i="18" s="1"/>
  <c r="L79" i="18" s="1"/>
  <c r="I80" i="18"/>
  <c r="H81" i="18"/>
  <c r="I81" i="18" s="1"/>
  <c r="H82" i="18"/>
  <c r="I82" i="18" s="1"/>
  <c r="I84" i="18"/>
  <c r="J84" i="18" s="1"/>
  <c r="L84" i="18" s="1"/>
  <c r="E9" i="17"/>
  <c r="F12" i="17"/>
  <c r="G12" i="17" s="1"/>
  <c r="L12" i="17" s="1"/>
  <c r="F15" i="17"/>
  <c r="G15" i="17" s="1"/>
  <c r="L15" i="17" s="1"/>
  <c r="F16" i="17"/>
  <c r="G16" i="17" s="1"/>
  <c r="L16" i="17" s="1"/>
  <c r="F17" i="17"/>
  <c r="G17" i="17" s="1"/>
  <c r="L17" i="17" s="1"/>
  <c r="I18" i="17"/>
  <c r="F21" i="17"/>
  <c r="G21" i="17" s="1"/>
  <c r="L21" i="17" s="1"/>
  <c r="F22" i="17"/>
  <c r="K22" i="17" s="1"/>
  <c r="F24" i="17"/>
  <c r="G24" i="17" s="1"/>
  <c r="L24" i="17" s="1"/>
  <c r="F25" i="17"/>
  <c r="G25" i="17" s="1"/>
  <c r="L25" i="17" s="1"/>
  <c r="F26" i="17"/>
  <c r="K26" i="17" s="1"/>
  <c r="I27" i="17"/>
  <c r="J27" i="17" s="1"/>
  <c r="L27" i="17" s="1"/>
  <c r="F28" i="17"/>
  <c r="K28" i="17" s="1"/>
  <c r="F30" i="17"/>
  <c r="K30" i="17" s="1"/>
  <c r="F31" i="17"/>
  <c r="G31" i="17" s="1"/>
  <c r="L31" i="17" s="1"/>
  <c r="F33" i="17"/>
  <c r="F34" i="17"/>
  <c r="I37" i="17"/>
  <c r="J37" i="17" s="1"/>
  <c r="L37" i="17" s="1"/>
  <c r="F44" i="17"/>
  <c r="K44" i="17" s="1"/>
  <c r="D45" i="17"/>
  <c r="I45" i="17" s="1"/>
  <c r="F48" i="17"/>
  <c r="K48" i="17" s="1"/>
  <c r="I49" i="17"/>
  <c r="J49" i="17" s="1"/>
  <c r="L49" i="17" s="1"/>
  <c r="D51" i="17"/>
  <c r="F51" i="17" s="1"/>
  <c r="I52" i="17"/>
  <c r="J52" i="17" s="1"/>
  <c r="L52" i="17" s="1"/>
  <c r="I53" i="17"/>
  <c r="I54" i="17"/>
  <c r="J54" i="17" s="1"/>
  <c r="L54" i="17" s="1"/>
  <c r="K84" i="18" l="1"/>
  <c r="K44" i="18"/>
  <c r="K82" i="18"/>
  <c r="J82" i="18"/>
  <c r="L82" i="18" s="1"/>
  <c r="I51" i="18"/>
  <c r="J51" i="18" s="1"/>
  <c r="L51" i="18" s="1"/>
  <c r="I53" i="18"/>
  <c r="J53" i="18" s="1"/>
  <c r="L53" i="18" s="1"/>
  <c r="J49" i="18"/>
  <c r="L49" i="18" s="1"/>
  <c r="G42" i="18"/>
  <c r="L42" i="18" s="1"/>
  <c r="J77" i="18"/>
  <c r="L77" i="18" s="1"/>
  <c r="K77" i="18"/>
  <c r="K76" i="18"/>
  <c r="G76" i="18"/>
  <c r="L76" i="18" s="1"/>
  <c r="J64" i="18"/>
  <c r="L64" i="18" s="1"/>
  <c r="K64" i="18"/>
  <c r="G54" i="18"/>
  <c r="L54" i="18" s="1"/>
  <c r="I55" i="18"/>
  <c r="J55" i="18" s="1"/>
  <c r="L55" i="18" s="1"/>
  <c r="G40" i="18"/>
  <c r="L40" i="18" s="1"/>
  <c r="K26" i="18"/>
  <c r="J81" i="18"/>
  <c r="L81" i="18" s="1"/>
  <c r="K81" i="18"/>
  <c r="G45" i="18"/>
  <c r="L45" i="18" s="1"/>
  <c r="A18" i="18"/>
  <c r="A17" i="18"/>
  <c r="K65" i="18"/>
  <c r="K50" i="18"/>
  <c r="J69" i="18"/>
  <c r="L69" i="18" s="1"/>
  <c r="I46" i="18"/>
  <c r="J46" i="18" s="1"/>
  <c r="L46" i="18" s="1"/>
  <c r="G28" i="18"/>
  <c r="L28" i="18" s="1"/>
  <c r="K27" i="18"/>
  <c r="G25" i="18"/>
  <c r="L25" i="18" s="1"/>
  <c r="J24" i="18"/>
  <c r="L24" i="18" s="1"/>
  <c r="K16" i="18"/>
  <c r="G13" i="18"/>
  <c r="L13" i="18" s="1"/>
  <c r="G11" i="18"/>
  <c r="L11" i="18" s="1"/>
  <c r="K43" i="18"/>
  <c r="G26" i="17"/>
  <c r="L26" i="17" s="1"/>
  <c r="K41" i="18"/>
  <c r="G44" i="17"/>
  <c r="L44" i="17" s="1"/>
  <c r="G48" i="17"/>
  <c r="L48" i="17" s="1"/>
  <c r="G36" i="17"/>
  <c r="L36" i="17" s="1"/>
  <c r="I76" i="17"/>
  <c r="K17" i="17"/>
  <c r="G30" i="17"/>
  <c r="L30" i="17" s="1"/>
  <c r="G28" i="17"/>
  <c r="L28" i="17" s="1"/>
  <c r="K24" i="17"/>
  <c r="K45" i="17"/>
  <c r="J45" i="17"/>
  <c r="L45" i="17" s="1"/>
  <c r="K53" i="17"/>
  <c r="J53" i="17"/>
  <c r="L53" i="17" s="1"/>
  <c r="J29" i="17"/>
  <c r="L29" i="17" s="1"/>
  <c r="K29" i="17"/>
  <c r="A19" i="17"/>
  <c r="A21" i="17" s="1"/>
  <c r="A22" i="17" s="1"/>
  <c r="K31" i="17"/>
  <c r="K49" i="17"/>
  <c r="K25" i="17"/>
  <c r="F9" i="17"/>
  <c r="F76" i="17" s="1"/>
  <c r="K54" i="17"/>
  <c r="G22" i="17"/>
  <c r="L22" i="17" s="1"/>
  <c r="K20" i="17"/>
  <c r="J20" i="17"/>
  <c r="L20" i="17" s="1"/>
  <c r="G19" i="17"/>
  <c r="L19" i="17" s="1"/>
  <c r="K16" i="17"/>
  <c r="K15" i="17"/>
  <c r="K12" i="17"/>
  <c r="G8" i="17"/>
  <c r="L8" i="17" s="1"/>
  <c r="G34" i="17"/>
  <c r="L34" i="17" s="1"/>
  <c r="K34" i="17"/>
  <c r="J78" i="18"/>
  <c r="L78" i="18" s="1"/>
  <c r="K78" i="18"/>
  <c r="K47" i="18"/>
  <c r="G47" i="18"/>
  <c r="L47" i="18" s="1"/>
  <c r="J66" i="18"/>
  <c r="L66" i="18" s="1"/>
  <c r="K66" i="18"/>
  <c r="K63" i="18"/>
  <c r="G63" i="18"/>
  <c r="L63" i="18" s="1"/>
  <c r="J19" i="18"/>
  <c r="L19" i="18" s="1"/>
  <c r="K19" i="18"/>
  <c r="G51" i="17"/>
  <c r="L51" i="17" s="1"/>
  <c r="K51" i="17"/>
  <c r="K48" i="18"/>
  <c r="J48" i="18"/>
  <c r="L48" i="18" s="1"/>
  <c r="G33" i="17"/>
  <c r="L33" i="17" s="1"/>
  <c r="K33" i="17"/>
  <c r="K10" i="17"/>
  <c r="G10" i="17"/>
  <c r="L10" i="17" s="1"/>
  <c r="J18" i="17"/>
  <c r="L18" i="17" s="1"/>
  <c r="K18" i="17"/>
  <c r="K80" i="18"/>
  <c r="J80" i="18"/>
  <c r="L80" i="18" s="1"/>
  <c r="J67" i="18"/>
  <c r="L67" i="18" s="1"/>
  <c r="K67" i="18"/>
  <c r="F89" i="18"/>
  <c r="K18" i="18"/>
  <c r="K8" i="18"/>
  <c r="K37" i="17"/>
  <c r="K27" i="17"/>
  <c r="K21" i="17"/>
  <c r="K79" i="18"/>
  <c r="K52" i="18"/>
  <c r="K31" i="18"/>
  <c r="K30" i="18"/>
  <c r="K23" i="18"/>
  <c r="K10" i="18"/>
  <c r="K9" i="18"/>
  <c r="K52" i="17"/>
  <c r="G76" i="17" l="1"/>
  <c r="F3" i="1" s="1"/>
  <c r="C3" i="1"/>
  <c r="G89" i="18"/>
  <c r="F4" i="1" s="1"/>
  <c r="C4" i="1"/>
  <c r="J76" i="17"/>
  <c r="G3" i="1" s="1"/>
  <c r="D3" i="1"/>
  <c r="K46" i="18"/>
  <c r="K51" i="18"/>
  <c r="K55" i="18"/>
  <c r="I89" i="18"/>
  <c r="K53" i="18"/>
  <c r="A21" i="18"/>
  <c r="A22" i="18" s="1"/>
  <c r="A23" i="18" s="1"/>
  <c r="A25" i="18" s="1"/>
  <c r="A27" i="18" s="1"/>
  <c r="A28" i="18" s="1"/>
  <c r="K9" i="17"/>
  <c r="K76" i="17" s="1"/>
  <c r="L76" i="17" s="1"/>
  <c r="G9" i="17"/>
  <c r="L9" i="17" s="1"/>
  <c r="A24" i="17"/>
  <c r="A25" i="17" s="1"/>
  <c r="K89" i="18" l="1"/>
  <c r="L89" i="18" s="1"/>
  <c r="J89" i="18"/>
  <c r="G4" i="1" s="1"/>
  <c r="D4" i="1"/>
  <c r="A30" i="18"/>
  <c r="A31" i="18" s="1"/>
  <c r="A28" i="17"/>
  <c r="A30" i="17" s="1"/>
  <c r="A31" i="17" s="1"/>
  <c r="A26" i="17"/>
  <c r="A33" i="18" l="1"/>
  <c r="A33" i="17"/>
  <c r="A34" i="17" s="1"/>
  <c r="A38" i="18" l="1"/>
  <c r="A40" i="18" s="1"/>
  <c r="A42" i="18" s="1"/>
  <c r="A45" i="18" s="1"/>
  <c r="A47" i="18" s="1"/>
  <c r="A36" i="17"/>
  <c r="A38" i="17" s="1"/>
  <c r="A4" i="1"/>
  <c r="A5" i="1" s="1"/>
  <c r="A6" i="1" s="1"/>
  <c r="A50" i="18" l="1"/>
  <c r="A52" i="18" s="1"/>
  <c r="A54" i="18" s="1"/>
  <c r="A56" i="18" s="1"/>
  <c r="A57" i="18" s="1"/>
  <c r="A58" i="18" s="1"/>
  <c r="A39" i="17"/>
  <c r="A41" i="17" s="1"/>
  <c r="A44" i="17" s="1"/>
  <c r="A46" i="17" s="1"/>
  <c r="A48" i="17" s="1"/>
  <c r="A51" i="17" s="1"/>
  <c r="A55" i="17" s="1"/>
  <c r="A60" i="18" l="1"/>
  <c r="A63" i="18" s="1"/>
  <c r="A57" i="17"/>
  <c r="A61" i="17" s="1"/>
  <c r="A62" i="17" s="1"/>
  <c r="A64" i="17" s="1"/>
  <c r="A66" i="17" s="1"/>
  <c r="A68" i="17" s="1"/>
  <c r="A69" i="17" s="1"/>
  <c r="A71" i="17" s="1"/>
  <c r="A73" i="17" s="1"/>
  <c r="A75" i="17" s="1"/>
  <c r="A71" i="18" l="1"/>
  <c r="A73" i="18" s="1"/>
  <c r="A76" i="18" s="1"/>
  <c r="A85" i="18" s="1"/>
  <c r="A87" i="18" s="1"/>
  <c r="E4" i="1" l="1"/>
  <c r="H4" i="1"/>
  <c r="H6" i="1" l="1"/>
  <c r="E6" i="1"/>
  <c r="D7" i="1" l="1"/>
  <c r="G7" i="1" l="1"/>
  <c r="H3" i="1"/>
  <c r="E3" i="1"/>
  <c r="C7" i="1"/>
  <c r="H7" i="1" l="1"/>
  <c r="F7" i="1"/>
  <c r="E7" i="1"/>
</calcChain>
</file>

<file path=xl/sharedStrings.xml><?xml version="1.0" encoding="utf-8"?>
<sst xmlns="http://schemas.openxmlformats.org/spreadsheetml/2006/main" count="589" uniqueCount="217">
  <si>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</si>
  <si>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</si>
  <si>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</si>
  <si>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</si>
  <si>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</si>
  <si>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</si>
  <si>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</si>
  <si>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</si>
  <si>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</si>
  <si>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</si>
  <si>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</si>
  <si>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</si>
  <si>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</si>
  <si>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</si>
  <si>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</si>
  <si>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</si>
  <si>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</si>
  <si>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</si>
  <si>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</si>
  <si>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</si>
  <si>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</si>
  <si>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</si>
  <si>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</si>
  <si>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</si>
  <si>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</si>
  <si>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</si>
  <si>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</si>
  <si>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стоимость из 217 пути</t>
  </si>
  <si>
    <t>м2</t>
  </si>
  <si>
    <t>6.1</t>
  </si>
  <si>
    <t>т</t>
  </si>
  <si>
    <t>7.1</t>
  </si>
  <si>
    <t>8.1</t>
  </si>
  <si>
    <t>Земляные работы</t>
  </si>
  <si>
    <t>Доработка грунта в траншее вручную</t>
  </si>
  <si>
    <t>Устройство песчаного основания h=0,1м под трубы вручную</t>
  </si>
  <si>
    <t>11.1</t>
  </si>
  <si>
    <t>Песок природный  средний</t>
  </si>
  <si>
    <t>12.1</t>
  </si>
  <si>
    <t>Уплотнение грунта пневматическими трамбовками</t>
  </si>
  <si>
    <t>Прокладка трубопровода</t>
  </si>
  <si>
    <t>17.1</t>
  </si>
  <si>
    <t>шт.</t>
  </si>
  <si>
    <t>Цементно-песчаный раствор М100</t>
  </si>
  <si>
    <t>20.1</t>
  </si>
  <si>
    <t>21.1</t>
  </si>
  <si>
    <t>22.1</t>
  </si>
  <si>
    <t>23.1</t>
  </si>
  <si>
    <t>24.1</t>
  </si>
  <si>
    <t>25.1</t>
  </si>
  <si>
    <t>28.1</t>
  </si>
  <si>
    <t>29.1</t>
  </si>
  <si>
    <t>30.1</t>
  </si>
  <si>
    <t>32.1</t>
  </si>
  <si>
    <t>33.1</t>
  </si>
  <si>
    <t>кг</t>
  </si>
  <si>
    <t xml:space="preserve">Итого </t>
  </si>
  <si>
    <t xml:space="preserve">Обратная засыпка грунта бульдозером </t>
  </si>
  <si>
    <t xml:space="preserve">Разработка грунта в котловане под колодцы механизированным способом </t>
  </si>
  <si>
    <t>Щебень</t>
  </si>
  <si>
    <t>13.1</t>
  </si>
  <si>
    <t>Опорно-направляющее кольцо ОНК-315 для трубы Дн=315 мм</t>
  </si>
  <si>
    <t>Устройство круглых сборных железобетонных канализационных колодцев  в мокрых грунтах</t>
  </si>
  <si>
    <t xml:space="preserve">Плита днища колодца ПН10-1 </t>
  </si>
  <si>
    <t xml:space="preserve">Кольцо колодезное стеновое КС10-9 </t>
  </si>
  <si>
    <t xml:space="preserve">Плита перекрытия колодца ПП10-2 </t>
  </si>
  <si>
    <t>л</t>
  </si>
  <si>
    <t>Прочие работы</t>
  </si>
  <si>
    <t>Погрузка  грунта в автосамосвалы</t>
  </si>
  <si>
    <t>Перемещение до 1км недостающего грунта для обратной засыпки</t>
  </si>
  <si>
    <t>стоимость из ТС1</t>
  </si>
  <si>
    <t>стоимость путь 217 НВК, п.26</t>
  </si>
  <si>
    <t>Обмазка праймером Технониколь колодца в один слой</t>
  </si>
  <si>
    <t>Битумная грунтовка ТЕХНОНИКОЛЬ № 01  (20л=16кг)</t>
  </si>
  <si>
    <t>Обмазка битумной мастикой колодца в два слоя</t>
  </si>
  <si>
    <t>Битумная мастика Технониколь №24</t>
  </si>
  <si>
    <t>Лестница-стремянка С1-07</t>
  </si>
  <si>
    <t xml:space="preserve">Устройство щебеночного основания под колодец </t>
  </si>
  <si>
    <t>Люк чугунный тяжелого типа Т (К)</t>
  </si>
  <si>
    <t>Заполнение межтрубного пространства цементно-песчаным раствором марки М100</t>
  </si>
  <si>
    <t>Труба КОРСИС PRODN/OD 315P SN 16</t>
  </si>
  <si>
    <t>Прокладка трубы двухслойной гофрированной полиэтиленовой «Корсис» PRO DN/OD 315P SN16 в траншее</t>
  </si>
  <si>
    <t>Протаскивание трубы двухслойной гофрированной полиэтиленовой «Корсис» PRO DN/OD 315P SN16 с установкой колец опорно-направляющего ОНК-315/530</t>
  </si>
  <si>
    <t xml:space="preserve">Разработка влажного грунта механизированным способом </t>
  </si>
  <si>
    <t xml:space="preserve">Земляные работы для устройства траншеи </t>
  </si>
  <si>
    <t xml:space="preserve">Земляные работы для устройства котлована колодцев </t>
  </si>
  <si>
    <t xml:space="preserve">Обсыпка из  песка </t>
  </si>
  <si>
    <t xml:space="preserve">Прокладка труб КОРСИС PRODN/OD 160P SN 16 </t>
  </si>
  <si>
    <t>Демонтаж ж/б изделий колодцев:</t>
  </si>
  <si>
    <t xml:space="preserve">Труба КОРСИС PRODN/OD 160P SN 16 </t>
  </si>
  <si>
    <t>Установка муфт защитных полиэтиленовых D=194 мм L=150,0 мм для прохода труб сквозь бетонную стенку колодца (для труб ø160 мм)</t>
  </si>
  <si>
    <t>Муфта защитная полиэтиленовая D=194 мм L=150,0 мм (для труб ø160 мм)</t>
  </si>
  <si>
    <t>цена по счету</t>
  </si>
  <si>
    <t>Муфта защитная полиэтиленовая D=365 мм L=150,0 мм  (для труб ø315 мм)</t>
  </si>
  <si>
    <t>Установка муфты защитной полиэтиленовой L=150,0 мм D=365 мм для прохода труб сквозь бетонную стену колодца (для труб D=315 мм)</t>
  </si>
  <si>
    <t>Бетон В10</t>
  </si>
  <si>
    <t>сметная стоимость</t>
  </si>
  <si>
    <t>Обратная засыпка песком вручную</t>
  </si>
  <si>
    <t>Плита ПКЛ 28-12-8</t>
  </si>
  <si>
    <t>Опорная плита ОП-1К</t>
  </si>
  <si>
    <t>Кольцо стеновое КС10-9</t>
  </si>
  <si>
    <t>Плиты перекрытия колодца ПП20-1</t>
  </si>
  <si>
    <t>Кольцо стеновое КС20-9</t>
  </si>
  <si>
    <t>Плита днища ПН20-1</t>
  </si>
  <si>
    <t>26.1</t>
  </si>
  <si>
    <t>Устройство колодца К17</t>
  </si>
  <si>
    <t>25.3</t>
  </si>
  <si>
    <t>25.2</t>
  </si>
  <si>
    <t>Устройство колодца К15В</t>
  </si>
  <si>
    <t xml:space="preserve">Прокладка труб КОРСИС PRODN/OD 315P SN 16 </t>
  </si>
  <si>
    <t>Опорно-направляющее кольцо ОНК-160 для трубы Дн=160 мм</t>
  </si>
  <si>
    <t>Протаскивание трубы двухслойной гофрированной двухслойной раструбной НПВХ канализационной Дн 160мм с установкой колец опорно-направляющего ОНК-160/430</t>
  </si>
  <si>
    <t>Труба стальная с защитным покрытием ВУС 430х7мм (футляр)</t>
  </si>
  <si>
    <t>Прокладка труб стальных с защитным покрытием ВУС 430х7мм (футляр)</t>
  </si>
  <si>
    <t>17.2</t>
  </si>
  <si>
    <t>Протаскивание трубы двухслойной гофрированной двухслойной раструбной НПВХ канализационной Дн 315мм с установкой колец опорно-направляющего ОНК-315/530</t>
  </si>
  <si>
    <t>Труба стальная с полиэтиленовым защитным покрытием ВУС 530х8мм</t>
  </si>
  <si>
    <t xml:space="preserve">Прокладка труб стальных с полиэтиленовым защитным покрытием ВУС 530х 8мм (футляр) </t>
  </si>
  <si>
    <t>Устройство песчаного основания</t>
  </si>
  <si>
    <t xml:space="preserve">Демонтаж дорожного бордюра </t>
  </si>
  <si>
    <t>131-23-НВК5. Устройство ливневой канализации К15Б-К15В(+К15А)-К17</t>
  </si>
  <si>
    <t>131-23-НВК5. Переустройство канализации. Колодец К16А (дождеприемник)</t>
  </si>
  <si>
    <t xml:space="preserve">Пропиливание проемов (6,49м х 0,6м 9,52м х 0,6м  1,99м х 0,6м) в существующей бетонной трубе ф600*60мм для последующей санации </t>
  </si>
  <si>
    <t>18.1</t>
  </si>
  <si>
    <t>Пробивка отверстий 540*540мм в стенках колодца</t>
  </si>
  <si>
    <t xml:space="preserve">Прокладка труб стальных с полиэтиленовым защитным покрытием ВУС 530х 7мм (футляр) </t>
  </si>
  <si>
    <t>Устройство колодца К16 (дождеприемник)</t>
  </si>
  <si>
    <t>21.2</t>
  </si>
  <si>
    <t>27.1</t>
  </si>
  <si>
    <t>Реконструкция горловин колодцев К15сущ. К16сущ.</t>
  </si>
  <si>
    <t>К15сущ. (демонтаж)</t>
  </si>
  <si>
    <t>стоимость из путь 217, АС1, п. 9 с К=0,8</t>
  </si>
  <si>
    <t>Разборка кирпичной кладки</t>
  </si>
  <si>
    <t>Демонатж люка чугунного</t>
  </si>
  <si>
    <t>К15сущ. (монтаж)</t>
  </si>
  <si>
    <t>Установка люка чугунного (ранее демонтированный)</t>
  </si>
  <si>
    <t>К16сущ. (демонтаж)</t>
  </si>
  <si>
    <t>Кольцо опорное КО7</t>
  </si>
  <si>
    <t>Кольцо доборное строительное КС 7.6</t>
  </si>
  <si>
    <t>К15Б-К15В(+К15А)-К17</t>
  </si>
  <si>
    <t>К16А (дождеприемник)</t>
  </si>
  <si>
    <t>Земляные работы для устройства траншеи</t>
  </si>
  <si>
    <t>Демонтажные работы (колодец К17сущ.)</t>
  </si>
  <si>
    <t xml:space="preserve">    -Демонтаж плиты перекрытия колодца ПП20-1</t>
  </si>
  <si>
    <t xml:space="preserve">    -Демонтаж кольца колодезного стенового КС7.6</t>
  </si>
  <si>
    <t xml:space="preserve">    -Демонтаж люка чугунного "К"</t>
  </si>
  <si>
    <t>17.3</t>
  </si>
  <si>
    <t xml:space="preserve">Плита перекрытия колодца ПП10-1 </t>
  </si>
  <si>
    <t>Доборное кольцо КС7.6</t>
  </si>
  <si>
    <t>31.1</t>
  </si>
  <si>
    <t>34.1</t>
  </si>
  <si>
    <t>131-23-НВК5. Устройство ливневой канализации (кол.26-27)</t>
  </si>
  <si>
    <t>кол.26-27</t>
  </si>
  <si>
    <t>Засыпка песком вручную</t>
  </si>
  <si>
    <t>3.1</t>
  </si>
  <si>
    <t>4.1</t>
  </si>
  <si>
    <t xml:space="preserve">Труба КОРСИС PRODN/OD 630/535P SN 16 </t>
  </si>
  <si>
    <t xml:space="preserve">Прокладка труб КОРСИС PRODN/OD 630/535P SN 16 </t>
  </si>
  <si>
    <t>Прокладка труб стальных электросварных 820х14мм ГОСТ10704-91 (футляр)</t>
  </si>
  <si>
    <t>Труба стальная электросварная 820х14мм (футляр)</t>
  </si>
  <si>
    <t>Опорно-направляющее кольцо ОНК-630 для трубы Дн=630 мм</t>
  </si>
  <si>
    <t>Протаскивание в футляр трубы КОРСИС PRODN/OD 630/535P SN 16  с установкой колец опорно-направляющего ОНК-630/820</t>
  </si>
  <si>
    <t>Заделка концов футляра</t>
  </si>
  <si>
    <t>8.2</t>
  </si>
  <si>
    <t>19.1</t>
  </si>
  <si>
    <t xml:space="preserve">Пробивка отверстий 0,32м*0,32м в стенках колодца </t>
  </si>
  <si>
    <t xml:space="preserve">Пробивка отверстий 0,18м*0,18м в стенках колодца </t>
  </si>
  <si>
    <t>Кольцо опорное КО-10</t>
  </si>
  <si>
    <t>131-23-НВК5.1 Переустройство ливневой канализации. Кл1, Кл2, Кл3</t>
  </si>
  <si>
    <t>Кл1, Кл2, Кл3</t>
  </si>
  <si>
    <t>Разработка грунта в траншее вручную</t>
  </si>
  <si>
    <t>5.1</t>
  </si>
  <si>
    <t>Устройство круглых сборных железобетонных дождевых колодцев  в мокрых грунтах</t>
  </si>
  <si>
    <t>Дождеприемник круглый ДБ2(В125)-1-60(ДК)</t>
  </si>
  <si>
    <t>9.1</t>
  </si>
  <si>
    <t>9.2</t>
  </si>
  <si>
    <t>9.3</t>
  </si>
  <si>
    <t>9.4</t>
  </si>
  <si>
    <t>10.1</t>
  </si>
  <si>
    <t>Устройство колодцев</t>
  </si>
  <si>
    <t>Монтаж труб для присоединения лотков в колодцы</t>
  </si>
  <si>
    <t>Прокладка труб НПВХ Ду200 L=0,61м с раструб.</t>
  </si>
  <si>
    <t>Труба НПВХ Ду200 L=0,61м с раструб.</t>
  </si>
  <si>
    <t>Монтаж отводов НПВХ Ду200*45гр</t>
  </si>
  <si>
    <t>Отвод НПВХ Ду200*45гр</t>
  </si>
  <si>
    <t>Прокладка труб Корсис DN/OD 200 SN8 PR2</t>
  </si>
  <si>
    <t>Труба Корсис DN/OD 200 SN8 PR2</t>
  </si>
  <si>
    <t>14.1</t>
  </si>
  <si>
    <t>Пробивка отверстий Ду220 в стенках колодца толщиной t=80мм</t>
  </si>
  <si>
    <t>Пробивка отверстий Ду220 в стенках лотков толщиной t=60мм</t>
  </si>
  <si>
    <t>Заделка мест прохода труб через стенки  цементно-песчаным раствором марки М100</t>
  </si>
  <si>
    <t>Уплотнение  пневматическими трамбовками</t>
  </si>
  <si>
    <t>10.2</t>
  </si>
  <si>
    <t>10.3</t>
  </si>
  <si>
    <t>10.4</t>
  </si>
  <si>
    <t>15.1</t>
  </si>
  <si>
    <t>Муфта защитная полиэтиленовая   (для труб ø315 мм)</t>
  </si>
  <si>
    <t>Установка муфты защитной полиэтиленовой  для прохода труб сквозь бетонную стену колодца (для труб D=315 мм)</t>
  </si>
  <si>
    <t>19.2</t>
  </si>
  <si>
    <t>29.2</t>
  </si>
  <si>
    <t>29.3</t>
  </si>
  <si>
    <t>29.4</t>
  </si>
  <si>
    <t>29.5</t>
  </si>
  <si>
    <t>29.6</t>
  </si>
  <si>
    <t>29.7</t>
  </si>
  <si>
    <t>32.2</t>
  </si>
  <si>
    <t>32.3</t>
  </si>
  <si>
    <t>32.4</t>
  </si>
  <si>
    <t>32.5</t>
  </si>
  <si>
    <t>32.6</t>
  </si>
  <si>
    <t>32.7</t>
  </si>
  <si>
    <t>32.8</t>
  </si>
  <si>
    <t>КП с дисконтом</t>
  </si>
  <si>
    <t>новые работы</t>
  </si>
  <si>
    <t>стоимость ТС1</t>
  </si>
  <si>
    <t xml:space="preserve">стоимость из ВДЦ 8-го цеха (НВК) </t>
  </si>
  <si>
    <t>Закрыто по РД.
Этого участка нет в согласованных 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</si>
</sst>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7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165" fontId="3" fillId="0" borderId="1" xfId="1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43" fontId="5" fillId="5" borderId="1" xfId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3" fontId="9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3" fontId="4" fillId="5" borderId="1" xfId="1" applyFont="1" applyFill="1" applyBorder="1" applyAlignment="1">
      <alignment horizontal="center"/>
    </xf>
    <xf numFmtId="43" fontId="5" fillId="6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6" borderId="1" xfId="0" applyNumberFormat="1" applyFont="1" applyFill="1" applyBorder="1" applyAlignment="1">
      <alignment vertical="center" wrapText="1"/>
    </xf>
    <xf numFmtId="0" fontId="5" fillId="6" borderId="12" xfId="3" applyFont="1" applyFill="1" applyBorder="1" applyAlignment="1">
      <alignment horizontal="left" vertical="center" wrapText="1"/>
    </xf>
    <xf numFmtId="43" fontId="12" fillId="0" borderId="1" xfId="1" applyFont="1" applyBorder="1"/>
    <xf numFmtId="165" fontId="0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43" fontId="4" fillId="6" borderId="1" xfId="1" applyFont="1" applyFill="1" applyBorder="1" applyAlignment="1">
      <alignment horizontal="center"/>
    </xf>
    <xf numFmtId="43" fontId="4" fillId="6" borderId="1" xfId="1" applyFont="1" applyFill="1" applyBorder="1" applyAlignment="1">
      <alignment horizontal="center" vertical="center"/>
    </xf>
    <xf numFmtId="0" fontId="11" fillId="5" borderId="12" xfId="3" applyFont="1" applyFill="1" applyBorder="1" applyAlignment="1">
      <alignment horizontal="left" vertical="center" wrapText="1"/>
    </xf>
    <xf numFmtId="43" fontId="16" fillId="5" borderId="1" xfId="1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6" fillId="0" borderId="1" xfId="3" applyFont="1" applyBorder="1" applyAlignment="1">
      <alignment horizontal="left" vertical="center" wrapText="1"/>
    </xf>
    <xf numFmtId="0" fontId="15" fillId="6" borderId="1" xfId="3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5" fontId="13" fillId="0" borderId="0" xfId="1" applyNumberFormat="1" applyFont="1"/>
    <xf numFmtId="0" fontId="5" fillId="6" borderId="1" xfId="0" applyFont="1" applyFill="1" applyBorder="1" applyAlignment="1">
      <alignment horizontal="center" wrapText="1"/>
    </xf>
    <xf numFmtId="0" fontId="6" fillId="5" borderId="12" xfId="3" applyFont="1" applyFill="1" applyBorder="1" applyAlignment="1">
      <alignment horizontal="left" vertical="center" wrapText="1"/>
    </xf>
    <xf numFmtId="0" fontId="2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vertical="center"/>
    </xf>
    <xf numFmtId="166" fontId="5" fillId="5" borderId="1" xfId="0" applyNumberFormat="1" applyFont="1" applyFill="1" applyBorder="1" applyAlignment="1">
      <alignment vertical="center"/>
    </xf>
    <xf numFmtId="43" fontId="5" fillId="5" borderId="1" xfId="1" applyFont="1" applyFill="1" applyBorder="1" applyAlignment="1">
      <alignment horizontal="center"/>
    </xf>
    <xf numFmtId="43" fontId="18" fillId="0" borderId="1" xfId="1" applyFont="1" applyBorder="1"/>
    <xf numFmtId="165" fontId="14" fillId="0" borderId="0" xfId="1" applyNumberFormat="1" applyFont="1"/>
    <xf numFmtId="165" fontId="7" fillId="0" borderId="0" xfId="1" applyNumberFormat="1" applyFont="1"/>
    <xf numFmtId="0" fontId="6" fillId="0" borderId="1" xfId="0" applyFont="1" applyBorder="1" applyAlignment="1">
      <alignment vertical="center"/>
    </xf>
    <xf numFmtId="0" fontId="5" fillId="0" borderId="1" xfId="0" applyFont="1" applyBorder="1"/>
    <xf numFmtId="43" fontId="5" fillId="6" borderId="1" xfId="1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43" fontId="15" fillId="2" borderId="1" xfId="1" applyFont="1" applyFill="1" applyBorder="1" applyAlignment="1">
      <alignment vertical="center"/>
    </xf>
    <xf numFmtId="43" fontId="15" fillId="2" borderId="1" xfId="1" applyFont="1" applyFill="1" applyBorder="1" applyAlignment="1">
      <alignment horizontal="right" vertical="center"/>
    </xf>
    <xf numFmtId="43" fontId="19" fillId="2" borderId="1" xfId="1" applyFont="1" applyFill="1" applyBorder="1" applyAlignment="1">
      <alignment horizontal="center" vertical="center"/>
    </xf>
    <xf numFmtId="43" fontId="15" fillId="3" borderId="1" xfId="1" applyFont="1" applyFill="1" applyBorder="1" applyAlignment="1">
      <alignment vertical="center"/>
    </xf>
    <xf numFmtId="43" fontId="15" fillId="3" borderId="1" xfId="1" applyFont="1" applyFill="1" applyBorder="1" applyAlignment="1">
      <alignment horizontal="right" vertical="center"/>
    </xf>
    <xf numFmtId="43" fontId="19" fillId="3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vertical="center"/>
    </xf>
    <xf numFmtId="43" fontId="9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left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vertical="center"/>
    </xf>
    <xf numFmtId="43" fontId="9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 vertical="center" wrapText="1"/>
    </xf>
    <xf numFmtId="0" fontId="5" fillId="8" borderId="12" xfId="3" applyFont="1" applyFill="1" applyBorder="1" applyAlignment="1">
      <alignment horizontal="left" vertical="center" wrapText="1"/>
    </xf>
    <xf numFmtId="43" fontId="5" fillId="8" borderId="1" xfId="1" applyFont="1" applyFill="1" applyBorder="1" applyAlignment="1">
      <alignment horizontal="center"/>
    </xf>
    <xf numFmtId="49" fontId="5" fillId="8" borderId="1" xfId="0" applyNumberFormat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 vertical="center"/>
    </xf>
    <xf numFmtId="1" fontId="5" fillId="7" borderId="1" xfId="0" applyNumberFormat="1" applyFont="1" applyFill="1" applyBorder="1" applyAlignment="1">
      <alignment vertical="center" wrapText="1"/>
    </xf>
    <xf numFmtId="4" fontId="5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horizontal="center"/>
    </xf>
    <xf numFmtId="1" fontId="5" fillId="8" borderId="1" xfId="0" applyNumberFormat="1" applyFont="1" applyFill="1" applyBorder="1" applyAlignment="1">
      <alignment vertical="center" wrapText="1"/>
    </xf>
    <xf numFmtId="43" fontId="15" fillId="6" borderId="1" xfId="1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0" fontId="5" fillId="7" borderId="12" xfId="3" applyFont="1" applyFill="1" applyBorder="1" applyAlignment="1">
      <alignment horizontal="left" vertical="center" wrapText="1"/>
    </xf>
    <xf numFmtId="165" fontId="5" fillId="7" borderId="1" xfId="1" applyNumberFormat="1" applyFont="1" applyFill="1" applyBorder="1" applyAlignment="1">
      <alignment vertical="center" wrapText="1"/>
    </xf>
    <xf numFmtId="168" fontId="5" fillId="7" borderId="1" xfId="0" applyNumberFormat="1" applyFont="1" applyFill="1" applyBorder="1" applyAlignment="1">
      <alignment vertical="center" wrapText="1"/>
    </xf>
    <xf numFmtId="168" fontId="5" fillId="8" borderId="1" xfId="0" applyNumberFormat="1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43" fontId="10" fillId="8" borderId="1" xfId="1" applyFont="1" applyFill="1" applyBorder="1" applyAlignment="1">
      <alignment horizontal="center"/>
    </xf>
    <xf numFmtId="43" fontId="10" fillId="8" borderId="1" xfId="1" applyFont="1" applyFill="1" applyBorder="1" applyAlignment="1">
      <alignment vertical="center"/>
    </xf>
    <xf numFmtId="168" fontId="5" fillId="7" borderId="1" xfId="0" applyNumberFormat="1" applyFont="1" applyFill="1" applyBorder="1" applyAlignment="1">
      <alignment horizontal="right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/>
    </xf>
    <xf numFmtId="43" fontId="4" fillId="7" borderId="1" xfId="1" applyFont="1" applyFill="1" applyBorder="1" applyAlignment="1">
      <alignment horizontal="center"/>
    </xf>
    <xf numFmtId="167" fontId="5" fillId="7" borderId="1" xfId="0" applyNumberFormat="1" applyFont="1" applyFill="1" applyBorder="1" applyAlignment="1">
      <alignment vertical="center" wrapText="1"/>
    </xf>
    <xf numFmtId="0" fontId="5" fillId="7" borderId="12" xfId="0" applyFont="1" applyFill="1" applyBorder="1" applyAlignment="1">
      <alignment horizontal="left" vertical="center" wrapText="1"/>
    </xf>
    <xf numFmtId="4" fontId="4" fillId="7" borderId="1" xfId="0" applyNumberFormat="1" applyFont="1" applyFill="1" applyBorder="1" applyAlignment="1">
      <alignment vertical="center" wrapText="1"/>
    </xf>
    <xf numFmtId="167" fontId="5" fillId="6" borderId="1" xfId="0" applyNumberFormat="1" applyFont="1" applyFill="1" applyBorder="1" applyAlignment="1">
      <alignment vertical="center" wrapText="1"/>
    </xf>
    <xf numFmtId="167" fontId="5" fillId="8" borderId="1" xfId="0" applyNumberFormat="1" applyFont="1" applyFill="1" applyBorder="1" applyAlignment="1">
      <alignment vertical="center" wrapText="1"/>
    </xf>
    <xf numFmtId="43" fontId="4" fillId="7" borderId="1" xfId="1" applyNumberFormat="1" applyFont="1" applyFill="1" applyBorder="1" applyAlignment="1">
      <alignment vertical="center"/>
    </xf>
    <xf numFmtId="0" fontId="7" fillId="8" borderId="0" xfId="0" applyFont="1" applyFill="1"/>
    <xf numFmtId="0" fontId="7" fillId="7" borderId="0" xfId="0" applyFont="1" applyFill="1"/>
    <xf numFmtId="0" fontId="7" fillId="5" borderId="0" xfId="0" applyFont="1" applyFill="1" applyAlignment="1">
      <alignment vertical="center"/>
    </xf>
    <xf numFmtId="43" fontId="5" fillId="6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7" fillId="0" borderId="12" xfId="3" applyFont="1" applyBorder="1" applyAlignment="1">
      <alignment horizontal="right" wrapText="1"/>
    </xf>
    <xf numFmtId="0" fontId="17" fillId="0" borderId="13" xfId="3" applyFont="1" applyBorder="1" applyAlignment="1">
      <alignment horizontal="right" wrapText="1"/>
    </xf>
    <xf numFmtId="0" fontId="17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9" fillId="7" borderId="3" xfId="1" applyFont="1" applyFill="1" applyBorder="1" applyAlignment="1">
      <alignment horizontal="center" vertical="center" wrapText="1"/>
    </xf>
    <xf numFmtId="43" fontId="9" fillId="7" borderId="6" xfId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/>
    </xf>
    <xf numFmtId="0" fontId="5" fillId="7" borderId="1" xfId="3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165" fontId="9" fillId="7" borderId="1" xfId="1" applyNumberFormat="1" applyFont="1" applyFill="1" applyBorder="1" applyAlignment="1">
      <alignment horizontal="center" vertical="center" wrapText="1"/>
    </xf>
    <xf numFmtId="43" fontId="15" fillId="6" borderId="1" xfId="1" applyFont="1" applyFill="1" applyBorder="1" applyAlignment="1">
      <alignment vertical="center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view="pageBreakPreview" zoomScaleNormal="100" zoomScaleSheetLayoutView="100" workbookViewId="0">
      <selection activeCell="B22" sqref="B22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39.5703125" customWidth="1"/>
    <col min="10" max="11" width="14.5703125" bestFit="1" customWidth="1"/>
  </cols>
  <sheetData>
    <row r="1" spans="1:9" x14ac:dyDescent="0.25">
      <c r="A1" s="151" t="s">
        <v>0</v>
      </c>
      <c r="B1" s="151" t="s">
        <v>1</v>
      </c>
      <c r="C1" s="152" t="s">
        <v>2</v>
      </c>
      <c r="D1" s="152"/>
      <c r="E1" s="152"/>
      <c r="F1" s="153" t="s">
        <v>3</v>
      </c>
      <c r="G1" s="153"/>
      <c r="H1" s="153"/>
    </row>
    <row r="2" spans="1:9" ht="28.5" x14ac:dyDescent="0.25">
      <c r="A2" s="151"/>
      <c r="B2" s="151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9" x14ac:dyDescent="0.25">
      <c r="A3" s="5">
        <v>1</v>
      </c>
      <c r="B3" s="6" t="s">
        <v>140</v>
      </c>
      <c r="C3" s="7">
        <f>'К16А дождеп'!F76</f>
        <v>1604321.1099999999</v>
      </c>
      <c r="D3" s="8">
        <f>'К16А дождеп'!I76</f>
        <v>402689.4</v>
      </c>
      <c r="E3" s="9">
        <f>C3+D3</f>
        <v>2007010.5099999998</v>
      </c>
      <c r="F3" s="10">
        <f>'К16А дождеп'!G76</f>
        <v>1925185.33</v>
      </c>
      <c r="G3" s="11">
        <f>'К16А дождеп'!J76</f>
        <v>483227.28</v>
      </c>
      <c r="H3" s="12">
        <f>F3+G3</f>
        <v>2408412.6100000003</v>
      </c>
      <c r="I3" s="13"/>
    </row>
    <row r="4" spans="1:9" x14ac:dyDescent="0.25">
      <c r="A4" s="5">
        <f>A3+1</f>
        <v>2</v>
      </c>
      <c r="B4" s="6" t="s">
        <v>139</v>
      </c>
      <c r="C4" s="7">
        <f>'К15-К17'!F89</f>
        <v>1553851.3800000001</v>
      </c>
      <c r="D4" s="8">
        <f>'К15-К17'!I89</f>
        <v>749818.49</v>
      </c>
      <c r="E4" s="9">
        <f>C4+D4</f>
        <v>2303669.87</v>
      </c>
      <c r="F4" s="10">
        <f>'К15-К17'!G89</f>
        <v>1864621.66</v>
      </c>
      <c r="G4" s="11">
        <f>'К15-К17'!J89</f>
        <v>899782.19</v>
      </c>
      <c r="H4" s="12">
        <f>F4+G4</f>
        <v>2764403.8499999996</v>
      </c>
      <c r="I4" s="13"/>
    </row>
    <row r="5" spans="1:9" x14ac:dyDescent="0.25">
      <c r="A5" s="5">
        <f t="shared" ref="A5:A6" si="0">A4+1</f>
        <v>3</v>
      </c>
      <c r="B5" s="6" t="s">
        <v>169</v>
      </c>
      <c r="C5" s="7">
        <f>'Кл1,2,3'!F46</f>
        <v>284174.56000000006</v>
      </c>
      <c r="D5" s="8">
        <f>'Кл1,2,3'!I46</f>
        <v>155612.59</v>
      </c>
      <c r="E5" s="9">
        <f>C5+D5</f>
        <v>439787.15</v>
      </c>
      <c r="F5" s="10">
        <f>'Кл1,2,3'!G46</f>
        <v>341009.47</v>
      </c>
      <c r="G5" s="11">
        <f>'Кл1,2,3'!J46</f>
        <v>186735.11</v>
      </c>
      <c r="H5" s="12">
        <f>F5+G5</f>
        <v>527744.57999999996</v>
      </c>
      <c r="I5" s="13"/>
    </row>
    <row r="6" spans="1:9" ht="28.5" customHeight="1" x14ac:dyDescent="0.25">
      <c r="A6" s="5">
        <f t="shared" si="0"/>
        <v>4</v>
      </c>
      <c r="B6" s="94" t="s">
        <v>152</v>
      </c>
      <c r="C6" s="95">
        <f>'К26-27'!F26</f>
        <v>373760.87999999995</v>
      </c>
      <c r="D6" s="96">
        <f>'К26-27'!I26</f>
        <v>682746.01</v>
      </c>
      <c r="E6" s="97">
        <f t="shared" ref="E6" si="1">C6+D6</f>
        <v>1056506.8899999999</v>
      </c>
      <c r="F6" s="98">
        <f>'К26-27'!G26</f>
        <v>448513.06</v>
      </c>
      <c r="G6" s="99">
        <f>'К26-27'!J26</f>
        <v>819295.21</v>
      </c>
      <c r="H6" s="100">
        <f t="shared" ref="H6" si="2">F6+G6</f>
        <v>1267808.27</v>
      </c>
      <c r="I6" s="102" t="s">
        <v>216</v>
      </c>
    </row>
    <row r="7" spans="1:9" x14ac:dyDescent="0.25">
      <c r="A7" s="14"/>
      <c r="B7" s="15" t="s">
        <v>7</v>
      </c>
      <c r="C7" s="16">
        <f t="shared" ref="C7:H7" si="3">SUM(C3:C6)</f>
        <v>3816107.93</v>
      </c>
      <c r="D7" s="16">
        <f t="shared" si="3"/>
        <v>1990866.4900000002</v>
      </c>
      <c r="E7" s="16">
        <f t="shared" si="3"/>
        <v>5806974.4199999999</v>
      </c>
      <c r="F7" s="17">
        <f t="shared" si="3"/>
        <v>4579329.5199999996</v>
      </c>
      <c r="G7" s="17">
        <f t="shared" si="3"/>
        <v>2389039.79</v>
      </c>
      <c r="H7" s="17">
        <f t="shared" si="3"/>
        <v>6968369.3100000005</v>
      </c>
      <c r="I7" s="13"/>
    </row>
    <row r="8" spans="1:9" x14ac:dyDescent="0.25">
      <c r="A8" s="18"/>
      <c r="B8" s="18"/>
      <c r="C8" s="18"/>
      <c r="D8" s="18"/>
      <c r="E8" s="18"/>
      <c r="I8" s="13"/>
    </row>
    <row r="9" spans="1:9" x14ac:dyDescent="0.25">
      <c r="A9" s="18"/>
      <c r="B9" s="18"/>
      <c r="C9" s="18"/>
      <c r="D9" s="18"/>
      <c r="E9" s="18"/>
    </row>
    <row r="10" spans="1:9" x14ac:dyDescent="0.25">
      <c r="A10" s="18"/>
      <c r="B10" s="18"/>
      <c r="C10" s="18"/>
      <c r="D10" s="18"/>
      <c r="E10" s="18"/>
    </row>
    <row r="11" spans="1:9" x14ac:dyDescent="0.25">
      <c r="A11" s="18"/>
      <c r="B11" s="18"/>
      <c r="C11" s="18"/>
      <c r="D11" s="18"/>
      <c r="E11" s="18"/>
    </row>
    <row r="12" spans="1:9" x14ac:dyDescent="0.25">
      <c r="A12" s="18"/>
      <c r="B12" s="18"/>
      <c r="C12" s="18"/>
      <c r="D12" s="18"/>
      <c r="E12" s="18"/>
    </row>
    <row r="13" spans="1:9" x14ac:dyDescent="0.25">
      <c r="A13" s="18"/>
      <c r="B13" s="18"/>
      <c r="C13" s="18"/>
      <c r="D13" s="18"/>
      <c r="E13" s="18"/>
    </row>
    <row r="14" spans="1:9" x14ac:dyDescent="0.25">
      <c r="A14" s="18"/>
      <c r="B14" s="18"/>
      <c r="C14" s="18"/>
      <c r="D14" s="18"/>
      <c r="E14" s="18"/>
    </row>
    <row r="15" spans="1:9" x14ac:dyDescent="0.25">
      <c r="A15" s="18"/>
      <c r="B15" s="18"/>
      <c r="C15" s="18"/>
      <c r="D15" s="18"/>
      <c r="E15" s="18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M79"/>
  <sheetViews>
    <sheetView view="pageBreakPreview" topLeftCell="A52" zoomScale="90" zoomScaleNormal="100" zoomScaleSheetLayoutView="90" workbookViewId="0">
      <selection activeCell="F68" sqref="F68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1" style="19" bestFit="1" customWidth="1"/>
    <col min="5" max="5" width="15.140625" style="19" customWidth="1"/>
    <col min="6" max="6" width="16" style="19" customWidth="1"/>
    <col min="7" max="7" width="17.140625" style="90" customWidth="1"/>
    <col min="8" max="8" width="16.140625" style="90" customWidth="1"/>
    <col min="9" max="12" width="16.140625" style="19" customWidth="1"/>
    <col min="13" max="13" width="55.42578125" style="19" customWidth="1"/>
    <col min="14" max="16384" width="8.85546875" style="19"/>
  </cols>
  <sheetData>
    <row r="1" spans="1:13" ht="14.45" customHeight="1" x14ac:dyDescent="0.25">
      <c r="A1" s="159" t="s">
        <v>0</v>
      </c>
      <c r="B1" s="162" t="s">
        <v>8</v>
      </c>
      <c r="C1" s="165" t="s">
        <v>9</v>
      </c>
      <c r="D1" s="165" t="s">
        <v>10</v>
      </c>
      <c r="E1" s="166" t="s">
        <v>11</v>
      </c>
      <c r="F1" s="167"/>
      <c r="G1" s="167"/>
      <c r="H1" s="167"/>
      <c r="I1" s="167"/>
      <c r="J1" s="167"/>
      <c r="K1" s="167"/>
      <c r="L1" s="167"/>
    </row>
    <row r="2" spans="1:13" ht="14.45" customHeight="1" x14ac:dyDescent="0.25">
      <c r="A2" s="160"/>
      <c r="B2" s="163"/>
      <c r="C2" s="165"/>
      <c r="D2" s="165"/>
      <c r="E2" s="168"/>
      <c r="F2" s="169"/>
      <c r="G2" s="169"/>
      <c r="H2" s="169"/>
      <c r="I2" s="169"/>
      <c r="J2" s="169"/>
      <c r="K2" s="169"/>
      <c r="L2" s="169"/>
    </row>
    <row r="3" spans="1:13" ht="27.75" customHeight="1" x14ac:dyDescent="0.25">
      <c r="A3" s="160"/>
      <c r="B3" s="163"/>
      <c r="C3" s="165"/>
      <c r="D3" s="165"/>
      <c r="E3" s="165" t="s">
        <v>12</v>
      </c>
      <c r="F3" s="165"/>
      <c r="G3" s="165"/>
      <c r="H3" s="165" t="s">
        <v>13</v>
      </c>
      <c r="I3" s="165"/>
      <c r="J3" s="165"/>
      <c r="K3" s="170" t="s">
        <v>14</v>
      </c>
      <c r="L3" s="170"/>
    </row>
    <row r="4" spans="1:13" ht="56.1" customHeight="1" x14ac:dyDescent="0.25">
      <c r="A4" s="161"/>
      <c r="B4" s="164"/>
      <c r="C4" s="165"/>
      <c r="D4" s="165"/>
      <c r="E4" s="83" t="s">
        <v>15</v>
      </c>
      <c r="F4" s="83" t="s">
        <v>16</v>
      </c>
      <c r="G4" s="85" t="s">
        <v>17</v>
      </c>
      <c r="H4" s="83" t="s">
        <v>15</v>
      </c>
      <c r="I4" s="83" t="s">
        <v>16</v>
      </c>
      <c r="J4" s="85" t="s">
        <v>17</v>
      </c>
      <c r="K4" s="83" t="s">
        <v>18</v>
      </c>
      <c r="L4" s="83" t="s">
        <v>3</v>
      </c>
    </row>
    <row r="5" spans="1:13" x14ac:dyDescent="0.25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19"/>
    </row>
    <row r="6" spans="1:13" ht="20.25" customHeight="1" x14ac:dyDescent="0.25">
      <c r="A6" s="24"/>
      <c r="B6" s="154" t="s">
        <v>121</v>
      </c>
      <c r="C6" s="155"/>
      <c r="D6" s="155"/>
      <c r="E6" s="25"/>
      <c r="F6" s="26"/>
      <c r="G6" s="27"/>
      <c r="H6" s="27"/>
      <c r="I6" s="27"/>
      <c r="J6" s="27"/>
      <c r="K6" s="27"/>
      <c r="L6" s="27"/>
    </row>
    <row r="7" spans="1:13" ht="24" customHeight="1" x14ac:dyDescent="0.25">
      <c r="A7" s="34"/>
      <c r="B7" s="91" t="s">
        <v>19</v>
      </c>
      <c r="C7" s="92"/>
      <c r="D7" s="92"/>
      <c r="E7" s="55"/>
      <c r="F7" s="36"/>
      <c r="G7" s="36"/>
      <c r="H7" s="32"/>
      <c r="I7" s="37"/>
      <c r="J7" s="37"/>
      <c r="K7" s="55"/>
      <c r="L7" s="36"/>
    </row>
    <row r="8" spans="1:13" ht="18.75" customHeight="1" x14ac:dyDescent="0.25">
      <c r="A8" s="103">
        <f>A7+1</f>
        <v>1</v>
      </c>
      <c r="B8" s="104" t="s">
        <v>20</v>
      </c>
      <c r="C8" s="103" t="s">
        <v>21</v>
      </c>
      <c r="D8" s="105">
        <f>8.8+66.15</f>
        <v>74.95</v>
      </c>
      <c r="E8" s="106">
        <v>3500</v>
      </c>
      <c r="F8" s="106">
        <f>ROUND(E8*D8,2)</f>
        <v>262325</v>
      </c>
      <c r="G8" s="106">
        <f>ROUND(F8*1.2,2)</f>
        <v>314790</v>
      </c>
      <c r="H8" s="107"/>
      <c r="I8" s="106"/>
      <c r="J8" s="106"/>
      <c r="K8" s="108">
        <f t="shared" ref="K8:L10" si="0">F8+I8</f>
        <v>262325</v>
      </c>
      <c r="L8" s="106">
        <f t="shared" si="0"/>
        <v>314790</v>
      </c>
      <c r="M8" s="149" t="s">
        <v>215</v>
      </c>
    </row>
    <row r="9" spans="1:13" ht="18" customHeight="1" x14ac:dyDescent="0.25">
      <c r="A9" s="109">
        <f>A8+1</f>
        <v>2</v>
      </c>
      <c r="B9" s="110" t="s">
        <v>22</v>
      </c>
      <c r="C9" s="109" t="s">
        <v>23</v>
      </c>
      <c r="D9" s="111">
        <f>0.92+12.14</f>
        <v>13.06</v>
      </c>
      <c r="E9" s="112">
        <f>ROUND(65055.24/(297.03*0.05),2)</f>
        <v>4380.38</v>
      </c>
      <c r="F9" s="112">
        <f>ROUND(E9*D9,2)</f>
        <v>57207.76</v>
      </c>
      <c r="G9" s="112">
        <f>ROUND(F9*1.2,2)</f>
        <v>68649.31</v>
      </c>
      <c r="H9" s="113"/>
      <c r="I9" s="112"/>
      <c r="J9" s="112"/>
      <c r="K9" s="114">
        <f t="shared" si="0"/>
        <v>57207.76</v>
      </c>
      <c r="L9" s="112">
        <f t="shared" si="0"/>
        <v>68649.31</v>
      </c>
      <c r="M9" s="19" t="s">
        <v>24</v>
      </c>
    </row>
    <row r="10" spans="1:13" ht="20.25" customHeight="1" x14ac:dyDescent="0.25">
      <c r="A10" s="109">
        <f>A9+1</f>
        <v>3</v>
      </c>
      <c r="B10" s="110" t="s">
        <v>25</v>
      </c>
      <c r="C10" s="109" t="s">
        <v>23</v>
      </c>
      <c r="D10" s="111">
        <f>1.45+17.46</f>
        <v>18.91</v>
      </c>
      <c r="E10" s="114">
        <v>304</v>
      </c>
      <c r="F10" s="112">
        <f>ROUND(E10*D10,2)</f>
        <v>5748.64</v>
      </c>
      <c r="G10" s="112">
        <f>ROUND(F10*1.2,2)</f>
        <v>6898.37</v>
      </c>
      <c r="H10" s="112"/>
      <c r="I10" s="112"/>
      <c r="J10" s="112"/>
      <c r="K10" s="114">
        <f t="shared" si="0"/>
        <v>5748.64</v>
      </c>
      <c r="L10" s="112">
        <f t="shared" si="0"/>
        <v>6898.37</v>
      </c>
      <c r="M10" s="19" t="s">
        <v>24</v>
      </c>
    </row>
    <row r="11" spans="1:13" ht="20.25" customHeight="1" x14ac:dyDescent="0.25">
      <c r="A11" s="34"/>
      <c r="B11" s="71" t="s">
        <v>67</v>
      </c>
      <c r="C11" s="34"/>
      <c r="D11" s="35"/>
      <c r="E11" s="32"/>
      <c r="F11" s="37"/>
      <c r="G11" s="37"/>
      <c r="H11" s="37"/>
      <c r="I11" s="37"/>
      <c r="J11" s="37"/>
      <c r="K11" s="55"/>
      <c r="L11" s="37"/>
      <c r="M11" s="62"/>
    </row>
    <row r="12" spans="1:13" ht="20.25" customHeight="1" x14ac:dyDescent="0.25">
      <c r="A12" s="109">
        <f>A10+1</f>
        <v>4</v>
      </c>
      <c r="B12" s="115" t="s">
        <v>26</v>
      </c>
      <c r="C12" s="109" t="s">
        <v>30</v>
      </c>
      <c r="D12" s="111">
        <v>49.98</v>
      </c>
      <c r="E12" s="112">
        <v>431.37</v>
      </c>
      <c r="F12" s="112">
        <f>ROUND(E12*D12,2)</f>
        <v>21559.87</v>
      </c>
      <c r="G12" s="112">
        <f>ROUND(F12*1.2,2)</f>
        <v>25871.84</v>
      </c>
      <c r="H12" s="113"/>
      <c r="I12" s="112"/>
      <c r="J12" s="112"/>
      <c r="K12" s="114">
        <f>F12+I12</f>
        <v>21559.87</v>
      </c>
      <c r="L12" s="112">
        <f>G12+J12</f>
        <v>25871.84</v>
      </c>
      <c r="M12" s="62"/>
    </row>
    <row r="13" spans="1:13" ht="20.25" customHeight="1" x14ac:dyDescent="0.25">
      <c r="A13" s="40"/>
      <c r="B13" s="38" t="s">
        <v>33</v>
      </c>
      <c r="C13" s="34"/>
      <c r="D13" s="48"/>
      <c r="E13" s="50"/>
      <c r="F13" s="50"/>
      <c r="G13" s="86"/>
      <c r="H13" s="87"/>
      <c r="I13" s="37"/>
      <c r="J13" s="37"/>
      <c r="K13" s="55"/>
      <c r="L13" s="37"/>
    </row>
    <row r="14" spans="1:13" ht="20.25" customHeight="1" x14ac:dyDescent="0.25">
      <c r="A14" s="40"/>
      <c r="B14" s="73" t="s">
        <v>85</v>
      </c>
      <c r="C14" s="34"/>
      <c r="D14" s="48"/>
      <c r="E14" s="50"/>
      <c r="F14" s="50"/>
      <c r="G14" s="86"/>
      <c r="H14" s="87"/>
      <c r="I14" s="37"/>
      <c r="J14" s="37"/>
      <c r="K14" s="55"/>
      <c r="L14" s="37"/>
    </row>
    <row r="15" spans="1:13" ht="27.75" customHeight="1" x14ac:dyDescent="0.25">
      <c r="A15" s="109">
        <f>A12+1</f>
        <v>5</v>
      </c>
      <c r="B15" s="110" t="s">
        <v>58</v>
      </c>
      <c r="C15" s="109" t="s">
        <v>23</v>
      </c>
      <c r="D15" s="111">
        <v>4.32</v>
      </c>
      <c r="E15" s="113">
        <v>355.3</v>
      </c>
      <c r="F15" s="112">
        <f>ROUND(E15*D15,2)</f>
        <v>1534.9</v>
      </c>
      <c r="G15" s="112">
        <f>ROUND(F15*1.2,2)</f>
        <v>1841.88</v>
      </c>
      <c r="H15" s="116"/>
      <c r="I15" s="112"/>
      <c r="J15" s="112"/>
      <c r="K15" s="114">
        <f t="shared" ref="K15:L18" si="1">F15+I15</f>
        <v>1534.9</v>
      </c>
      <c r="L15" s="112">
        <f t="shared" si="1"/>
        <v>1841.88</v>
      </c>
    </row>
    <row r="16" spans="1:13" ht="27.75" customHeight="1" x14ac:dyDescent="0.25">
      <c r="A16" s="109">
        <f>A15+1</f>
        <v>6</v>
      </c>
      <c r="B16" s="110" t="s">
        <v>34</v>
      </c>
      <c r="C16" s="109" t="s">
        <v>23</v>
      </c>
      <c r="D16" s="111">
        <v>0.08</v>
      </c>
      <c r="E16" s="113">
        <v>1688.15</v>
      </c>
      <c r="F16" s="112">
        <f>ROUND(E16*D16,2)</f>
        <v>135.05000000000001</v>
      </c>
      <c r="G16" s="112">
        <f>ROUND(F16*1.2,2)</f>
        <v>162.06</v>
      </c>
      <c r="H16" s="116"/>
      <c r="I16" s="112"/>
      <c r="J16" s="112"/>
      <c r="K16" s="114">
        <f t="shared" si="1"/>
        <v>135.05000000000001</v>
      </c>
      <c r="L16" s="112">
        <f t="shared" si="1"/>
        <v>162.06</v>
      </c>
    </row>
    <row r="17" spans="1:13" ht="20.25" customHeight="1" x14ac:dyDescent="0.25">
      <c r="A17" s="109">
        <f>A16+1</f>
        <v>7</v>
      </c>
      <c r="B17" s="110" t="s">
        <v>77</v>
      </c>
      <c r="C17" s="109" t="s">
        <v>23</v>
      </c>
      <c r="D17" s="111">
        <v>0.48</v>
      </c>
      <c r="E17" s="113">
        <v>1350.9</v>
      </c>
      <c r="F17" s="112">
        <f>ROUND(E17*D17,2)</f>
        <v>648.42999999999995</v>
      </c>
      <c r="G17" s="112">
        <f>ROUND(F17*1.2,2)</f>
        <v>778.12</v>
      </c>
      <c r="H17" s="116"/>
      <c r="I17" s="112"/>
      <c r="J17" s="112"/>
      <c r="K17" s="114">
        <f t="shared" si="1"/>
        <v>648.42999999999995</v>
      </c>
      <c r="L17" s="112">
        <f t="shared" si="1"/>
        <v>778.12</v>
      </c>
    </row>
    <row r="18" spans="1:13" ht="20.25" customHeight="1" x14ac:dyDescent="0.25">
      <c r="A18" s="40" t="s">
        <v>31</v>
      </c>
      <c r="B18" s="41" t="s">
        <v>59</v>
      </c>
      <c r="C18" s="42" t="s">
        <v>23</v>
      </c>
      <c r="D18" s="43">
        <f>D17*1.26</f>
        <v>0.6048</v>
      </c>
      <c r="E18" s="44"/>
      <c r="F18" s="59"/>
      <c r="G18" s="59"/>
      <c r="H18" s="44">
        <v>1299.5999999999999</v>
      </c>
      <c r="I18" s="59">
        <f>ROUND(H18*D18,2)</f>
        <v>786</v>
      </c>
      <c r="J18" s="59">
        <f>ROUND(I18*1.2,2)</f>
        <v>943.2</v>
      </c>
      <c r="K18" s="61">
        <f t="shared" si="1"/>
        <v>786</v>
      </c>
      <c r="L18" s="59">
        <f t="shared" si="1"/>
        <v>943.2</v>
      </c>
      <c r="M18" s="62"/>
    </row>
    <row r="19" spans="1:13" ht="18.75" customHeight="1" x14ac:dyDescent="0.25">
      <c r="A19" s="109">
        <f>A17+1</f>
        <v>8</v>
      </c>
      <c r="B19" s="110" t="s">
        <v>86</v>
      </c>
      <c r="C19" s="109" t="s">
        <v>23</v>
      </c>
      <c r="D19" s="111">
        <v>3.45</v>
      </c>
      <c r="E19" s="113">
        <v>1310.05</v>
      </c>
      <c r="F19" s="112">
        <f>ROUND(E19*D19,2)</f>
        <v>4519.67</v>
      </c>
      <c r="G19" s="112">
        <f>ROUND(F19*1.2,2)</f>
        <v>5423.6</v>
      </c>
      <c r="H19" s="112"/>
      <c r="I19" s="112"/>
      <c r="J19" s="112"/>
      <c r="K19" s="114">
        <f t="shared" ref="K19:L20" si="2">F19+I19</f>
        <v>4519.67</v>
      </c>
      <c r="L19" s="112">
        <f t="shared" si="2"/>
        <v>5423.6</v>
      </c>
    </row>
    <row r="20" spans="1:13" ht="18.75" customHeight="1" x14ac:dyDescent="0.25">
      <c r="A20" s="40" t="s">
        <v>32</v>
      </c>
      <c r="B20" s="41" t="s">
        <v>37</v>
      </c>
      <c r="C20" s="42" t="s">
        <v>23</v>
      </c>
      <c r="D20" s="43">
        <f>D19*1.1</f>
        <v>3.7950000000000004</v>
      </c>
      <c r="E20" s="44"/>
      <c r="F20" s="59"/>
      <c r="G20" s="59"/>
      <c r="H20" s="59">
        <v>1191.3</v>
      </c>
      <c r="I20" s="59">
        <f>ROUND(H20*D20,2)</f>
        <v>4520.9799999999996</v>
      </c>
      <c r="J20" s="59">
        <f>ROUND(I20*1.2,2)</f>
        <v>5425.18</v>
      </c>
      <c r="K20" s="61">
        <f t="shared" si="2"/>
        <v>4520.9799999999996</v>
      </c>
      <c r="L20" s="59">
        <f t="shared" si="2"/>
        <v>5425.18</v>
      </c>
    </row>
    <row r="21" spans="1:13" s="56" customFormat="1" ht="21.75" customHeight="1" x14ac:dyDescent="0.25">
      <c r="A21" s="109">
        <f>A19+1</f>
        <v>9</v>
      </c>
      <c r="B21" s="110" t="s">
        <v>57</v>
      </c>
      <c r="C21" s="109" t="s">
        <v>23</v>
      </c>
      <c r="D21" s="111">
        <v>1.42</v>
      </c>
      <c r="E21" s="113">
        <v>118.75</v>
      </c>
      <c r="F21" s="112">
        <f>ROUND(E21*D21,2)</f>
        <v>168.63</v>
      </c>
      <c r="G21" s="112">
        <f>ROUND(F21*1.2,2)</f>
        <v>202.36</v>
      </c>
      <c r="H21" s="116"/>
      <c r="I21" s="112"/>
      <c r="J21" s="112"/>
      <c r="K21" s="114">
        <f>F21+I21</f>
        <v>168.63</v>
      </c>
      <c r="L21" s="112">
        <f>G21+J21</f>
        <v>202.36</v>
      </c>
    </row>
    <row r="22" spans="1:13" ht="18.75" customHeight="1" x14ac:dyDescent="0.25">
      <c r="A22" s="109">
        <f>A21+1</f>
        <v>10</v>
      </c>
      <c r="B22" s="110" t="s">
        <v>39</v>
      </c>
      <c r="C22" s="109" t="s">
        <v>23</v>
      </c>
      <c r="D22" s="111">
        <v>4.87</v>
      </c>
      <c r="E22" s="113">
        <v>188.1</v>
      </c>
      <c r="F22" s="112">
        <f>ROUND(E22*D22,2)</f>
        <v>916.05</v>
      </c>
      <c r="G22" s="112">
        <f>ROUND(F22*1.2,2)</f>
        <v>1099.26</v>
      </c>
      <c r="H22" s="114"/>
      <c r="I22" s="112"/>
      <c r="J22" s="112"/>
      <c r="K22" s="114">
        <f>F22+I22</f>
        <v>916.05</v>
      </c>
      <c r="L22" s="112">
        <f>G22+J22</f>
        <v>1099.26</v>
      </c>
    </row>
    <row r="23" spans="1:13" ht="18.75" customHeight="1" x14ac:dyDescent="0.25">
      <c r="A23" s="34"/>
      <c r="B23" s="73" t="s">
        <v>84</v>
      </c>
      <c r="C23" s="67"/>
      <c r="D23" s="68"/>
      <c r="E23" s="32"/>
      <c r="F23" s="36"/>
      <c r="G23" s="36"/>
      <c r="H23" s="32"/>
      <c r="I23" s="37"/>
      <c r="J23" s="37"/>
      <c r="K23" s="55"/>
      <c r="L23" s="37"/>
    </row>
    <row r="24" spans="1:13" ht="27.75" customHeight="1" x14ac:dyDescent="0.25">
      <c r="A24" s="109">
        <f>A22+1</f>
        <v>11</v>
      </c>
      <c r="B24" s="110" t="s">
        <v>83</v>
      </c>
      <c r="C24" s="109" t="s">
        <v>23</v>
      </c>
      <c r="D24" s="111">
        <v>48.82</v>
      </c>
      <c r="E24" s="113">
        <v>355.3</v>
      </c>
      <c r="F24" s="112">
        <f>ROUND(E24*D24,2)</f>
        <v>17345.75</v>
      </c>
      <c r="G24" s="112">
        <f>ROUND(F24*1.2,2)</f>
        <v>20814.900000000001</v>
      </c>
      <c r="H24" s="116"/>
      <c r="I24" s="112"/>
      <c r="J24" s="112"/>
      <c r="K24" s="114">
        <f t="shared" ref="K24:L31" si="3">F24+I24</f>
        <v>17345.75</v>
      </c>
      <c r="L24" s="112">
        <f t="shared" si="3"/>
        <v>20814.900000000001</v>
      </c>
    </row>
    <row r="25" spans="1:13" ht="27.75" customHeight="1" x14ac:dyDescent="0.25">
      <c r="A25" s="109">
        <f>A24+1</f>
        <v>12</v>
      </c>
      <c r="B25" s="110" t="s">
        <v>34</v>
      </c>
      <c r="C25" s="109" t="s">
        <v>23</v>
      </c>
      <c r="D25" s="111">
        <v>1.52</v>
      </c>
      <c r="E25" s="113">
        <v>1688.15</v>
      </c>
      <c r="F25" s="112">
        <f>ROUND(E25*D25,2)</f>
        <v>2565.9899999999998</v>
      </c>
      <c r="G25" s="112">
        <f>ROUND(F25*1.2,2)</f>
        <v>3079.19</v>
      </c>
      <c r="H25" s="116"/>
      <c r="I25" s="112"/>
      <c r="J25" s="112"/>
      <c r="K25" s="114">
        <f t="shared" si="3"/>
        <v>2565.9899999999998</v>
      </c>
      <c r="L25" s="112">
        <f t="shared" si="3"/>
        <v>3079.19</v>
      </c>
    </row>
    <row r="26" spans="1:13" ht="20.25" hidden="1" customHeight="1" x14ac:dyDescent="0.25">
      <c r="A26" s="109">
        <f>A25+1</f>
        <v>13</v>
      </c>
      <c r="B26" s="110" t="s">
        <v>35</v>
      </c>
      <c r="C26" s="109" t="s">
        <v>23</v>
      </c>
      <c r="D26" s="111"/>
      <c r="E26" s="113">
        <v>1379</v>
      </c>
      <c r="F26" s="112">
        <f>ROUND(E26*D26,2)</f>
        <v>0</v>
      </c>
      <c r="G26" s="112">
        <f>ROUND(F26*1.2,2)</f>
        <v>0</v>
      </c>
      <c r="H26" s="116"/>
      <c r="I26" s="112"/>
      <c r="J26" s="112"/>
      <c r="K26" s="114">
        <f t="shared" si="3"/>
        <v>0</v>
      </c>
      <c r="L26" s="112">
        <f t="shared" si="3"/>
        <v>0</v>
      </c>
    </row>
    <row r="27" spans="1:13" ht="20.25" hidden="1" customHeight="1" x14ac:dyDescent="0.25">
      <c r="A27" s="117" t="s">
        <v>60</v>
      </c>
      <c r="B27" s="110" t="s">
        <v>37</v>
      </c>
      <c r="C27" s="109" t="s">
        <v>23</v>
      </c>
      <c r="D27" s="111"/>
      <c r="E27" s="113"/>
      <c r="F27" s="112"/>
      <c r="G27" s="112"/>
      <c r="H27" s="118">
        <v>1320</v>
      </c>
      <c r="I27" s="112">
        <f>ROUND(H27*D27,2)</f>
        <v>0</v>
      </c>
      <c r="J27" s="112">
        <f>ROUND(I27*1.2,2)</f>
        <v>0</v>
      </c>
      <c r="K27" s="114">
        <f t="shared" si="3"/>
        <v>0</v>
      </c>
      <c r="L27" s="112">
        <f t="shared" si="3"/>
        <v>0</v>
      </c>
    </row>
    <row r="28" spans="1:13" ht="20.25" customHeight="1" x14ac:dyDescent="0.25">
      <c r="A28" s="109">
        <f>A25+1</f>
        <v>13</v>
      </c>
      <c r="B28" s="110" t="s">
        <v>86</v>
      </c>
      <c r="C28" s="109" t="s">
        <v>23</v>
      </c>
      <c r="D28" s="111">
        <v>19.96</v>
      </c>
      <c r="E28" s="113">
        <v>1310.05</v>
      </c>
      <c r="F28" s="112">
        <f>ROUND(E28*D28,2)</f>
        <v>26148.6</v>
      </c>
      <c r="G28" s="112">
        <f>ROUND(F28*1.2,2)</f>
        <v>31378.32</v>
      </c>
      <c r="H28" s="112"/>
      <c r="I28" s="112"/>
      <c r="J28" s="112"/>
      <c r="K28" s="114">
        <f t="shared" si="3"/>
        <v>26148.6</v>
      </c>
      <c r="L28" s="112">
        <f t="shared" si="3"/>
        <v>31378.32</v>
      </c>
    </row>
    <row r="29" spans="1:13" ht="20.25" customHeight="1" x14ac:dyDescent="0.25">
      <c r="A29" s="40" t="s">
        <v>60</v>
      </c>
      <c r="B29" s="41" t="s">
        <v>37</v>
      </c>
      <c r="C29" s="42" t="s">
        <v>23</v>
      </c>
      <c r="D29" s="43">
        <f>D28*1.1</f>
        <v>21.956000000000003</v>
      </c>
      <c r="E29" s="44"/>
      <c r="F29" s="59"/>
      <c r="G29" s="59"/>
      <c r="H29" s="59">
        <v>1191.3</v>
      </c>
      <c r="I29" s="59">
        <f>ROUND(H29*D29,2)</f>
        <v>26156.18</v>
      </c>
      <c r="J29" s="59">
        <f>ROUND(I29*1.2,2)</f>
        <v>31387.42</v>
      </c>
      <c r="K29" s="61">
        <f t="shared" si="3"/>
        <v>26156.18</v>
      </c>
      <c r="L29" s="59">
        <f t="shared" si="3"/>
        <v>31387.42</v>
      </c>
    </row>
    <row r="30" spans="1:13" s="56" customFormat="1" ht="21.75" customHeight="1" x14ac:dyDescent="0.25">
      <c r="A30" s="109">
        <f>A28+1</f>
        <v>14</v>
      </c>
      <c r="B30" s="110" t="s">
        <v>57</v>
      </c>
      <c r="C30" s="109" t="s">
        <v>23</v>
      </c>
      <c r="D30" s="111">
        <v>54.54</v>
      </c>
      <c r="E30" s="113">
        <v>118.75</v>
      </c>
      <c r="F30" s="112">
        <f>ROUND(E30*D30,2)</f>
        <v>6476.63</v>
      </c>
      <c r="G30" s="112">
        <f>ROUND(F30*1.2,2)</f>
        <v>7771.96</v>
      </c>
      <c r="H30" s="116"/>
      <c r="I30" s="112"/>
      <c r="J30" s="112"/>
      <c r="K30" s="114">
        <f t="shared" si="3"/>
        <v>6476.63</v>
      </c>
      <c r="L30" s="112">
        <f t="shared" si="3"/>
        <v>7771.96</v>
      </c>
    </row>
    <row r="31" spans="1:13" ht="18.75" customHeight="1" x14ac:dyDescent="0.25">
      <c r="A31" s="109">
        <f>A30+1</f>
        <v>15</v>
      </c>
      <c r="B31" s="110" t="s">
        <v>39</v>
      </c>
      <c r="C31" s="109" t="s">
        <v>23</v>
      </c>
      <c r="D31" s="111">
        <v>74.5</v>
      </c>
      <c r="E31" s="113">
        <v>188.1</v>
      </c>
      <c r="F31" s="112">
        <f>ROUND(E31*D31,2)</f>
        <v>14013.45</v>
      </c>
      <c r="G31" s="112">
        <f>ROUND(F31*1.2,2)</f>
        <v>16816.14</v>
      </c>
      <c r="H31" s="114"/>
      <c r="I31" s="112"/>
      <c r="J31" s="112"/>
      <c r="K31" s="114">
        <f t="shared" si="3"/>
        <v>14013.45</v>
      </c>
      <c r="L31" s="112">
        <f t="shared" si="3"/>
        <v>16816.14</v>
      </c>
    </row>
    <row r="32" spans="1:13" ht="18.75" customHeight="1" x14ac:dyDescent="0.25">
      <c r="A32" s="34"/>
      <c r="B32" s="71" t="s">
        <v>67</v>
      </c>
      <c r="C32" s="67"/>
      <c r="D32" s="68"/>
      <c r="E32" s="32"/>
      <c r="F32" s="36"/>
      <c r="G32" s="36"/>
      <c r="H32" s="55"/>
      <c r="I32" s="37"/>
      <c r="J32" s="37"/>
      <c r="K32" s="55"/>
      <c r="L32" s="37"/>
    </row>
    <row r="33" spans="1:13" ht="18.75" customHeight="1" x14ac:dyDescent="0.25">
      <c r="A33" s="109">
        <f>A31+1</f>
        <v>16</v>
      </c>
      <c r="B33" s="110" t="s">
        <v>68</v>
      </c>
      <c r="C33" s="109" t="s">
        <v>30</v>
      </c>
      <c r="D33" s="111">
        <v>2.3199999999999998</v>
      </c>
      <c r="E33" s="113">
        <v>308.75</v>
      </c>
      <c r="F33" s="112">
        <f>ROUND(E33*D33,2)</f>
        <v>716.3</v>
      </c>
      <c r="G33" s="112">
        <f>ROUND(F33*1.2,2)</f>
        <v>859.56</v>
      </c>
      <c r="H33" s="113"/>
      <c r="I33" s="112"/>
      <c r="J33" s="112"/>
      <c r="K33" s="114">
        <f>F33+I33</f>
        <v>716.3</v>
      </c>
      <c r="L33" s="112">
        <f>G33+J33</f>
        <v>859.56</v>
      </c>
    </row>
    <row r="34" spans="1:13" ht="18.75" customHeight="1" x14ac:dyDescent="0.25">
      <c r="A34" s="109">
        <f>A33+1</f>
        <v>17</v>
      </c>
      <c r="B34" s="110" t="s">
        <v>69</v>
      </c>
      <c r="C34" s="109" t="s">
        <v>23</v>
      </c>
      <c r="D34" s="111">
        <v>2.3199999999999998</v>
      </c>
      <c r="E34" s="113">
        <v>237.5</v>
      </c>
      <c r="F34" s="112">
        <f>ROUND(E34*D34,2)</f>
        <v>551</v>
      </c>
      <c r="G34" s="112">
        <f>ROUND(F34*1.2,2)</f>
        <v>661.2</v>
      </c>
      <c r="H34" s="113"/>
      <c r="I34" s="112"/>
      <c r="J34" s="112"/>
      <c r="K34" s="114">
        <f>F34+I34</f>
        <v>551</v>
      </c>
      <c r="L34" s="112">
        <f>G34+J34</f>
        <v>661.2</v>
      </c>
      <c r="M34" s="62" t="s">
        <v>214</v>
      </c>
    </row>
    <row r="35" spans="1:13" ht="18" customHeight="1" x14ac:dyDescent="0.25">
      <c r="A35" s="40"/>
      <c r="B35" s="38" t="s">
        <v>40</v>
      </c>
      <c r="C35" s="34"/>
      <c r="D35" s="48"/>
      <c r="E35" s="50"/>
      <c r="F35" s="50"/>
      <c r="G35" s="86"/>
      <c r="H35" s="87"/>
      <c r="I35" s="37"/>
      <c r="J35" s="37"/>
      <c r="K35" s="55"/>
      <c r="L35" s="37"/>
    </row>
    <row r="36" spans="1:13" ht="37.5" customHeight="1" x14ac:dyDescent="0.25">
      <c r="A36" s="103">
        <f>A34+1</f>
        <v>18</v>
      </c>
      <c r="B36" s="104" t="s">
        <v>122</v>
      </c>
      <c r="C36" s="103" t="s">
        <v>21</v>
      </c>
      <c r="D36" s="105">
        <v>39.6</v>
      </c>
      <c r="E36" s="107">
        <v>24551.78</v>
      </c>
      <c r="F36" s="106">
        <f>ROUND(E36*D36,2)</f>
        <v>972250.49</v>
      </c>
      <c r="G36" s="106">
        <f>ROUND(F36*1.2,2)</f>
        <v>1166700.5900000001</v>
      </c>
      <c r="H36" s="107"/>
      <c r="I36" s="106"/>
      <c r="J36" s="106"/>
      <c r="K36" s="108">
        <f t="shared" ref="K36:L49" si="4">F36+I36</f>
        <v>972250.49</v>
      </c>
      <c r="L36" s="106">
        <f t="shared" si="4"/>
        <v>1166700.5900000001</v>
      </c>
      <c r="M36" s="62" t="s">
        <v>96</v>
      </c>
    </row>
    <row r="37" spans="1:13" ht="20.25" customHeight="1" x14ac:dyDescent="0.25">
      <c r="A37" s="40" t="s">
        <v>123</v>
      </c>
      <c r="B37" s="41" t="s">
        <v>95</v>
      </c>
      <c r="C37" s="42" t="s">
        <v>23</v>
      </c>
      <c r="D37" s="43">
        <f>2.05*1.02/10*D36</f>
        <v>8.2803599999999999</v>
      </c>
      <c r="E37" s="44"/>
      <c r="F37" s="59"/>
      <c r="G37" s="59"/>
      <c r="H37" s="123">
        <v>5270.83</v>
      </c>
      <c r="I37" s="59">
        <f>ROUND(H37*D37,2)</f>
        <v>43644.37</v>
      </c>
      <c r="J37" s="59">
        <f>ROUND(I37*1.2,2)</f>
        <v>52373.24</v>
      </c>
      <c r="K37" s="61">
        <f t="shared" si="4"/>
        <v>43644.37</v>
      </c>
      <c r="L37" s="59">
        <f t="shared" si="4"/>
        <v>52373.24</v>
      </c>
      <c r="M37" s="62"/>
    </row>
    <row r="38" spans="1:13" ht="20.25" customHeight="1" x14ac:dyDescent="0.25">
      <c r="A38" s="103">
        <f>A36+1</f>
        <v>19</v>
      </c>
      <c r="B38" s="104" t="s">
        <v>124</v>
      </c>
      <c r="C38" s="103" t="s">
        <v>42</v>
      </c>
      <c r="D38" s="119">
        <v>2</v>
      </c>
      <c r="E38" s="120">
        <v>2314.11</v>
      </c>
      <c r="F38" s="106">
        <f>ROUND(E38*D38,2)</f>
        <v>4628.22</v>
      </c>
      <c r="G38" s="106">
        <f>ROUND(F38*1.2,2)</f>
        <v>5553.86</v>
      </c>
      <c r="H38" s="107"/>
      <c r="I38" s="106"/>
      <c r="J38" s="106"/>
      <c r="K38" s="108">
        <f t="shared" ref="K38:K43" si="5">F38+I38</f>
        <v>4628.22</v>
      </c>
      <c r="L38" s="106">
        <f t="shared" ref="L38:L43" si="6">G38+J38</f>
        <v>5553.86</v>
      </c>
      <c r="M38" s="62"/>
    </row>
    <row r="39" spans="1:13" ht="37.5" customHeight="1" x14ac:dyDescent="0.25">
      <c r="A39" s="109">
        <f>A38+1</f>
        <v>20</v>
      </c>
      <c r="B39" s="110" t="s">
        <v>125</v>
      </c>
      <c r="C39" s="109" t="s">
        <v>21</v>
      </c>
      <c r="D39" s="111">
        <v>4.99</v>
      </c>
      <c r="E39" s="113">
        <v>4603.7</v>
      </c>
      <c r="F39" s="112">
        <f>ROUND(E39*D39,2)</f>
        <v>22972.46</v>
      </c>
      <c r="G39" s="112">
        <f>ROUND(F39*1.2,2)</f>
        <v>27566.95</v>
      </c>
      <c r="H39" s="116"/>
      <c r="I39" s="112"/>
      <c r="J39" s="112"/>
      <c r="K39" s="114">
        <f t="shared" si="5"/>
        <v>22972.46</v>
      </c>
      <c r="L39" s="112">
        <f t="shared" si="6"/>
        <v>27566.95</v>
      </c>
    </row>
    <row r="40" spans="1:13" ht="38.25" customHeight="1" x14ac:dyDescent="0.25">
      <c r="A40" s="40" t="s">
        <v>44</v>
      </c>
      <c r="B40" s="41" t="s">
        <v>116</v>
      </c>
      <c r="C40" s="42" t="s">
        <v>21</v>
      </c>
      <c r="D40" s="43">
        <f>1.02*D39</f>
        <v>5.0898000000000003</v>
      </c>
      <c r="E40" s="44"/>
      <c r="F40" s="59"/>
      <c r="G40" s="59"/>
      <c r="H40" s="59">
        <v>10659</v>
      </c>
      <c r="I40" s="59">
        <f>ROUND(H40*D40,2)</f>
        <v>54252.18</v>
      </c>
      <c r="J40" s="59">
        <f>ROUND(I40*1.2,2)</f>
        <v>65102.62</v>
      </c>
      <c r="K40" s="61">
        <f t="shared" si="5"/>
        <v>54252.18</v>
      </c>
      <c r="L40" s="59">
        <f t="shared" si="6"/>
        <v>65102.62</v>
      </c>
    </row>
    <row r="41" spans="1:13" ht="48.75" customHeight="1" x14ac:dyDescent="0.25">
      <c r="A41" s="103">
        <f>A39+1</f>
        <v>21</v>
      </c>
      <c r="B41" s="104" t="s">
        <v>82</v>
      </c>
      <c r="C41" s="103" t="s">
        <v>21</v>
      </c>
      <c r="D41" s="105">
        <v>4.99</v>
      </c>
      <c r="E41" s="107">
        <v>2509.9899999999998</v>
      </c>
      <c r="F41" s="106">
        <f>ROUND(E41*D41,2)</f>
        <v>12524.85</v>
      </c>
      <c r="G41" s="106">
        <f>ROUND(F41*1.2,2)</f>
        <v>15029.82</v>
      </c>
      <c r="H41" s="121"/>
      <c r="I41" s="106"/>
      <c r="J41" s="106"/>
      <c r="K41" s="108">
        <f t="shared" si="5"/>
        <v>12524.85</v>
      </c>
      <c r="L41" s="106">
        <f t="shared" si="6"/>
        <v>15029.82</v>
      </c>
      <c r="M41" s="62"/>
    </row>
    <row r="42" spans="1:13" ht="18.75" customHeight="1" x14ac:dyDescent="0.25">
      <c r="A42" s="40" t="s">
        <v>45</v>
      </c>
      <c r="B42" s="41" t="s">
        <v>80</v>
      </c>
      <c r="C42" s="42" t="s">
        <v>21</v>
      </c>
      <c r="D42" s="43">
        <f>1.02*D41</f>
        <v>5.0898000000000003</v>
      </c>
      <c r="E42" s="44"/>
      <c r="F42" s="59"/>
      <c r="G42" s="59"/>
      <c r="H42" s="59">
        <v>3866.5</v>
      </c>
      <c r="I42" s="59">
        <f>ROUND(H42*D42,2)</f>
        <v>19679.71</v>
      </c>
      <c r="J42" s="59">
        <f>ROUND(I42*1.2,2)</f>
        <v>23615.65</v>
      </c>
      <c r="K42" s="61">
        <f t="shared" si="5"/>
        <v>19679.71</v>
      </c>
      <c r="L42" s="59">
        <f t="shared" si="6"/>
        <v>23615.65</v>
      </c>
      <c r="M42" s="62"/>
    </row>
    <row r="43" spans="1:13" ht="18.75" customHeight="1" x14ac:dyDescent="0.25">
      <c r="A43" s="40" t="s">
        <v>127</v>
      </c>
      <c r="B43" s="41" t="s">
        <v>61</v>
      </c>
      <c r="C43" s="42" t="s">
        <v>42</v>
      </c>
      <c r="D43" s="63">
        <v>2</v>
      </c>
      <c r="E43" s="44"/>
      <c r="F43" s="59"/>
      <c r="G43" s="59"/>
      <c r="H43" s="59">
        <v>1641.6</v>
      </c>
      <c r="I43" s="59">
        <f>ROUND(H43*D43,2)</f>
        <v>3283.2</v>
      </c>
      <c r="J43" s="59">
        <f>ROUND(I43*1.2,2)</f>
        <v>3939.84</v>
      </c>
      <c r="K43" s="61">
        <f t="shared" si="5"/>
        <v>3283.2</v>
      </c>
      <c r="L43" s="59">
        <f t="shared" si="6"/>
        <v>3939.84</v>
      </c>
    </row>
    <row r="44" spans="1:13" ht="37.5" customHeight="1" x14ac:dyDescent="0.25">
      <c r="A44" s="109">
        <f>A41+1</f>
        <v>22</v>
      </c>
      <c r="B44" s="110" t="s">
        <v>81</v>
      </c>
      <c r="C44" s="109" t="s">
        <v>21</v>
      </c>
      <c r="D44" s="111">
        <v>51.17</v>
      </c>
      <c r="E44" s="113">
        <v>1382.25</v>
      </c>
      <c r="F44" s="112">
        <f>ROUND(E44*D44,2)</f>
        <v>70729.73</v>
      </c>
      <c r="G44" s="112">
        <f>ROUND(F44*1.2,2)</f>
        <v>84875.68</v>
      </c>
      <c r="H44" s="116"/>
      <c r="I44" s="112"/>
      <c r="J44" s="112"/>
      <c r="K44" s="114">
        <f t="shared" si="4"/>
        <v>70729.73</v>
      </c>
      <c r="L44" s="112">
        <f t="shared" si="4"/>
        <v>84875.68</v>
      </c>
    </row>
    <row r="45" spans="1:13" ht="24.75" customHeight="1" x14ac:dyDescent="0.25">
      <c r="A45" s="40" t="s">
        <v>46</v>
      </c>
      <c r="B45" s="41" t="s">
        <v>80</v>
      </c>
      <c r="C45" s="42" t="s">
        <v>21</v>
      </c>
      <c r="D45" s="43">
        <f>1.02*51.9</f>
        <v>52.938000000000002</v>
      </c>
      <c r="E45" s="44"/>
      <c r="F45" s="59"/>
      <c r="G45" s="59"/>
      <c r="H45" s="59">
        <v>3866.5</v>
      </c>
      <c r="I45" s="59">
        <f>ROUND(H45*D45,2)</f>
        <v>204684.78</v>
      </c>
      <c r="J45" s="59">
        <f>ROUND(I45*1.2,2)</f>
        <v>245621.74</v>
      </c>
      <c r="K45" s="61">
        <f t="shared" si="4"/>
        <v>204684.78</v>
      </c>
      <c r="L45" s="59">
        <f t="shared" si="4"/>
        <v>245621.74</v>
      </c>
      <c r="M45" s="62"/>
    </row>
    <row r="46" spans="1:13" ht="30" x14ac:dyDescent="0.25">
      <c r="A46" s="109">
        <f>A44+1</f>
        <v>23</v>
      </c>
      <c r="B46" s="110" t="s">
        <v>79</v>
      </c>
      <c r="C46" s="109" t="s">
        <v>23</v>
      </c>
      <c r="D46" s="111">
        <v>5.37</v>
      </c>
      <c r="E46" s="113">
        <v>8327.42</v>
      </c>
      <c r="F46" s="112">
        <f>ROUND(E46*D46,2)</f>
        <v>44718.25</v>
      </c>
      <c r="G46" s="112">
        <f>ROUND(F46*1.2,2)</f>
        <v>53661.9</v>
      </c>
      <c r="H46" s="116"/>
      <c r="I46" s="112"/>
      <c r="J46" s="112"/>
      <c r="K46" s="114">
        <f t="shared" ref="K46:K47" si="7">F46+I46</f>
        <v>44718.25</v>
      </c>
      <c r="L46" s="112">
        <f t="shared" ref="L46:L47" si="8">G46+J46</f>
        <v>53661.9</v>
      </c>
    </row>
    <row r="47" spans="1:13" ht="15.75" x14ac:dyDescent="0.25">
      <c r="A47" s="40" t="s">
        <v>47</v>
      </c>
      <c r="B47" s="41" t="s">
        <v>43</v>
      </c>
      <c r="C47" s="42" t="s">
        <v>23</v>
      </c>
      <c r="D47" s="43">
        <f>1.02*2.96</f>
        <v>3.0192000000000001</v>
      </c>
      <c r="E47" s="44"/>
      <c r="F47" s="59"/>
      <c r="G47" s="59"/>
      <c r="H47" s="59">
        <v>3357.5</v>
      </c>
      <c r="I47" s="59">
        <f>ROUND(H47*D47,2)</f>
        <v>10136.959999999999</v>
      </c>
      <c r="J47" s="59">
        <f>ROUND(I47*1.2,2)</f>
        <v>12164.35</v>
      </c>
      <c r="K47" s="61">
        <f t="shared" si="7"/>
        <v>10136.959999999999</v>
      </c>
      <c r="L47" s="59">
        <f t="shared" si="8"/>
        <v>12164.35</v>
      </c>
      <c r="M47" s="62"/>
    </row>
    <row r="48" spans="1:13" ht="30" x14ac:dyDescent="0.25">
      <c r="A48" s="109">
        <f>A46+1</f>
        <v>24</v>
      </c>
      <c r="B48" s="110" t="s">
        <v>197</v>
      </c>
      <c r="C48" s="109" t="s">
        <v>42</v>
      </c>
      <c r="D48" s="122">
        <v>4</v>
      </c>
      <c r="E48" s="113">
        <v>8056.62</v>
      </c>
      <c r="F48" s="112">
        <f>ROUND(E48*D48,2)</f>
        <v>32226.48</v>
      </c>
      <c r="G48" s="112">
        <f>ROUND(F48*1.2,2)</f>
        <v>38671.78</v>
      </c>
      <c r="H48" s="116"/>
      <c r="I48" s="112"/>
      <c r="J48" s="112"/>
      <c r="K48" s="114">
        <f t="shared" si="4"/>
        <v>32226.48</v>
      </c>
      <c r="L48" s="112">
        <f t="shared" si="4"/>
        <v>38671.78</v>
      </c>
    </row>
    <row r="49" spans="1:13" ht="15.75" x14ac:dyDescent="0.25">
      <c r="A49" s="40" t="s">
        <v>48</v>
      </c>
      <c r="B49" s="41" t="s">
        <v>196</v>
      </c>
      <c r="C49" s="42" t="s">
        <v>42</v>
      </c>
      <c r="D49" s="63">
        <v>4</v>
      </c>
      <c r="E49" s="44"/>
      <c r="F49" s="59"/>
      <c r="G49" s="59"/>
      <c r="H49" s="59">
        <v>2660.95</v>
      </c>
      <c r="I49" s="59">
        <f>ROUND(H49*D49,2)</f>
        <v>10643.8</v>
      </c>
      <c r="J49" s="59">
        <f>ROUND(I49*1.2,2)</f>
        <v>12772.56</v>
      </c>
      <c r="K49" s="61">
        <f t="shared" si="4"/>
        <v>10643.8</v>
      </c>
      <c r="L49" s="59">
        <f t="shared" si="4"/>
        <v>12772.56</v>
      </c>
    </row>
    <row r="50" spans="1:13" ht="21.75" customHeight="1" x14ac:dyDescent="0.25">
      <c r="A50" s="34"/>
      <c r="B50" s="75" t="s">
        <v>126</v>
      </c>
      <c r="C50" s="67"/>
      <c r="D50" s="68"/>
      <c r="E50" s="39"/>
      <c r="F50" s="37"/>
      <c r="G50" s="37"/>
      <c r="H50" s="87"/>
      <c r="I50" s="37"/>
      <c r="J50" s="37"/>
      <c r="K50" s="55"/>
      <c r="L50" s="37"/>
    </row>
    <row r="51" spans="1:13" ht="30" x14ac:dyDescent="0.25">
      <c r="A51" s="109">
        <f>A48+1</f>
        <v>25</v>
      </c>
      <c r="B51" s="110" t="s">
        <v>62</v>
      </c>
      <c r="C51" s="109" t="s">
        <v>23</v>
      </c>
      <c r="D51" s="111">
        <f>1*0.18+1*0.24+1*0.1</f>
        <v>0.52</v>
      </c>
      <c r="E51" s="113">
        <v>17265.68</v>
      </c>
      <c r="F51" s="112">
        <f>ROUND(E51*D51,2)</f>
        <v>8978.15</v>
      </c>
      <c r="G51" s="112">
        <f>ROUND(F51*1.2,2)</f>
        <v>10773.78</v>
      </c>
      <c r="H51" s="116"/>
      <c r="I51" s="112"/>
      <c r="J51" s="112"/>
      <c r="K51" s="114">
        <f t="shared" ref="K51:L58" si="9">F51+I51</f>
        <v>8978.15</v>
      </c>
      <c r="L51" s="112">
        <f t="shared" si="9"/>
        <v>10773.78</v>
      </c>
    </row>
    <row r="52" spans="1:13" ht="18.75" customHeight="1" x14ac:dyDescent="0.25">
      <c r="A52" s="40" t="s">
        <v>49</v>
      </c>
      <c r="B52" s="64" t="s">
        <v>63</v>
      </c>
      <c r="C52" s="42" t="s">
        <v>42</v>
      </c>
      <c r="D52" s="63">
        <v>1</v>
      </c>
      <c r="E52" s="44"/>
      <c r="F52" s="59"/>
      <c r="G52" s="59"/>
      <c r="H52" s="93">
        <v>1657.75</v>
      </c>
      <c r="I52" s="59">
        <f>ROUND(H52*D52,2)</f>
        <v>1657.75</v>
      </c>
      <c r="J52" s="59">
        <f>ROUND(I52*1.2,2)</f>
        <v>1989.3</v>
      </c>
      <c r="K52" s="61">
        <f t="shared" si="9"/>
        <v>1657.75</v>
      </c>
      <c r="L52" s="59">
        <f t="shared" si="9"/>
        <v>1989.3</v>
      </c>
      <c r="M52" s="62"/>
    </row>
    <row r="53" spans="1:13" ht="18.75" customHeight="1" x14ac:dyDescent="0.25">
      <c r="A53" s="40" t="s">
        <v>107</v>
      </c>
      <c r="B53" s="64" t="s">
        <v>64</v>
      </c>
      <c r="C53" s="42" t="s">
        <v>42</v>
      </c>
      <c r="D53" s="63">
        <v>1</v>
      </c>
      <c r="E53" s="44"/>
      <c r="F53" s="59"/>
      <c r="G53" s="59"/>
      <c r="H53" s="93">
        <v>2500.4</v>
      </c>
      <c r="I53" s="59">
        <f>ROUND(H53*D53,2)</f>
        <v>2500.4</v>
      </c>
      <c r="J53" s="59">
        <f>ROUND(I53*1.2,2)</f>
        <v>3000.48</v>
      </c>
      <c r="K53" s="61">
        <f t="shared" si="9"/>
        <v>2500.4</v>
      </c>
      <c r="L53" s="59">
        <f t="shared" si="9"/>
        <v>3000.48</v>
      </c>
      <c r="M53" s="62"/>
    </row>
    <row r="54" spans="1:13" ht="18.75" customHeight="1" x14ac:dyDescent="0.25">
      <c r="A54" s="40" t="s">
        <v>106</v>
      </c>
      <c r="B54" s="64" t="s">
        <v>65</v>
      </c>
      <c r="C54" s="42" t="s">
        <v>42</v>
      </c>
      <c r="D54" s="63">
        <v>1</v>
      </c>
      <c r="E54" s="44"/>
      <c r="F54" s="59"/>
      <c r="G54" s="59"/>
      <c r="H54" s="93">
        <v>1427.85</v>
      </c>
      <c r="I54" s="59">
        <f>ROUND(H54*D54,2)</f>
        <v>1427.85</v>
      </c>
      <c r="J54" s="59">
        <f>ROUND(I54*1.2,2)</f>
        <v>1713.42</v>
      </c>
      <c r="K54" s="61">
        <f t="shared" si="9"/>
        <v>1427.85</v>
      </c>
      <c r="L54" s="59">
        <f t="shared" si="9"/>
        <v>1713.42</v>
      </c>
      <c r="M54" s="62"/>
    </row>
    <row r="55" spans="1:13" ht="27.75" customHeight="1" x14ac:dyDescent="0.25">
      <c r="A55" s="109">
        <f>A51+1</f>
        <v>26</v>
      </c>
      <c r="B55" s="110" t="s">
        <v>72</v>
      </c>
      <c r="C55" s="109" t="s">
        <v>28</v>
      </c>
      <c r="D55" s="124">
        <v>5.97</v>
      </c>
      <c r="E55" s="113">
        <v>144.4</v>
      </c>
      <c r="F55" s="112">
        <f>ROUND(E55*D55,2)</f>
        <v>862.07</v>
      </c>
      <c r="G55" s="112">
        <f t="shared" ref="G55" si="10">ROUND(F55*1.2,2)</f>
        <v>1034.48</v>
      </c>
      <c r="H55" s="114"/>
      <c r="I55" s="112"/>
      <c r="J55" s="112"/>
      <c r="K55" s="114">
        <f t="shared" si="9"/>
        <v>862.07</v>
      </c>
      <c r="L55" s="112">
        <f t="shared" si="9"/>
        <v>1034.48</v>
      </c>
      <c r="M55" s="62" t="s">
        <v>70</v>
      </c>
    </row>
    <row r="56" spans="1:13" ht="17.25" customHeight="1" x14ac:dyDescent="0.25">
      <c r="A56" s="40" t="s">
        <v>104</v>
      </c>
      <c r="B56" s="64" t="s">
        <v>73</v>
      </c>
      <c r="C56" s="42" t="s">
        <v>66</v>
      </c>
      <c r="D56" s="74">
        <f>D55*0.3*20/16</f>
        <v>2.23875</v>
      </c>
      <c r="E56" s="44"/>
      <c r="F56" s="59"/>
      <c r="G56" s="59"/>
      <c r="H56" s="93">
        <v>237.5</v>
      </c>
      <c r="I56" s="59">
        <f>ROUND(H56*D56,2)</f>
        <v>531.70000000000005</v>
      </c>
      <c r="J56" s="59">
        <f t="shared" ref="J56" si="11">ROUND(I56*1.2,2)</f>
        <v>638.04</v>
      </c>
      <c r="K56" s="61">
        <f t="shared" si="9"/>
        <v>531.70000000000005</v>
      </c>
      <c r="L56" s="59">
        <f t="shared" si="9"/>
        <v>638.04</v>
      </c>
      <c r="M56" s="62"/>
    </row>
    <row r="57" spans="1:13" ht="28.5" customHeight="1" x14ac:dyDescent="0.25">
      <c r="A57" s="109">
        <f>A55+1</f>
        <v>27</v>
      </c>
      <c r="B57" s="110" t="s">
        <v>74</v>
      </c>
      <c r="C57" s="109" t="s">
        <v>28</v>
      </c>
      <c r="D57" s="124">
        <v>5.97</v>
      </c>
      <c r="E57" s="113">
        <v>299.76</v>
      </c>
      <c r="F57" s="112">
        <f>ROUND(E57*D57,2)</f>
        <v>1789.57</v>
      </c>
      <c r="G57" s="112">
        <f t="shared" ref="G57" si="12">ROUND(F57*1.2,2)</f>
        <v>2147.48</v>
      </c>
      <c r="H57" s="114"/>
      <c r="I57" s="112"/>
      <c r="J57" s="112"/>
      <c r="K57" s="114">
        <f t="shared" si="9"/>
        <v>1789.57</v>
      </c>
      <c r="L57" s="112">
        <f t="shared" si="9"/>
        <v>2147.48</v>
      </c>
      <c r="M57" s="62" t="s">
        <v>70</v>
      </c>
    </row>
    <row r="58" spans="1:13" ht="15.75" x14ac:dyDescent="0.25">
      <c r="A58" s="40" t="s">
        <v>128</v>
      </c>
      <c r="B58" s="64" t="s">
        <v>75</v>
      </c>
      <c r="C58" s="42" t="s">
        <v>55</v>
      </c>
      <c r="D58" s="43">
        <f>D57*2.5*2</f>
        <v>29.849999999999998</v>
      </c>
      <c r="E58" s="44"/>
      <c r="F58" s="59"/>
      <c r="G58" s="59"/>
      <c r="H58" s="93">
        <v>296.39999999999998</v>
      </c>
      <c r="I58" s="59">
        <f t="shared" ref="I58" si="13">ROUND(H58*D58,2)</f>
        <v>8847.5400000000009</v>
      </c>
      <c r="J58" s="59">
        <f t="shared" ref="J58" si="14">ROUND(I58*1.2,2)</f>
        <v>10617.05</v>
      </c>
      <c r="K58" s="61">
        <f t="shared" si="9"/>
        <v>8847.5400000000009</v>
      </c>
      <c r="L58" s="59">
        <f t="shared" si="9"/>
        <v>10617.05</v>
      </c>
      <c r="M58" s="62"/>
    </row>
    <row r="59" spans="1:13" ht="25.5" customHeight="1" x14ac:dyDescent="0.25">
      <c r="A59" s="40"/>
      <c r="B59" s="75" t="s">
        <v>129</v>
      </c>
      <c r="C59" s="34"/>
      <c r="D59" s="35"/>
      <c r="E59" s="32"/>
      <c r="F59" s="37"/>
      <c r="G59" s="37"/>
      <c r="H59" s="87"/>
      <c r="I59" s="37"/>
      <c r="J59" s="37"/>
      <c r="K59" s="55"/>
      <c r="L59" s="37"/>
      <c r="M59" s="62"/>
    </row>
    <row r="60" spans="1:13" ht="19.5" customHeight="1" x14ac:dyDescent="0.25">
      <c r="A60" s="40"/>
      <c r="B60" s="81" t="s">
        <v>130</v>
      </c>
      <c r="C60" s="34"/>
      <c r="D60" s="35"/>
      <c r="E60" s="32"/>
      <c r="F60" s="37"/>
      <c r="G60" s="37"/>
      <c r="H60" s="87"/>
      <c r="I60" s="37"/>
      <c r="J60" s="37"/>
      <c r="K60" s="55"/>
      <c r="L60" s="37"/>
      <c r="M60" s="62"/>
    </row>
    <row r="61" spans="1:13" ht="18.75" customHeight="1" x14ac:dyDescent="0.25">
      <c r="A61" s="103">
        <f>A57+1</f>
        <v>28</v>
      </c>
      <c r="B61" s="125" t="s">
        <v>133</v>
      </c>
      <c r="C61" s="103" t="s">
        <v>42</v>
      </c>
      <c r="D61" s="119">
        <v>1</v>
      </c>
      <c r="E61" s="107">
        <f>1974*0.7</f>
        <v>1381.8</v>
      </c>
      <c r="F61" s="106">
        <f>ROUND(E61*D61,2)</f>
        <v>1381.8</v>
      </c>
      <c r="G61" s="106">
        <f t="shared" ref="G61" si="15">ROUND(F61*1.2,2)</f>
        <v>1658.16</v>
      </c>
      <c r="H61" s="108"/>
      <c r="I61" s="106"/>
      <c r="J61" s="106"/>
      <c r="K61" s="108">
        <f t="shared" ref="K61" si="16">F61+I61</f>
        <v>1381.8</v>
      </c>
      <c r="L61" s="106">
        <f t="shared" ref="L61" si="17">G61+J61</f>
        <v>1658.16</v>
      </c>
      <c r="M61" s="62"/>
    </row>
    <row r="62" spans="1:13" ht="18.75" customHeight="1" x14ac:dyDescent="0.25">
      <c r="A62" s="103">
        <f>A61+1</f>
        <v>29</v>
      </c>
      <c r="B62" s="125" t="s">
        <v>132</v>
      </c>
      <c r="C62" s="103" t="s">
        <v>23</v>
      </c>
      <c r="D62" s="105">
        <v>0.04</v>
      </c>
      <c r="E62" s="107">
        <f>10878.4*0.8</f>
        <v>8702.7199999999993</v>
      </c>
      <c r="F62" s="106">
        <f>ROUND(E62*D62,2)</f>
        <v>348.11</v>
      </c>
      <c r="G62" s="106">
        <f t="shared" ref="G62" si="18">ROUND(F62*1.2,2)</f>
        <v>417.73</v>
      </c>
      <c r="H62" s="108"/>
      <c r="I62" s="106"/>
      <c r="J62" s="106"/>
      <c r="K62" s="108">
        <f t="shared" ref="K62" si="19">F62+I62</f>
        <v>348.11</v>
      </c>
      <c r="L62" s="106">
        <f t="shared" ref="L62" si="20">G62+J62</f>
        <v>417.73</v>
      </c>
      <c r="M62" s="62" t="s">
        <v>131</v>
      </c>
    </row>
    <row r="63" spans="1:13" ht="15.75" x14ac:dyDescent="0.25">
      <c r="A63" s="40"/>
      <c r="B63" s="81" t="s">
        <v>134</v>
      </c>
      <c r="C63" s="34"/>
      <c r="D63" s="35"/>
      <c r="E63" s="32"/>
      <c r="F63" s="37"/>
      <c r="G63" s="37"/>
      <c r="H63" s="87"/>
      <c r="I63" s="37"/>
      <c r="J63" s="37"/>
      <c r="K63" s="55"/>
      <c r="L63" s="37"/>
      <c r="M63" s="62"/>
    </row>
    <row r="64" spans="1:13" ht="30" x14ac:dyDescent="0.25">
      <c r="A64" s="109">
        <f>A62+1</f>
        <v>30</v>
      </c>
      <c r="B64" s="110" t="s">
        <v>62</v>
      </c>
      <c r="C64" s="109" t="s">
        <v>23</v>
      </c>
      <c r="D64" s="111">
        <v>0.04</v>
      </c>
      <c r="E64" s="113">
        <v>17265.68</v>
      </c>
      <c r="F64" s="112">
        <f>ROUND(E64*D64,2)</f>
        <v>690.63</v>
      </c>
      <c r="G64" s="112">
        <f>ROUND(F64*1.2,2)</f>
        <v>828.76</v>
      </c>
      <c r="H64" s="116"/>
      <c r="I64" s="112"/>
      <c r="J64" s="112"/>
      <c r="K64" s="114">
        <f t="shared" ref="K64:K65" si="21">F64+I64</f>
        <v>690.63</v>
      </c>
      <c r="L64" s="112">
        <f t="shared" ref="L64:L65" si="22">G64+J64</f>
        <v>828.76</v>
      </c>
    </row>
    <row r="65" spans="1:13" ht="18.75" customHeight="1" x14ac:dyDescent="0.25">
      <c r="A65" s="40" t="s">
        <v>52</v>
      </c>
      <c r="B65" s="64" t="s">
        <v>137</v>
      </c>
      <c r="C65" s="42" t="s">
        <v>42</v>
      </c>
      <c r="D65" s="63">
        <v>2</v>
      </c>
      <c r="E65" s="44"/>
      <c r="F65" s="59"/>
      <c r="G65" s="59"/>
      <c r="H65" s="93">
        <v>3400</v>
      </c>
      <c r="I65" s="59">
        <f>ROUND(H65*D65,2)</f>
        <v>6800</v>
      </c>
      <c r="J65" s="59">
        <f>ROUND(I65*1.2,2)</f>
        <v>8160</v>
      </c>
      <c r="K65" s="61">
        <f t="shared" si="21"/>
        <v>6800</v>
      </c>
      <c r="L65" s="59">
        <f t="shared" si="22"/>
        <v>8160</v>
      </c>
      <c r="M65" s="62" t="s">
        <v>92</v>
      </c>
    </row>
    <row r="66" spans="1:13" ht="20.25" customHeight="1" x14ac:dyDescent="0.25">
      <c r="A66" s="103">
        <f>A64+1</f>
        <v>31</v>
      </c>
      <c r="B66" s="125" t="s">
        <v>135</v>
      </c>
      <c r="C66" s="103" t="s">
        <v>42</v>
      </c>
      <c r="D66" s="126">
        <v>1</v>
      </c>
      <c r="E66" s="107">
        <v>1974</v>
      </c>
      <c r="F66" s="106">
        <f>ROUND(E66*D66,2)</f>
        <v>1974</v>
      </c>
      <c r="G66" s="106">
        <f t="shared" ref="G66" si="23">ROUND(F66*1.2,2)</f>
        <v>2368.8000000000002</v>
      </c>
      <c r="H66" s="108"/>
      <c r="I66" s="106"/>
      <c r="J66" s="106"/>
      <c r="K66" s="108">
        <f t="shared" ref="K66" si="24">F66+I66</f>
        <v>1974</v>
      </c>
      <c r="L66" s="106">
        <f t="shared" ref="L66" si="25">G66+J66</f>
        <v>2368.8000000000002</v>
      </c>
      <c r="M66" s="62"/>
    </row>
    <row r="67" spans="1:13" ht="19.5" customHeight="1" x14ac:dyDescent="0.25">
      <c r="A67" s="40"/>
      <c r="B67" s="81" t="s">
        <v>136</v>
      </c>
      <c r="C67" s="34"/>
      <c r="D67" s="35"/>
      <c r="E67" s="32"/>
      <c r="F67" s="37"/>
      <c r="G67" s="37"/>
      <c r="H67" s="87"/>
      <c r="I67" s="37"/>
      <c r="J67" s="37"/>
      <c r="K67" s="55"/>
      <c r="L67" s="37"/>
      <c r="M67" s="62"/>
    </row>
    <row r="68" spans="1:13" ht="18.75" customHeight="1" x14ac:dyDescent="0.25">
      <c r="A68" s="103">
        <f>A66+1</f>
        <v>32</v>
      </c>
      <c r="B68" s="125" t="s">
        <v>133</v>
      </c>
      <c r="C68" s="103" t="s">
        <v>42</v>
      </c>
      <c r="D68" s="119">
        <v>1</v>
      </c>
      <c r="E68" s="107">
        <f>1974*0.7</f>
        <v>1381.8</v>
      </c>
      <c r="F68" s="106">
        <f>ROUND(E68*D68,2)</f>
        <v>1381.8</v>
      </c>
      <c r="G68" s="106">
        <f t="shared" ref="G68:G69" si="26">ROUND(F68*1.2,2)</f>
        <v>1658.16</v>
      </c>
      <c r="H68" s="108"/>
      <c r="I68" s="106"/>
      <c r="J68" s="106"/>
      <c r="K68" s="108">
        <f t="shared" ref="K68:K69" si="27">F68+I68</f>
        <v>1381.8</v>
      </c>
      <c r="L68" s="106">
        <f t="shared" ref="L68:L69" si="28">G68+J68</f>
        <v>1658.16</v>
      </c>
      <c r="M68" s="62"/>
    </row>
    <row r="69" spans="1:13" ht="18.75" customHeight="1" x14ac:dyDescent="0.25">
      <c r="A69" s="103">
        <f>A68+1</f>
        <v>33</v>
      </c>
      <c r="B69" s="125" t="s">
        <v>132</v>
      </c>
      <c r="C69" s="103" t="s">
        <v>23</v>
      </c>
      <c r="D69" s="105">
        <v>0.08</v>
      </c>
      <c r="E69" s="107">
        <f>10878.4*0.8</f>
        <v>8702.7199999999993</v>
      </c>
      <c r="F69" s="106">
        <f>ROUND(E69*D69,2)</f>
        <v>696.22</v>
      </c>
      <c r="G69" s="106">
        <f t="shared" si="26"/>
        <v>835.46</v>
      </c>
      <c r="H69" s="108"/>
      <c r="I69" s="106"/>
      <c r="J69" s="106"/>
      <c r="K69" s="108">
        <f t="shared" si="27"/>
        <v>696.22</v>
      </c>
      <c r="L69" s="106">
        <f t="shared" si="28"/>
        <v>835.46</v>
      </c>
      <c r="M69" s="62" t="s">
        <v>131</v>
      </c>
    </row>
    <row r="70" spans="1:13" ht="15.75" x14ac:dyDescent="0.25">
      <c r="A70" s="40"/>
      <c r="B70" s="81" t="s">
        <v>134</v>
      </c>
      <c r="C70" s="34"/>
      <c r="D70" s="35"/>
      <c r="E70" s="32"/>
      <c r="F70" s="37"/>
      <c r="G70" s="37"/>
      <c r="H70" s="87"/>
      <c r="I70" s="37"/>
      <c r="J70" s="37"/>
      <c r="K70" s="55"/>
      <c r="L70" s="37"/>
      <c r="M70" s="62"/>
    </row>
    <row r="71" spans="1:13" ht="30" x14ac:dyDescent="0.25">
      <c r="A71" s="103">
        <f>A69+1</f>
        <v>34</v>
      </c>
      <c r="B71" s="104" t="s">
        <v>62</v>
      </c>
      <c r="C71" s="103" t="s">
        <v>23</v>
      </c>
      <c r="D71" s="127">
        <v>8.7999999999999995E-2</v>
      </c>
      <c r="E71" s="107">
        <v>17265.68</v>
      </c>
      <c r="F71" s="106">
        <f>ROUND(E71*D71,2)</f>
        <v>1519.38</v>
      </c>
      <c r="G71" s="106">
        <f>ROUND(F71*1.2,2)</f>
        <v>1823.26</v>
      </c>
      <c r="H71" s="121"/>
      <c r="I71" s="106"/>
      <c r="J71" s="106"/>
      <c r="K71" s="108">
        <f t="shared" ref="K71:K73" si="29">F71+I71</f>
        <v>1519.38</v>
      </c>
      <c r="L71" s="106">
        <f t="shared" ref="L71:L73" si="30">G71+J71</f>
        <v>1823.26</v>
      </c>
    </row>
    <row r="72" spans="1:13" ht="18.75" customHeight="1" x14ac:dyDescent="0.25">
      <c r="A72" s="40" t="s">
        <v>150</v>
      </c>
      <c r="B72" s="64" t="s">
        <v>138</v>
      </c>
      <c r="C72" s="42" t="s">
        <v>42</v>
      </c>
      <c r="D72" s="63">
        <v>1</v>
      </c>
      <c r="E72" s="44"/>
      <c r="F72" s="59"/>
      <c r="G72" s="59"/>
      <c r="H72" s="93">
        <v>3136</v>
      </c>
      <c r="I72" s="59">
        <f>ROUND(H72*D72,2)</f>
        <v>3136</v>
      </c>
      <c r="J72" s="59">
        <f>ROUND(I72*1.2,2)</f>
        <v>3763.2</v>
      </c>
      <c r="K72" s="61">
        <f t="shared" si="29"/>
        <v>3136</v>
      </c>
      <c r="L72" s="59">
        <f t="shared" si="30"/>
        <v>3763.2</v>
      </c>
      <c r="M72" s="62" t="s">
        <v>92</v>
      </c>
    </row>
    <row r="73" spans="1:13" ht="20.25" customHeight="1" x14ac:dyDescent="0.25">
      <c r="A73" s="103">
        <f>A71+1</f>
        <v>35</v>
      </c>
      <c r="B73" s="125" t="s">
        <v>135</v>
      </c>
      <c r="C73" s="103" t="s">
        <v>42</v>
      </c>
      <c r="D73" s="126">
        <v>1</v>
      </c>
      <c r="E73" s="107">
        <v>1974</v>
      </c>
      <c r="F73" s="106">
        <f>ROUND(E73*D73,2)</f>
        <v>1974</v>
      </c>
      <c r="G73" s="106">
        <f t="shared" ref="G73" si="31">ROUND(F73*1.2,2)</f>
        <v>2368.8000000000002</v>
      </c>
      <c r="H73" s="108"/>
      <c r="I73" s="106"/>
      <c r="J73" s="106"/>
      <c r="K73" s="108">
        <f t="shared" si="29"/>
        <v>1974</v>
      </c>
      <c r="L73" s="106">
        <f t="shared" si="30"/>
        <v>2368.8000000000002</v>
      </c>
      <c r="M73" s="62"/>
    </row>
    <row r="74" spans="1:13" ht="18.75" customHeight="1" x14ac:dyDescent="0.25">
      <c r="A74" s="34"/>
      <c r="B74" s="71" t="s">
        <v>67</v>
      </c>
      <c r="C74" s="34"/>
      <c r="D74" s="35"/>
      <c r="E74" s="32"/>
      <c r="F74" s="37"/>
      <c r="G74" s="37"/>
      <c r="H74" s="37"/>
      <c r="I74" s="37"/>
      <c r="J74" s="37"/>
      <c r="K74" s="55"/>
      <c r="L74" s="37"/>
      <c r="M74" s="62"/>
    </row>
    <row r="75" spans="1:13" ht="18.75" customHeight="1" x14ac:dyDescent="0.25">
      <c r="A75" s="109">
        <f>A73+1</f>
        <v>36</v>
      </c>
      <c r="B75" s="115" t="s">
        <v>26</v>
      </c>
      <c r="C75" s="109" t="s">
        <v>30</v>
      </c>
      <c r="D75" s="128">
        <v>0.216</v>
      </c>
      <c r="E75" s="112">
        <v>431.37</v>
      </c>
      <c r="F75" s="112">
        <f>ROUND(E75*D75,2)</f>
        <v>93.18</v>
      </c>
      <c r="G75" s="112">
        <f>ROUND(F75*1.2,2)</f>
        <v>111.82</v>
      </c>
      <c r="H75" s="113"/>
      <c r="I75" s="112"/>
      <c r="J75" s="112"/>
      <c r="K75" s="114">
        <f>F75+I75</f>
        <v>93.18</v>
      </c>
      <c r="L75" s="112">
        <f>G75+J75</f>
        <v>111.82</v>
      </c>
      <c r="M75" s="62" t="s">
        <v>27</v>
      </c>
    </row>
    <row r="76" spans="1:13" s="78" customFormat="1" ht="21.75" customHeight="1" x14ac:dyDescent="0.3">
      <c r="A76" s="156" t="s">
        <v>56</v>
      </c>
      <c r="B76" s="157"/>
      <c r="C76" s="157"/>
      <c r="D76" s="157"/>
      <c r="E76" s="158"/>
      <c r="F76" s="88">
        <f>SUM(F7:F75)</f>
        <v>1604321.1099999999</v>
      </c>
      <c r="G76" s="88">
        <f>ROUND(F76*1.2,2)</f>
        <v>1925185.33</v>
      </c>
      <c r="H76" s="89"/>
      <c r="I76" s="88">
        <f>SUM(I7:I75)</f>
        <v>402689.4</v>
      </c>
      <c r="J76" s="88">
        <f>ROUND(I76*1.2,2)</f>
        <v>483227.28</v>
      </c>
      <c r="K76" s="88">
        <f>SUM(K7:K75)</f>
        <v>2007010.5099999998</v>
      </c>
      <c r="L76" s="88">
        <f>ROUND(K76*1.2,2)</f>
        <v>2408412.61</v>
      </c>
    </row>
    <row r="78" spans="1:13" x14ac:dyDescent="0.25">
      <c r="B78" s="147" t="s">
        <v>212</v>
      </c>
    </row>
    <row r="79" spans="1:13" x14ac:dyDescent="0.25">
      <c r="B79" s="148" t="s">
        <v>213</v>
      </c>
    </row>
  </sheetData>
  <mergeCells count="10">
    <mergeCell ref="B6:D6"/>
    <mergeCell ref="A76:E7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M93"/>
  <sheetViews>
    <sheetView view="pageBreakPreview" topLeftCell="A67" zoomScale="80" zoomScaleNormal="100" zoomScaleSheetLayoutView="80" workbookViewId="0">
      <selection activeCell="F80" sqref="F8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6" customWidth="1"/>
    <col min="8" max="8" width="16.140625" style="66" customWidth="1"/>
    <col min="9" max="12" width="16.140625" customWidth="1"/>
    <col min="13" max="13" width="55.42578125" style="19" customWidth="1"/>
  </cols>
  <sheetData>
    <row r="1" spans="1:13" ht="14.45" customHeight="1" x14ac:dyDescent="0.25">
      <c r="A1" s="159" t="s">
        <v>0</v>
      </c>
      <c r="B1" s="162" t="s">
        <v>8</v>
      </c>
      <c r="C1" s="165" t="s">
        <v>9</v>
      </c>
      <c r="D1" s="165" t="s">
        <v>10</v>
      </c>
      <c r="E1" s="166" t="s">
        <v>11</v>
      </c>
      <c r="F1" s="167"/>
      <c r="G1" s="167"/>
      <c r="H1" s="167"/>
      <c r="I1" s="167"/>
      <c r="J1" s="167"/>
      <c r="K1" s="167"/>
      <c r="L1" s="167"/>
    </row>
    <row r="2" spans="1:13" ht="14.45" customHeight="1" x14ac:dyDescent="0.25">
      <c r="A2" s="160"/>
      <c r="B2" s="163"/>
      <c r="C2" s="165"/>
      <c r="D2" s="165"/>
      <c r="E2" s="168"/>
      <c r="F2" s="169"/>
      <c r="G2" s="169"/>
      <c r="H2" s="169"/>
      <c r="I2" s="169"/>
      <c r="J2" s="169"/>
      <c r="K2" s="169"/>
      <c r="L2" s="169"/>
    </row>
    <row r="3" spans="1:13" ht="27.75" customHeight="1" x14ac:dyDescent="0.25">
      <c r="A3" s="160"/>
      <c r="B3" s="163"/>
      <c r="C3" s="165"/>
      <c r="D3" s="165"/>
      <c r="E3" s="165" t="s">
        <v>12</v>
      </c>
      <c r="F3" s="165"/>
      <c r="G3" s="165"/>
      <c r="H3" s="165" t="s">
        <v>13</v>
      </c>
      <c r="I3" s="165"/>
      <c r="J3" s="165"/>
      <c r="K3" s="151" t="s">
        <v>14</v>
      </c>
      <c r="L3" s="151"/>
    </row>
    <row r="4" spans="1:13" ht="56.1" customHeight="1" x14ac:dyDescent="0.25">
      <c r="A4" s="161"/>
      <c r="B4" s="164"/>
      <c r="C4" s="165"/>
      <c r="D4" s="165"/>
      <c r="E4" s="21" t="s">
        <v>15</v>
      </c>
      <c r="F4" s="21" t="s">
        <v>16</v>
      </c>
      <c r="G4" s="20" t="s">
        <v>17</v>
      </c>
      <c r="H4" s="21" t="s">
        <v>15</v>
      </c>
      <c r="I4" s="21" t="s">
        <v>16</v>
      </c>
      <c r="J4" s="20" t="s">
        <v>17</v>
      </c>
      <c r="K4" s="21" t="s">
        <v>18</v>
      </c>
      <c r="L4" s="21" t="s">
        <v>3</v>
      </c>
    </row>
    <row r="5" spans="1:13" x14ac:dyDescent="0.25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/>
    </row>
    <row r="6" spans="1:13" ht="20.25" customHeight="1" x14ac:dyDescent="0.25">
      <c r="A6" s="24"/>
      <c r="B6" s="154" t="s">
        <v>120</v>
      </c>
      <c r="C6" s="155"/>
      <c r="D6" s="155"/>
      <c r="E6" s="25"/>
      <c r="F6" s="26"/>
      <c r="G6" s="27"/>
      <c r="H6" s="27"/>
      <c r="I6" s="27"/>
      <c r="J6" s="27"/>
      <c r="K6" s="27"/>
      <c r="L6" s="27"/>
    </row>
    <row r="7" spans="1:13" ht="24" customHeight="1" x14ac:dyDescent="0.25">
      <c r="A7" s="28"/>
      <c r="B7" s="29" t="s">
        <v>19</v>
      </c>
      <c r="C7" s="14"/>
      <c r="D7" s="14"/>
      <c r="E7" s="30"/>
      <c r="F7" s="31"/>
      <c r="G7" s="31"/>
      <c r="H7" s="32"/>
      <c r="I7" s="33"/>
      <c r="J7" s="33"/>
      <c r="K7" s="30"/>
      <c r="L7" s="31"/>
    </row>
    <row r="8" spans="1:13" ht="18.75" customHeight="1" x14ac:dyDescent="0.25">
      <c r="A8" s="131">
        <v>1</v>
      </c>
      <c r="B8" s="110" t="s">
        <v>119</v>
      </c>
      <c r="C8" s="134" t="s">
        <v>42</v>
      </c>
      <c r="D8" s="122">
        <v>14</v>
      </c>
      <c r="E8" s="112">
        <v>1055.02</v>
      </c>
      <c r="F8" s="132">
        <f>ROUND(E8*D8,2)</f>
        <v>14770.28</v>
      </c>
      <c r="G8" s="132">
        <f>ROUND(F8*1.2,2)</f>
        <v>17724.34</v>
      </c>
      <c r="H8" s="113"/>
      <c r="I8" s="132"/>
      <c r="J8" s="132"/>
      <c r="K8" s="133">
        <f t="shared" ref="K8:L11" si="0">F8+I8</f>
        <v>14770.28</v>
      </c>
      <c r="L8" s="132">
        <f t="shared" si="0"/>
        <v>17724.34</v>
      </c>
      <c r="M8" s="62" t="s">
        <v>24</v>
      </c>
    </row>
    <row r="9" spans="1:13" ht="18.75" customHeight="1" x14ac:dyDescent="0.25">
      <c r="A9" s="129">
        <f>A8+1</f>
        <v>2</v>
      </c>
      <c r="B9" s="104" t="s">
        <v>20</v>
      </c>
      <c r="C9" s="103" t="s">
        <v>21</v>
      </c>
      <c r="D9" s="105">
        <v>124.64</v>
      </c>
      <c r="E9" s="106">
        <v>3500</v>
      </c>
      <c r="F9" s="106">
        <f>ROUND(E9*D9,2)</f>
        <v>436240</v>
      </c>
      <c r="G9" s="106">
        <f>ROUND(F9*1.2,2)</f>
        <v>523488</v>
      </c>
      <c r="H9" s="107"/>
      <c r="I9" s="106"/>
      <c r="J9" s="106"/>
      <c r="K9" s="108">
        <f t="shared" si="0"/>
        <v>436240</v>
      </c>
      <c r="L9" s="106">
        <f t="shared" si="0"/>
        <v>523488</v>
      </c>
      <c r="M9" s="149" t="s">
        <v>215</v>
      </c>
    </row>
    <row r="10" spans="1:13" ht="18.75" customHeight="1" x14ac:dyDescent="0.25">
      <c r="A10" s="131">
        <f>A9+1</f>
        <v>3</v>
      </c>
      <c r="B10" s="110" t="s">
        <v>22</v>
      </c>
      <c r="C10" s="109" t="s">
        <v>23</v>
      </c>
      <c r="D10" s="111">
        <v>49.35</v>
      </c>
      <c r="E10" s="112">
        <f>ROUND(65055.24/(297.03*0.05),2)</f>
        <v>4380.38</v>
      </c>
      <c r="F10" s="132">
        <f>ROUND(E10*D10,2)</f>
        <v>216171.75</v>
      </c>
      <c r="G10" s="132">
        <f>ROUND(F10*1.2,2)</f>
        <v>259406.1</v>
      </c>
      <c r="H10" s="113"/>
      <c r="I10" s="132"/>
      <c r="J10" s="132"/>
      <c r="K10" s="133">
        <f t="shared" si="0"/>
        <v>216171.75</v>
      </c>
      <c r="L10" s="132">
        <f t="shared" si="0"/>
        <v>259406.1</v>
      </c>
      <c r="M10" s="19" t="s">
        <v>24</v>
      </c>
    </row>
    <row r="11" spans="1:13" ht="18.75" customHeight="1" x14ac:dyDescent="0.25">
      <c r="A11" s="131">
        <f>A10+1</f>
        <v>4</v>
      </c>
      <c r="B11" s="110" t="s">
        <v>25</v>
      </c>
      <c r="C11" s="109" t="s">
        <v>23</v>
      </c>
      <c r="D11" s="111">
        <v>77.92</v>
      </c>
      <c r="E11" s="114">
        <v>304</v>
      </c>
      <c r="F11" s="132">
        <f>ROUND(E11*D11,2)</f>
        <v>23687.68</v>
      </c>
      <c r="G11" s="132">
        <f>ROUND(F11*1.2,2)</f>
        <v>28425.22</v>
      </c>
      <c r="H11" s="132"/>
      <c r="I11" s="132"/>
      <c r="J11" s="132"/>
      <c r="K11" s="133">
        <f t="shared" si="0"/>
        <v>23687.68</v>
      </c>
      <c r="L11" s="132">
        <f t="shared" si="0"/>
        <v>28425.22</v>
      </c>
      <c r="M11" s="19" t="s">
        <v>24</v>
      </c>
    </row>
    <row r="12" spans="1:13" ht="18.75" customHeight="1" x14ac:dyDescent="0.25">
      <c r="A12" s="28"/>
      <c r="B12" s="71" t="s">
        <v>67</v>
      </c>
      <c r="C12" s="34"/>
      <c r="D12" s="35"/>
      <c r="E12" s="72"/>
      <c r="F12" s="33"/>
      <c r="G12" s="33"/>
      <c r="H12" s="33"/>
      <c r="I12" s="33"/>
      <c r="J12" s="33"/>
      <c r="K12" s="30"/>
      <c r="L12" s="33"/>
      <c r="M12" s="62"/>
    </row>
    <row r="13" spans="1:13" ht="18.75" customHeight="1" x14ac:dyDescent="0.25">
      <c r="A13" s="131">
        <f>A11+1</f>
        <v>5</v>
      </c>
      <c r="B13" s="115" t="s">
        <v>26</v>
      </c>
      <c r="C13" s="109" t="s">
        <v>30</v>
      </c>
      <c r="D13" s="111">
        <f>1.4+199.32</f>
        <v>200.72</v>
      </c>
      <c r="E13" s="112">
        <v>431.37</v>
      </c>
      <c r="F13" s="132">
        <f>ROUND(E13*D13,2)</f>
        <v>86584.59</v>
      </c>
      <c r="G13" s="132">
        <f>ROUND(F13*1.2,2)</f>
        <v>103901.51</v>
      </c>
      <c r="H13" s="113"/>
      <c r="I13" s="132"/>
      <c r="J13" s="132"/>
      <c r="K13" s="133">
        <f>F13+I13</f>
        <v>86584.59</v>
      </c>
      <c r="L13" s="132">
        <f>G13+J13</f>
        <v>103901.51</v>
      </c>
      <c r="M13" s="62"/>
    </row>
    <row r="14" spans="1:13" ht="18.75" customHeight="1" x14ac:dyDescent="0.25">
      <c r="A14" s="47"/>
      <c r="B14" s="38" t="s">
        <v>33</v>
      </c>
      <c r="C14" s="34"/>
      <c r="D14" s="48"/>
      <c r="E14" s="49"/>
      <c r="F14" s="50"/>
      <c r="G14" s="51"/>
      <c r="H14" s="52"/>
      <c r="I14" s="53"/>
      <c r="J14" s="53"/>
      <c r="K14" s="54"/>
      <c r="L14" s="53"/>
    </row>
    <row r="15" spans="1:13" ht="18.75" customHeight="1" x14ac:dyDescent="0.25">
      <c r="A15" s="47"/>
      <c r="B15" s="73" t="s">
        <v>85</v>
      </c>
      <c r="C15" s="34"/>
      <c r="D15" s="48"/>
      <c r="E15" s="49"/>
      <c r="F15" s="50"/>
      <c r="G15" s="51"/>
      <c r="H15" s="52"/>
      <c r="I15" s="53"/>
      <c r="J15" s="53"/>
      <c r="K15" s="54"/>
      <c r="L15" s="53"/>
    </row>
    <row r="16" spans="1:13" ht="18.75" customHeight="1" x14ac:dyDescent="0.25">
      <c r="A16" s="131">
        <f>A13+1</f>
        <v>6</v>
      </c>
      <c r="B16" s="110" t="s">
        <v>83</v>
      </c>
      <c r="C16" s="109" t="s">
        <v>23</v>
      </c>
      <c r="D16" s="111">
        <v>96.84</v>
      </c>
      <c r="E16" s="113">
        <v>355.3</v>
      </c>
      <c r="F16" s="132">
        <f>ROUND(E16*D16,2)</f>
        <v>34407.25</v>
      </c>
      <c r="G16" s="132">
        <f>ROUND(F16*1.2,2)</f>
        <v>41288.699999999997</v>
      </c>
      <c r="H16" s="135"/>
      <c r="I16" s="136"/>
      <c r="J16" s="136"/>
      <c r="K16" s="114">
        <f t="shared" ref="K16:L31" si="1">F16+I16</f>
        <v>34407.25</v>
      </c>
      <c r="L16" s="112">
        <f t="shared" ref="L16:L31" si="2">G16+J16</f>
        <v>41288.699999999997</v>
      </c>
    </row>
    <row r="17" spans="1:13" ht="27.75" customHeight="1" x14ac:dyDescent="0.25">
      <c r="A17" s="131">
        <f>A16+1</f>
        <v>7</v>
      </c>
      <c r="B17" s="110" t="s">
        <v>34</v>
      </c>
      <c r="C17" s="109" t="s">
        <v>23</v>
      </c>
      <c r="D17" s="111">
        <v>3</v>
      </c>
      <c r="E17" s="113">
        <v>1688.15</v>
      </c>
      <c r="F17" s="132">
        <f>ROUND(E17*D17,2)</f>
        <v>5064.45</v>
      </c>
      <c r="G17" s="132">
        <f>ROUND(F17*1.2,2)</f>
        <v>6077.34</v>
      </c>
      <c r="H17" s="135"/>
      <c r="I17" s="136"/>
      <c r="J17" s="136"/>
      <c r="K17" s="114">
        <f t="shared" si="1"/>
        <v>5064.45</v>
      </c>
      <c r="L17" s="112">
        <f t="shared" si="1"/>
        <v>6077.34</v>
      </c>
    </row>
    <row r="18" spans="1:13" ht="18.75" customHeight="1" x14ac:dyDescent="0.25">
      <c r="A18" s="131">
        <f>A16+1</f>
        <v>7</v>
      </c>
      <c r="B18" s="110" t="s">
        <v>77</v>
      </c>
      <c r="C18" s="109" t="s">
        <v>23</v>
      </c>
      <c r="D18" s="111">
        <v>1.43</v>
      </c>
      <c r="E18" s="113">
        <v>1350.9</v>
      </c>
      <c r="F18" s="132">
        <f>ROUND(E18*D18,2)</f>
        <v>1931.79</v>
      </c>
      <c r="G18" s="132">
        <f>ROUND(F18*1.2,2)</f>
        <v>2318.15</v>
      </c>
      <c r="H18" s="135"/>
      <c r="I18" s="136"/>
      <c r="J18" s="136"/>
      <c r="K18" s="114">
        <f t="shared" si="1"/>
        <v>1931.79</v>
      </c>
      <c r="L18" s="112">
        <f t="shared" si="2"/>
        <v>2318.15</v>
      </c>
    </row>
    <row r="19" spans="1:13" ht="18.75" customHeight="1" x14ac:dyDescent="0.25">
      <c r="A19" s="40" t="s">
        <v>31</v>
      </c>
      <c r="B19" s="41" t="s">
        <v>59</v>
      </c>
      <c r="C19" s="42" t="s">
        <v>23</v>
      </c>
      <c r="D19" s="43">
        <f>D18*1.26</f>
        <v>1.8017999999999998</v>
      </c>
      <c r="E19" s="44"/>
      <c r="F19" s="45"/>
      <c r="G19" s="45"/>
      <c r="H19" s="44">
        <v>1299.5999999999999</v>
      </c>
      <c r="I19" s="45">
        <f>ROUND(H19*D19,2)</f>
        <v>2341.62</v>
      </c>
      <c r="J19" s="45">
        <f>ROUND(I19*1.2,2)</f>
        <v>2809.94</v>
      </c>
      <c r="K19" s="46">
        <f t="shared" si="1"/>
        <v>2341.62</v>
      </c>
      <c r="L19" s="45">
        <f t="shared" si="2"/>
        <v>2809.94</v>
      </c>
      <c r="M19" s="60"/>
    </row>
    <row r="20" spans="1:13" ht="18.75" customHeight="1" x14ac:dyDescent="0.25">
      <c r="A20" s="47"/>
      <c r="B20" s="73" t="s">
        <v>141</v>
      </c>
      <c r="C20" s="34"/>
      <c r="D20" s="48"/>
      <c r="E20" s="49"/>
      <c r="F20" s="50"/>
      <c r="G20" s="51"/>
      <c r="H20" s="52"/>
      <c r="I20" s="53"/>
      <c r="J20" s="53"/>
      <c r="K20" s="54"/>
      <c r="L20" s="53"/>
    </row>
    <row r="21" spans="1:13" ht="18.75" customHeight="1" x14ac:dyDescent="0.25">
      <c r="A21" s="131">
        <f>A18+1</f>
        <v>8</v>
      </c>
      <c r="B21" s="110" t="s">
        <v>83</v>
      </c>
      <c r="C21" s="109" t="s">
        <v>23</v>
      </c>
      <c r="D21" s="111">
        <v>293.76</v>
      </c>
      <c r="E21" s="113">
        <v>355.3</v>
      </c>
      <c r="F21" s="132">
        <f>ROUND(E21*D21,2)</f>
        <v>104372.93</v>
      </c>
      <c r="G21" s="132">
        <f>ROUND(F21*1.2,2)</f>
        <v>125247.52</v>
      </c>
      <c r="H21" s="135"/>
      <c r="I21" s="136"/>
      <c r="J21" s="136"/>
      <c r="K21" s="114">
        <f t="shared" ref="K21:K22" si="3">F21+I21</f>
        <v>104372.93</v>
      </c>
      <c r="L21" s="112">
        <f t="shared" ref="L21:L22" si="4">G21+J21</f>
        <v>125247.52</v>
      </c>
    </row>
    <row r="22" spans="1:13" ht="27.75" customHeight="1" x14ac:dyDescent="0.25">
      <c r="A22" s="131">
        <f>A21+1</f>
        <v>9</v>
      </c>
      <c r="B22" s="110" t="s">
        <v>34</v>
      </c>
      <c r="C22" s="109" t="s">
        <v>23</v>
      </c>
      <c r="D22" s="111">
        <v>9.09</v>
      </c>
      <c r="E22" s="113">
        <v>1688.15</v>
      </c>
      <c r="F22" s="132">
        <f>ROUND(E22*D22,2)</f>
        <v>15345.28</v>
      </c>
      <c r="G22" s="132">
        <f>ROUND(F22*1.2,2)</f>
        <v>18414.34</v>
      </c>
      <c r="H22" s="135"/>
      <c r="I22" s="136"/>
      <c r="J22" s="136"/>
      <c r="K22" s="114">
        <f t="shared" si="3"/>
        <v>15345.28</v>
      </c>
      <c r="L22" s="112">
        <f t="shared" si="4"/>
        <v>18414.34</v>
      </c>
    </row>
    <row r="23" spans="1:13" ht="18.75" customHeight="1" x14ac:dyDescent="0.25">
      <c r="A23" s="131">
        <f>A22+1</f>
        <v>10</v>
      </c>
      <c r="B23" s="110" t="s">
        <v>118</v>
      </c>
      <c r="C23" s="109" t="s">
        <v>23</v>
      </c>
      <c r="D23" s="111">
        <v>6.41</v>
      </c>
      <c r="E23" s="113">
        <v>1310.05</v>
      </c>
      <c r="F23" s="132">
        <f>ROUND(E23*D23,2)</f>
        <v>8397.42</v>
      </c>
      <c r="G23" s="132">
        <f>ROUND(F23*1.2,2)</f>
        <v>10076.9</v>
      </c>
      <c r="H23" s="132"/>
      <c r="I23" s="136"/>
      <c r="J23" s="136"/>
      <c r="K23" s="114">
        <f t="shared" si="1"/>
        <v>8397.42</v>
      </c>
      <c r="L23" s="112">
        <f t="shared" si="2"/>
        <v>10076.9</v>
      </c>
    </row>
    <row r="24" spans="1:13" ht="18.75" customHeight="1" x14ac:dyDescent="0.25">
      <c r="A24" s="40" t="s">
        <v>36</v>
      </c>
      <c r="B24" s="41" t="s">
        <v>37</v>
      </c>
      <c r="C24" s="42" t="s">
        <v>23</v>
      </c>
      <c r="D24" s="43">
        <f>D23*1.1</f>
        <v>7.051000000000001</v>
      </c>
      <c r="E24" s="44"/>
      <c r="F24" s="45"/>
      <c r="G24" s="45"/>
      <c r="H24" s="45">
        <v>1191.3</v>
      </c>
      <c r="I24" s="45">
        <f>ROUND(H24*D24,2)</f>
        <v>8399.86</v>
      </c>
      <c r="J24" s="45">
        <f>ROUND(I24*1.2,2)</f>
        <v>10079.83</v>
      </c>
      <c r="K24" s="46">
        <f t="shared" si="1"/>
        <v>8399.86</v>
      </c>
      <c r="L24" s="45">
        <f t="shared" si="2"/>
        <v>10079.83</v>
      </c>
    </row>
    <row r="25" spans="1:13" ht="18.75" customHeight="1" x14ac:dyDescent="0.25">
      <c r="A25" s="109">
        <f>A23+1</f>
        <v>11</v>
      </c>
      <c r="B25" s="110" t="s">
        <v>97</v>
      </c>
      <c r="C25" s="109" t="s">
        <v>23</v>
      </c>
      <c r="D25" s="111">
        <v>86.21</v>
      </c>
      <c r="E25" s="113">
        <v>1310.05</v>
      </c>
      <c r="F25" s="132">
        <f>ROUND(E25*D25,2)</f>
        <v>112939.41</v>
      </c>
      <c r="G25" s="132">
        <f>ROUND(F25*1.2,2)</f>
        <v>135527.29</v>
      </c>
      <c r="H25" s="132"/>
      <c r="I25" s="132"/>
      <c r="J25" s="132"/>
      <c r="K25" s="133">
        <f t="shared" si="1"/>
        <v>112939.41</v>
      </c>
      <c r="L25" s="132">
        <f t="shared" si="2"/>
        <v>135527.29</v>
      </c>
    </row>
    <row r="26" spans="1:13" ht="18.75" customHeight="1" x14ac:dyDescent="0.25">
      <c r="A26" s="40" t="s">
        <v>38</v>
      </c>
      <c r="B26" s="41" t="s">
        <v>37</v>
      </c>
      <c r="C26" s="42" t="s">
        <v>23</v>
      </c>
      <c r="D26" s="43">
        <f>D25*1.1</f>
        <v>94.831000000000003</v>
      </c>
      <c r="E26" s="44"/>
      <c r="F26" s="45"/>
      <c r="G26" s="45"/>
      <c r="H26" s="45">
        <v>1191.3</v>
      </c>
      <c r="I26" s="45">
        <f>ROUND(H26*D26,2)</f>
        <v>112972.17</v>
      </c>
      <c r="J26" s="45">
        <f>ROUND(I26*1.2,2)</f>
        <v>135566.6</v>
      </c>
      <c r="K26" s="46">
        <f t="shared" si="1"/>
        <v>112972.17</v>
      </c>
      <c r="L26" s="45">
        <f t="shared" si="2"/>
        <v>135566.6</v>
      </c>
    </row>
    <row r="27" spans="1:13" s="57" customFormat="1" ht="18.75" customHeight="1" x14ac:dyDescent="0.25">
      <c r="A27" s="109">
        <f>A25+1</f>
        <v>12</v>
      </c>
      <c r="B27" s="110" t="s">
        <v>57</v>
      </c>
      <c r="C27" s="109" t="s">
        <v>23</v>
      </c>
      <c r="D27" s="111">
        <v>430.86</v>
      </c>
      <c r="E27" s="113">
        <v>118.75</v>
      </c>
      <c r="F27" s="132">
        <f>ROUND(E27*D27,2)</f>
        <v>51164.63</v>
      </c>
      <c r="G27" s="132">
        <f>ROUND(F27*1.2,2)</f>
        <v>61397.56</v>
      </c>
      <c r="H27" s="135"/>
      <c r="I27" s="136"/>
      <c r="J27" s="136"/>
      <c r="K27" s="114">
        <f t="shared" si="1"/>
        <v>51164.63</v>
      </c>
      <c r="L27" s="112">
        <f t="shared" si="2"/>
        <v>61397.56</v>
      </c>
      <c r="M27" s="56"/>
    </row>
    <row r="28" spans="1:13" ht="18.75" customHeight="1" x14ac:dyDescent="0.25">
      <c r="A28" s="131">
        <f>A27+1</f>
        <v>13</v>
      </c>
      <c r="B28" s="110" t="s">
        <v>39</v>
      </c>
      <c r="C28" s="109" t="s">
        <v>23</v>
      </c>
      <c r="D28" s="111">
        <v>517.05999999999995</v>
      </c>
      <c r="E28" s="113">
        <v>188.1</v>
      </c>
      <c r="F28" s="132">
        <f>ROUND(E28*D28,2)</f>
        <v>97258.99</v>
      </c>
      <c r="G28" s="132">
        <f>ROUND(F28*1.2,2)</f>
        <v>116710.79</v>
      </c>
      <c r="H28" s="114"/>
      <c r="I28" s="132"/>
      <c r="J28" s="132"/>
      <c r="K28" s="114">
        <f t="shared" si="1"/>
        <v>97258.99</v>
      </c>
      <c r="L28" s="112">
        <f t="shared" si="2"/>
        <v>116710.79</v>
      </c>
    </row>
    <row r="29" spans="1:13" ht="18.75" customHeight="1" x14ac:dyDescent="0.25">
      <c r="A29" s="28"/>
      <c r="B29" s="75" t="s">
        <v>67</v>
      </c>
      <c r="C29" s="67"/>
      <c r="D29" s="68"/>
      <c r="E29" s="32"/>
      <c r="F29" s="31"/>
      <c r="G29" s="31"/>
      <c r="H29" s="55"/>
      <c r="I29" s="33"/>
      <c r="J29" s="33"/>
      <c r="K29" s="55"/>
      <c r="L29" s="37"/>
    </row>
    <row r="30" spans="1:13" ht="18.75" customHeight="1" x14ac:dyDescent="0.25">
      <c r="A30" s="131">
        <f>A28+1</f>
        <v>14</v>
      </c>
      <c r="B30" s="110" t="s">
        <v>68</v>
      </c>
      <c r="C30" s="109" t="s">
        <v>30</v>
      </c>
      <c r="D30" s="111">
        <v>53.52</v>
      </c>
      <c r="E30" s="113">
        <v>308.75</v>
      </c>
      <c r="F30" s="132">
        <f>ROUND(E30*D30,2)</f>
        <v>16524.3</v>
      </c>
      <c r="G30" s="132">
        <f>ROUND(F30*1.2,2)</f>
        <v>19829.16</v>
      </c>
      <c r="H30" s="113"/>
      <c r="I30" s="112"/>
      <c r="J30" s="112"/>
      <c r="K30" s="114">
        <f t="shared" si="1"/>
        <v>16524.3</v>
      </c>
      <c r="L30" s="112">
        <f t="shared" si="2"/>
        <v>19829.16</v>
      </c>
    </row>
    <row r="31" spans="1:13" ht="18.75" customHeight="1" x14ac:dyDescent="0.25">
      <c r="A31" s="131">
        <f>A30+1</f>
        <v>15</v>
      </c>
      <c r="B31" s="110" t="s">
        <v>69</v>
      </c>
      <c r="C31" s="109" t="s">
        <v>30</v>
      </c>
      <c r="D31" s="111">
        <v>53.52</v>
      </c>
      <c r="E31" s="113">
        <v>237.5</v>
      </c>
      <c r="F31" s="132">
        <f>ROUND(E31*D31,2)</f>
        <v>12711</v>
      </c>
      <c r="G31" s="132">
        <f>ROUND(F31*1.2,2)</f>
        <v>15253.2</v>
      </c>
      <c r="H31" s="113"/>
      <c r="I31" s="112"/>
      <c r="J31" s="112"/>
      <c r="K31" s="114">
        <f t="shared" si="1"/>
        <v>12711</v>
      </c>
      <c r="L31" s="112">
        <f t="shared" si="2"/>
        <v>15253.2</v>
      </c>
      <c r="M31" s="62" t="s">
        <v>214</v>
      </c>
    </row>
    <row r="32" spans="1:13" ht="24" customHeight="1" x14ac:dyDescent="0.25">
      <c r="A32" s="28"/>
      <c r="B32" s="75" t="s">
        <v>142</v>
      </c>
      <c r="C32" s="67"/>
      <c r="D32" s="68"/>
      <c r="E32" s="32"/>
      <c r="F32" s="31"/>
      <c r="G32" s="31"/>
      <c r="H32" s="32"/>
      <c r="I32" s="37"/>
      <c r="J32" s="37"/>
      <c r="K32" s="55"/>
      <c r="L32" s="37"/>
      <c r="M32" s="62"/>
    </row>
    <row r="33" spans="1:13" ht="24.75" customHeight="1" x14ac:dyDescent="0.25">
      <c r="A33" s="129">
        <f>A31+1</f>
        <v>16</v>
      </c>
      <c r="B33" s="104" t="s">
        <v>88</v>
      </c>
      <c r="C33" s="103" t="s">
        <v>23</v>
      </c>
      <c r="D33" s="137">
        <f>0.59+1.174</f>
        <v>1.7639999999999998</v>
      </c>
      <c r="E33" s="171">
        <f>14540/0.84*D33</f>
        <v>30533.999999999996</v>
      </c>
      <c r="F33" s="171">
        <f>ROUND(E33*1,2)</f>
        <v>30534</v>
      </c>
      <c r="G33" s="171">
        <f t="shared" ref="G33:G36" si="5">ROUND(F33*1.2,2)</f>
        <v>36640.800000000003</v>
      </c>
      <c r="H33" s="171"/>
      <c r="I33" s="171"/>
      <c r="J33" s="171"/>
      <c r="K33" s="171">
        <f t="shared" ref="K33:L36" si="6">F33+I33</f>
        <v>30534</v>
      </c>
      <c r="L33" s="171">
        <f t="shared" si="6"/>
        <v>36640.800000000003</v>
      </c>
      <c r="M33" s="173" t="s">
        <v>71</v>
      </c>
    </row>
    <row r="34" spans="1:13" ht="19.5" customHeight="1" x14ac:dyDescent="0.25">
      <c r="A34" s="138" t="s">
        <v>41</v>
      </c>
      <c r="B34" s="104" t="s">
        <v>143</v>
      </c>
      <c r="C34" s="103" t="s">
        <v>23</v>
      </c>
      <c r="D34" s="105">
        <v>0.59</v>
      </c>
      <c r="E34" s="172"/>
      <c r="F34" s="172"/>
      <c r="G34" s="172"/>
      <c r="H34" s="172"/>
      <c r="I34" s="172"/>
      <c r="J34" s="172"/>
      <c r="K34" s="172"/>
      <c r="L34" s="172"/>
      <c r="M34" s="173"/>
    </row>
    <row r="35" spans="1:13" ht="19.5" customHeight="1" x14ac:dyDescent="0.25">
      <c r="A35" s="138" t="s">
        <v>114</v>
      </c>
      <c r="B35" s="104" t="s">
        <v>144</v>
      </c>
      <c r="C35" s="103" t="s">
        <v>23</v>
      </c>
      <c r="D35" s="127">
        <v>1.1739999999999999</v>
      </c>
      <c r="E35" s="172"/>
      <c r="F35" s="172">
        <f t="shared" ref="F35:F36" si="7">ROUND(E35*D35,2)</f>
        <v>0</v>
      </c>
      <c r="G35" s="172">
        <f t="shared" si="5"/>
        <v>0</v>
      </c>
      <c r="H35" s="172"/>
      <c r="I35" s="172"/>
      <c r="J35" s="172"/>
      <c r="K35" s="172">
        <f t="shared" si="6"/>
        <v>0</v>
      </c>
      <c r="L35" s="172">
        <f t="shared" si="6"/>
        <v>0</v>
      </c>
      <c r="M35" s="173"/>
    </row>
    <row r="36" spans="1:13" ht="19.5" customHeight="1" x14ac:dyDescent="0.25">
      <c r="A36" s="138" t="s">
        <v>146</v>
      </c>
      <c r="B36" s="104" t="s">
        <v>145</v>
      </c>
      <c r="C36" s="103" t="s">
        <v>42</v>
      </c>
      <c r="D36" s="119">
        <v>1</v>
      </c>
      <c r="E36" s="172"/>
      <c r="F36" s="172">
        <f t="shared" si="7"/>
        <v>0</v>
      </c>
      <c r="G36" s="172">
        <f t="shared" si="5"/>
        <v>0</v>
      </c>
      <c r="H36" s="172"/>
      <c r="I36" s="172"/>
      <c r="J36" s="172"/>
      <c r="K36" s="172">
        <f t="shared" si="6"/>
        <v>0</v>
      </c>
      <c r="L36" s="172">
        <f t="shared" si="6"/>
        <v>0</v>
      </c>
      <c r="M36" s="173"/>
    </row>
    <row r="37" spans="1:13" ht="18.75" customHeight="1" x14ac:dyDescent="0.25">
      <c r="A37" s="28"/>
      <c r="B37" s="71" t="s">
        <v>67</v>
      </c>
      <c r="C37" s="34"/>
      <c r="D37" s="35"/>
      <c r="E37" s="72"/>
      <c r="F37" s="33"/>
      <c r="G37" s="33"/>
      <c r="H37" s="33"/>
      <c r="I37" s="33"/>
      <c r="J37" s="33"/>
      <c r="K37" s="30"/>
      <c r="L37" s="33"/>
      <c r="M37" s="62"/>
    </row>
    <row r="38" spans="1:13" ht="18.75" customHeight="1" x14ac:dyDescent="0.25">
      <c r="A38" s="131">
        <f>A33+1</f>
        <v>17</v>
      </c>
      <c r="B38" s="115" t="s">
        <v>26</v>
      </c>
      <c r="C38" s="109" t="s">
        <v>30</v>
      </c>
      <c r="D38" s="111">
        <v>4.41</v>
      </c>
      <c r="E38" s="112">
        <v>431.37</v>
      </c>
      <c r="F38" s="132">
        <f>ROUND(E38*D38,2)</f>
        <v>1902.34</v>
      </c>
      <c r="G38" s="132">
        <f>ROUND(F38*1.2,2)</f>
        <v>2282.81</v>
      </c>
      <c r="H38" s="113"/>
      <c r="I38" s="132"/>
      <c r="J38" s="132"/>
      <c r="K38" s="133">
        <f>F38+I38</f>
        <v>1902.34</v>
      </c>
      <c r="L38" s="132">
        <f>G38+J38</f>
        <v>2282.81</v>
      </c>
      <c r="M38" s="62" t="s">
        <v>27</v>
      </c>
    </row>
    <row r="39" spans="1:13" ht="18.75" customHeight="1" x14ac:dyDescent="0.25">
      <c r="A39" s="40"/>
      <c r="B39" s="38" t="s">
        <v>40</v>
      </c>
      <c r="C39" s="34"/>
      <c r="D39" s="48"/>
      <c r="E39" s="49"/>
      <c r="F39" s="50"/>
      <c r="G39" s="51"/>
      <c r="H39" s="58"/>
      <c r="I39" s="33"/>
      <c r="J39" s="33"/>
      <c r="K39" s="30"/>
      <c r="L39" s="33"/>
    </row>
    <row r="40" spans="1:13" ht="37.5" customHeight="1" x14ac:dyDescent="0.25">
      <c r="A40" s="131">
        <f>A38+1</f>
        <v>18</v>
      </c>
      <c r="B40" s="110" t="s">
        <v>117</v>
      </c>
      <c r="C40" s="109" t="s">
        <v>21</v>
      </c>
      <c r="D40" s="111">
        <v>6.91</v>
      </c>
      <c r="E40" s="113">
        <v>4603.7</v>
      </c>
      <c r="F40" s="132">
        <f>ROUND(E40*D40,2)</f>
        <v>31811.57</v>
      </c>
      <c r="G40" s="132">
        <f>ROUND(F40*1.2,2)</f>
        <v>38173.879999999997</v>
      </c>
      <c r="H40" s="139"/>
      <c r="I40" s="132"/>
      <c r="J40" s="132"/>
      <c r="K40" s="114">
        <f t="shared" ref="K40:L58" si="8">F40+I40</f>
        <v>31811.57</v>
      </c>
      <c r="L40" s="112">
        <f t="shared" ref="L40:L57" si="9">G40+J40</f>
        <v>38173.879999999997</v>
      </c>
    </row>
    <row r="41" spans="1:13" ht="35.25" customHeight="1" x14ac:dyDescent="0.25">
      <c r="A41" s="40" t="s">
        <v>123</v>
      </c>
      <c r="B41" s="41" t="s">
        <v>116</v>
      </c>
      <c r="C41" s="42" t="s">
        <v>21</v>
      </c>
      <c r="D41" s="43">
        <f>1.02*D40</f>
        <v>7.0482000000000005</v>
      </c>
      <c r="E41" s="44"/>
      <c r="F41" s="59"/>
      <c r="G41" s="59"/>
      <c r="H41" s="59">
        <v>10659</v>
      </c>
      <c r="I41" s="59">
        <f>ROUND(H41*D41,2)</f>
        <v>75126.759999999995</v>
      </c>
      <c r="J41" s="59">
        <f>ROUND(I41*1.2,2)</f>
        <v>90152.11</v>
      </c>
      <c r="K41" s="61">
        <f t="shared" si="8"/>
        <v>75126.759999999995</v>
      </c>
      <c r="L41" s="59">
        <f t="shared" si="9"/>
        <v>90152.11</v>
      </c>
    </row>
    <row r="42" spans="1:13" ht="50.25" customHeight="1" x14ac:dyDescent="0.25">
      <c r="A42" s="129">
        <f>A40+1</f>
        <v>19</v>
      </c>
      <c r="B42" s="104" t="s">
        <v>115</v>
      </c>
      <c r="C42" s="103" t="s">
        <v>21</v>
      </c>
      <c r="D42" s="105">
        <v>6.91</v>
      </c>
      <c r="E42" s="107">
        <v>2509.9899999999998</v>
      </c>
      <c r="F42" s="130">
        <f>ROUND(E42*D42,2)</f>
        <v>17344.03</v>
      </c>
      <c r="G42" s="130">
        <f>ROUND(F42*1.2,2)</f>
        <v>20812.84</v>
      </c>
      <c r="H42" s="140"/>
      <c r="I42" s="130"/>
      <c r="J42" s="130"/>
      <c r="K42" s="108">
        <f t="shared" si="8"/>
        <v>17344.03</v>
      </c>
      <c r="L42" s="106">
        <f t="shared" si="9"/>
        <v>20812.84</v>
      </c>
      <c r="M42" s="62"/>
    </row>
    <row r="43" spans="1:13" ht="24.75" customHeight="1" x14ac:dyDescent="0.25">
      <c r="A43" s="40" t="s">
        <v>164</v>
      </c>
      <c r="B43" s="41" t="s">
        <v>80</v>
      </c>
      <c r="C43" s="42" t="s">
        <v>21</v>
      </c>
      <c r="D43" s="43">
        <f>1.02*D42</f>
        <v>7.0482000000000005</v>
      </c>
      <c r="E43" s="44"/>
      <c r="F43" s="45"/>
      <c r="G43" s="45"/>
      <c r="H43" s="45">
        <v>3866.5</v>
      </c>
      <c r="I43" s="45">
        <f>ROUND(H43*D43,2)</f>
        <v>27251.87</v>
      </c>
      <c r="J43" s="45">
        <f>ROUND(I43*1.2,2)</f>
        <v>32702.240000000002</v>
      </c>
      <c r="K43" s="46">
        <f t="shared" si="8"/>
        <v>27251.87</v>
      </c>
      <c r="L43" s="45">
        <f t="shared" si="9"/>
        <v>32702.240000000002</v>
      </c>
      <c r="M43" s="60"/>
    </row>
    <row r="44" spans="1:13" ht="24.75" customHeight="1" x14ac:dyDescent="0.25">
      <c r="A44" s="40" t="s">
        <v>198</v>
      </c>
      <c r="B44" s="41" t="s">
        <v>61</v>
      </c>
      <c r="C44" s="42" t="s">
        <v>42</v>
      </c>
      <c r="D44" s="63">
        <v>3</v>
      </c>
      <c r="E44" s="44"/>
      <c r="F44" s="45"/>
      <c r="G44" s="45"/>
      <c r="H44" s="45">
        <v>1641.6</v>
      </c>
      <c r="I44" s="45">
        <f>ROUND(H44*D44,2)</f>
        <v>4924.8</v>
      </c>
      <c r="J44" s="45">
        <f>ROUND(I44*1.2,2)</f>
        <v>5909.76</v>
      </c>
      <c r="K44" s="46">
        <f t="shared" si="8"/>
        <v>4924.8</v>
      </c>
      <c r="L44" s="45">
        <f t="shared" si="9"/>
        <v>5909.76</v>
      </c>
    </row>
    <row r="45" spans="1:13" ht="30" x14ac:dyDescent="0.25">
      <c r="A45" s="129">
        <f>A42+1</f>
        <v>20</v>
      </c>
      <c r="B45" s="104" t="s">
        <v>113</v>
      </c>
      <c r="C45" s="103" t="s">
        <v>21</v>
      </c>
      <c r="D45" s="141">
        <v>4.4000000000000004</v>
      </c>
      <c r="E45" s="107">
        <f>ROUND(1297.72*1.33,2)</f>
        <v>1725.97</v>
      </c>
      <c r="F45" s="130">
        <f>ROUND(E45*D45,2)</f>
        <v>7594.27</v>
      </c>
      <c r="G45" s="130">
        <f>ROUND(F45*1.2,2)</f>
        <v>9113.1200000000008</v>
      </c>
      <c r="H45" s="140"/>
      <c r="I45" s="130"/>
      <c r="J45" s="130"/>
      <c r="K45" s="108">
        <f t="shared" si="8"/>
        <v>7594.27</v>
      </c>
      <c r="L45" s="106">
        <f t="shared" si="9"/>
        <v>9113.1200000000008</v>
      </c>
      <c r="M45" s="62"/>
    </row>
    <row r="46" spans="1:13" ht="24" customHeight="1" x14ac:dyDescent="0.25">
      <c r="A46" s="40" t="s">
        <v>44</v>
      </c>
      <c r="B46" s="41" t="s">
        <v>112</v>
      </c>
      <c r="C46" s="42" t="s">
        <v>21</v>
      </c>
      <c r="D46" s="43">
        <f>D45*1.02</f>
        <v>4.4880000000000004</v>
      </c>
      <c r="E46" s="44"/>
      <c r="F46" s="45"/>
      <c r="G46" s="45"/>
      <c r="H46" s="150">
        <f>ROUND(7500/1.2*1.15,2)</f>
        <v>7187.5</v>
      </c>
      <c r="I46" s="59">
        <f>ROUND(H46*D46,2)</f>
        <v>32257.5</v>
      </c>
      <c r="J46" s="59">
        <f>ROUND(I46*1.2,2)</f>
        <v>38709</v>
      </c>
      <c r="K46" s="61">
        <f t="shared" si="8"/>
        <v>32257.5</v>
      </c>
      <c r="L46" s="59">
        <f t="shared" si="9"/>
        <v>38709</v>
      </c>
      <c r="M46" s="62" t="s">
        <v>92</v>
      </c>
    </row>
    <row r="47" spans="1:13" ht="45" x14ac:dyDescent="0.25">
      <c r="A47" s="129">
        <f>A45+1</f>
        <v>21</v>
      </c>
      <c r="B47" s="104" t="s">
        <v>111</v>
      </c>
      <c r="C47" s="103" t="s">
        <v>21</v>
      </c>
      <c r="D47" s="141">
        <v>4.4000000000000004</v>
      </c>
      <c r="E47" s="107">
        <f>ROUND(1570.09*1.33,2)</f>
        <v>2088.2199999999998</v>
      </c>
      <c r="F47" s="130">
        <f>ROUND(E47*D47,2)</f>
        <v>9188.17</v>
      </c>
      <c r="G47" s="130">
        <f>ROUND(F47*1.2,2)</f>
        <v>11025.8</v>
      </c>
      <c r="H47" s="140"/>
      <c r="I47" s="130"/>
      <c r="J47" s="130"/>
      <c r="K47" s="108">
        <f t="shared" si="8"/>
        <v>9188.17</v>
      </c>
      <c r="L47" s="106">
        <f t="shared" si="9"/>
        <v>11025.8</v>
      </c>
      <c r="M47" s="62"/>
    </row>
    <row r="48" spans="1:13" ht="18.75" customHeight="1" x14ac:dyDescent="0.25">
      <c r="A48" s="40" t="s">
        <v>45</v>
      </c>
      <c r="B48" s="41" t="s">
        <v>89</v>
      </c>
      <c r="C48" s="80" t="s">
        <v>21</v>
      </c>
      <c r="D48" s="43">
        <f>1.02*D47</f>
        <v>4.4880000000000004</v>
      </c>
      <c r="E48" s="44"/>
      <c r="F48" s="45"/>
      <c r="G48" s="45"/>
      <c r="H48" s="70">
        <v>1003.2</v>
      </c>
      <c r="I48" s="45">
        <f>ROUND(H48*D48,2)</f>
        <v>4502.3599999999997</v>
      </c>
      <c r="J48" s="45">
        <f>ROUND(I48*1.2,2)</f>
        <v>5402.83</v>
      </c>
      <c r="K48" s="46">
        <f t="shared" si="8"/>
        <v>4502.3599999999997</v>
      </c>
      <c r="L48" s="45">
        <f t="shared" si="9"/>
        <v>5402.83</v>
      </c>
      <c r="M48" s="60"/>
    </row>
    <row r="49" spans="1:13" ht="18.75" customHeight="1" x14ac:dyDescent="0.25">
      <c r="A49" s="40" t="s">
        <v>127</v>
      </c>
      <c r="B49" s="41" t="s">
        <v>110</v>
      </c>
      <c r="C49" s="42" t="s">
        <v>42</v>
      </c>
      <c r="D49" s="63">
        <v>2</v>
      </c>
      <c r="E49" s="44"/>
      <c r="F49" s="45"/>
      <c r="G49" s="45"/>
      <c r="H49" s="45">
        <v>919.6</v>
      </c>
      <c r="I49" s="45">
        <f>ROUND(H49*D49,2)</f>
        <v>1839.2</v>
      </c>
      <c r="J49" s="45">
        <f>ROUND(I49*1.2,2)</f>
        <v>2207.04</v>
      </c>
      <c r="K49" s="46">
        <f t="shared" si="8"/>
        <v>1839.2</v>
      </c>
      <c r="L49" s="45">
        <f t="shared" si="9"/>
        <v>2207.04</v>
      </c>
    </row>
    <row r="50" spans="1:13" ht="33" customHeight="1" x14ac:dyDescent="0.25">
      <c r="A50" s="131">
        <f>A47+1</f>
        <v>22</v>
      </c>
      <c r="B50" s="110" t="s">
        <v>79</v>
      </c>
      <c r="C50" s="109" t="s">
        <v>23</v>
      </c>
      <c r="D50" s="111">
        <v>1.4</v>
      </c>
      <c r="E50" s="113">
        <v>8327.42</v>
      </c>
      <c r="F50" s="132">
        <f>ROUND(E50*D50,2)</f>
        <v>11658.39</v>
      </c>
      <c r="G50" s="132">
        <f>ROUND(F50*1.2,2)</f>
        <v>13990.07</v>
      </c>
      <c r="H50" s="139"/>
      <c r="I50" s="132"/>
      <c r="J50" s="132"/>
      <c r="K50" s="114">
        <f t="shared" si="8"/>
        <v>11658.39</v>
      </c>
      <c r="L50" s="112">
        <f t="shared" si="9"/>
        <v>13990.07</v>
      </c>
    </row>
    <row r="51" spans="1:13" ht="18.75" customHeight="1" x14ac:dyDescent="0.25">
      <c r="A51" s="40" t="s">
        <v>46</v>
      </c>
      <c r="B51" s="41" t="s">
        <v>43</v>
      </c>
      <c r="C51" s="42" t="s">
        <v>23</v>
      </c>
      <c r="D51" s="43">
        <f>1.02*D50</f>
        <v>1.4279999999999999</v>
      </c>
      <c r="E51" s="44"/>
      <c r="F51" s="45"/>
      <c r="G51" s="45"/>
      <c r="H51" s="45">
        <v>3657.5</v>
      </c>
      <c r="I51" s="45">
        <f>ROUND(H51*D51,2)</f>
        <v>5222.91</v>
      </c>
      <c r="J51" s="45">
        <f>ROUND(I51*1.2,2)</f>
        <v>6267.49</v>
      </c>
      <c r="K51" s="46">
        <f t="shared" si="8"/>
        <v>5222.91</v>
      </c>
      <c r="L51" s="45">
        <f t="shared" si="9"/>
        <v>6267.49</v>
      </c>
      <c r="M51" s="60"/>
    </row>
    <row r="52" spans="1:13" ht="18.75" customHeight="1" x14ac:dyDescent="0.25">
      <c r="A52" s="131">
        <f>A50+1</f>
        <v>23</v>
      </c>
      <c r="B52" s="115" t="s">
        <v>109</v>
      </c>
      <c r="C52" s="109" t="s">
        <v>21</v>
      </c>
      <c r="D52" s="111">
        <v>54.3</v>
      </c>
      <c r="E52" s="113">
        <v>1382.25</v>
      </c>
      <c r="F52" s="132">
        <f>ROUND(E52*D52,2)</f>
        <v>75056.179999999993</v>
      </c>
      <c r="G52" s="132">
        <f>ROUND(F52*1.2,2)</f>
        <v>90067.42</v>
      </c>
      <c r="H52" s="139"/>
      <c r="I52" s="132"/>
      <c r="J52" s="132"/>
      <c r="K52" s="114">
        <f t="shared" si="8"/>
        <v>75056.179999999993</v>
      </c>
      <c r="L52" s="112">
        <f t="shared" si="9"/>
        <v>90067.42</v>
      </c>
    </row>
    <row r="53" spans="1:13" ht="18.75" customHeight="1" x14ac:dyDescent="0.25">
      <c r="A53" s="40" t="s">
        <v>47</v>
      </c>
      <c r="B53" s="41" t="s">
        <v>80</v>
      </c>
      <c r="C53" s="42" t="s">
        <v>21</v>
      </c>
      <c r="D53" s="43">
        <f>1.02*D52</f>
        <v>55.385999999999996</v>
      </c>
      <c r="E53" s="44"/>
      <c r="F53" s="45"/>
      <c r="G53" s="45"/>
      <c r="H53" s="45">
        <v>3866.5</v>
      </c>
      <c r="I53" s="45">
        <f>ROUND(H53*D53,2)</f>
        <v>214149.97</v>
      </c>
      <c r="J53" s="45">
        <f>ROUND(I53*1.2,2)</f>
        <v>256979.96</v>
      </c>
      <c r="K53" s="46">
        <f t="shared" si="8"/>
        <v>214149.97</v>
      </c>
      <c r="L53" s="45">
        <f t="shared" si="9"/>
        <v>256979.96</v>
      </c>
      <c r="M53" s="60"/>
    </row>
    <row r="54" spans="1:13" ht="18.75" customHeight="1" x14ac:dyDescent="0.25">
      <c r="A54" s="131">
        <f>A52+1</f>
        <v>24</v>
      </c>
      <c r="B54" s="110" t="s">
        <v>87</v>
      </c>
      <c r="C54" s="109" t="s">
        <v>21</v>
      </c>
      <c r="D54" s="111">
        <v>5.69</v>
      </c>
      <c r="E54" s="113">
        <v>966.15</v>
      </c>
      <c r="F54" s="132">
        <f>ROUND(E54*D54,2)</f>
        <v>5497.39</v>
      </c>
      <c r="G54" s="132">
        <f>ROUND(F54*1.2,2)</f>
        <v>6596.87</v>
      </c>
      <c r="H54" s="139"/>
      <c r="I54" s="132"/>
      <c r="J54" s="132"/>
      <c r="K54" s="114">
        <f t="shared" si="8"/>
        <v>5497.39</v>
      </c>
      <c r="L54" s="112">
        <f t="shared" si="9"/>
        <v>6596.87</v>
      </c>
    </row>
    <row r="55" spans="1:13" ht="18.75" customHeight="1" x14ac:dyDescent="0.25">
      <c r="A55" s="40" t="s">
        <v>48</v>
      </c>
      <c r="B55" s="41" t="s">
        <v>89</v>
      </c>
      <c r="C55" s="80" t="s">
        <v>21</v>
      </c>
      <c r="D55" s="43">
        <f>1.02*D54</f>
        <v>5.8038000000000007</v>
      </c>
      <c r="E55" s="44"/>
      <c r="F55" s="45"/>
      <c r="G55" s="45"/>
      <c r="H55" s="70">
        <v>1003.2</v>
      </c>
      <c r="I55" s="45">
        <f>ROUND(H55*D55,2)</f>
        <v>5822.37</v>
      </c>
      <c r="J55" s="45">
        <f>ROUND(I55*1.2,2)</f>
        <v>6986.84</v>
      </c>
      <c r="K55" s="46">
        <f t="shared" si="8"/>
        <v>5822.37</v>
      </c>
      <c r="L55" s="45">
        <f t="shared" si="9"/>
        <v>6986.84</v>
      </c>
      <c r="M55" s="60"/>
    </row>
    <row r="56" spans="1:13" ht="18.75" customHeight="1" x14ac:dyDescent="0.25">
      <c r="A56" s="129">
        <f>A54+1</f>
        <v>25</v>
      </c>
      <c r="B56" s="142" t="s">
        <v>165</v>
      </c>
      <c r="C56" s="103" t="s">
        <v>42</v>
      </c>
      <c r="D56" s="119">
        <v>4</v>
      </c>
      <c r="E56" s="143">
        <v>2314.11</v>
      </c>
      <c r="F56" s="106">
        <f t="shared" ref="F56:F57" si="10">ROUND(E56*D56,2)</f>
        <v>9256.44</v>
      </c>
      <c r="G56" s="106">
        <f t="shared" ref="G56:G57" si="11">ROUND(F56*1.2,2)</f>
        <v>11107.73</v>
      </c>
      <c r="H56" s="107"/>
      <c r="I56" s="106"/>
      <c r="J56" s="106"/>
      <c r="K56" s="108">
        <f t="shared" si="8"/>
        <v>9256.44</v>
      </c>
      <c r="L56" s="106">
        <f t="shared" si="9"/>
        <v>11107.73</v>
      </c>
      <c r="M56" s="60"/>
    </row>
    <row r="57" spans="1:13" ht="18.75" customHeight="1" x14ac:dyDescent="0.25">
      <c r="A57" s="129">
        <f>A56+1</f>
        <v>26</v>
      </c>
      <c r="B57" s="142" t="s">
        <v>166</v>
      </c>
      <c r="C57" s="103" t="s">
        <v>42</v>
      </c>
      <c r="D57" s="119">
        <v>1</v>
      </c>
      <c r="E57" s="143">
        <v>2314.11</v>
      </c>
      <c r="F57" s="106">
        <f t="shared" si="10"/>
        <v>2314.11</v>
      </c>
      <c r="G57" s="106">
        <f t="shared" si="11"/>
        <v>2776.93</v>
      </c>
      <c r="H57" s="107"/>
      <c r="I57" s="106"/>
      <c r="J57" s="106"/>
      <c r="K57" s="108">
        <f t="shared" si="8"/>
        <v>2314.11</v>
      </c>
      <c r="L57" s="106">
        <f t="shared" si="9"/>
        <v>2776.93</v>
      </c>
      <c r="M57" s="60"/>
    </row>
    <row r="58" spans="1:13" ht="45" x14ac:dyDescent="0.25">
      <c r="A58" s="131">
        <f>A57+1</f>
        <v>27</v>
      </c>
      <c r="B58" s="110" t="s">
        <v>94</v>
      </c>
      <c r="C58" s="109" t="s">
        <v>42</v>
      </c>
      <c r="D58" s="122">
        <v>2</v>
      </c>
      <c r="E58" s="113">
        <v>4670.4399999999996</v>
      </c>
      <c r="F58" s="132">
        <f>ROUND(E58*D58,2)</f>
        <v>9340.8799999999992</v>
      </c>
      <c r="G58" s="132">
        <f>ROUND(F58*1.2,2)</f>
        <v>11209.06</v>
      </c>
      <c r="H58" s="139"/>
      <c r="I58" s="132"/>
      <c r="J58" s="132"/>
      <c r="K58" s="114">
        <f t="shared" si="8"/>
        <v>9340.8799999999992</v>
      </c>
      <c r="L58" s="112">
        <f t="shared" si="8"/>
        <v>11209.06</v>
      </c>
    </row>
    <row r="59" spans="1:13" ht="30" x14ac:dyDescent="0.25">
      <c r="A59" s="40" t="s">
        <v>128</v>
      </c>
      <c r="B59" s="41" t="s">
        <v>93</v>
      </c>
      <c r="C59" s="42" t="s">
        <v>42</v>
      </c>
      <c r="D59" s="63">
        <v>2</v>
      </c>
      <c r="E59" s="44"/>
      <c r="F59" s="45"/>
      <c r="G59" s="45"/>
      <c r="H59" s="45">
        <v>3239.5</v>
      </c>
      <c r="I59" s="45">
        <f>ROUND(H59*D59,2)</f>
        <v>6479</v>
      </c>
      <c r="J59" s="45">
        <f>ROUND(I59*1.2,2)</f>
        <v>7774.8</v>
      </c>
      <c r="K59" s="46">
        <f t="shared" ref="K59:L61" si="12">F59+I59</f>
        <v>6479</v>
      </c>
      <c r="L59" s="45">
        <f t="shared" si="12"/>
        <v>7774.8</v>
      </c>
    </row>
    <row r="60" spans="1:13" ht="36.75" customHeight="1" x14ac:dyDescent="0.25">
      <c r="A60" s="131">
        <f>A58+1</f>
        <v>28</v>
      </c>
      <c r="B60" s="110" t="s">
        <v>90</v>
      </c>
      <c r="C60" s="109" t="s">
        <v>42</v>
      </c>
      <c r="D60" s="122">
        <v>2</v>
      </c>
      <c r="E60" s="113">
        <v>3082.04</v>
      </c>
      <c r="F60" s="132">
        <f>ROUND(E60*D60,2)</f>
        <v>6164.08</v>
      </c>
      <c r="G60" s="132">
        <f>ROUND(F60*1.2,2)</f>
        <v>7396.9</v>
      </c>
      <c r="H60" s="139"/>
      <c r="I60" s="132"/>
      <c r="J60" s="132"/>
      <c r="K60" s="114">
        <f t="shared" si="12"/>
        <v>6164.08</v>
      </c>
      <c r="L60" s="112">
        <f t="shared" si="12"/>
        <v>7396.9</v>
      </c>
      <c r="M60" s="60"/>
    </row>
    <row r="61" spans="1:13" ht="30" x14ac:dyDescent="0.25">
      <c r="A61" s="40" t="s">
        <v>50</v>
      </c>
      <c r="B61" s="41" t="s">
        <v>91</v>
      </c>
      <c r="C61" s="42" t="s">
        <v>42</v>
      </c>
      <c r="D61" s="63">
        <v>2</v>
      </c>
      <c r="E61" s="44"/>
      <c r="F61" s="45"/>
      <c r="G61" s="45"/>
      <c r="H61" s="45">
        <v>1421.2</v>
      </c>
      <c r="I61" s="45">
        <f>ROUND(H61*D61,2)</f>
        <v>2842.4</v>
      </c>
      <c r="J61" s="45">
        <f>ROUND(I61*1.2,2)</f>
        <v>3410.88</v>
      </c>
      <c r="K61" s="46">
        <f t="shared" si="12"/>
        <v>2842.4</v>
      </c>
      <c r="L61" s="45">
        <f t="shared" si="12"/>
        <v>3410.88</v>
      </c>
      <c r="M61" s="60"/>
    </row>
    <row r="62" spans="1:13" ht="18.75" customHeight="1" x14ac:dyDescent="0.25">
      <c r="A62" s="28"/>
      <c r="B62" s="75" t="s">
        <v>108</v>
      </c>
      <c r="C62" s="67"/>
      <c r="D62" s="68"/>
      <c r="E62" s="39"/>
      <c r="F62" s="33"/>
      <c r="G62" s="33"/>
      <c r="H62" s="58"/>
      <c r="I62" s="33"/>
      <c r="J62" s="33"/>
      <c r="K62" s="55"/>
      <c r="L62" s="37"/>
    </row>
    <row r="63" spans="1:13" ht="36.75" customHeight="1" x14ac:dyDescent="0.25">
      <c r="A63" s="109">
        <f>A60+1</f>
        <v>29</v>
      </c>
      <c r="B63" s="110" t="s">
        <v>62</v>
      </c>
      <c r="C63" s="109" t="s">
        <v>23</v>
      </c>
      <c r="D63" s="128">
        <f>1*0.18+2*0.24+1*0.1+1*0.01+1*0.041</f>
        <v>0.81099999999999994</v>
      </c>
      <c r="E63" s="113">
        <v>17265.68</v>
      </c>
      <c r="F63" s="132">
        <f>ROUND(E63*D63,2)</f>
        <v>14002.47</v>
      </c>
      <c r="G63" s="132">
        <f>ROUND(F63*1.2,2)</f>
        <v>16802.96</v>
      </c>
      <c r="H63" s="139"/>
      <c r="I63" s="132"/>
      <c r="J63" s="132"/>
      <c r="K63" s="114">
        <f t="shared" ref="K63:L74" si="13">F63+I63</f>
        <v>14002.47</v>
      </c>
      <c r="L63" s="112">
        <f t="shared" si="13"/>
        <v>16802.96</v>
      </c>
    </row>
    <row r="64" spans="1:13" ht="18.75" customHeight="1" x14ac:dyDescent="0.25">
      <c r="A64" s="40" t="s">
        <v>51</v>
      </c>
      <c r="B64" s="64" t="s">
        <v>63</v>
      </c>
      <c r="C64" s="42" t="s">
        <v>42</v>
      </c>
      <c r="D64" s="63">
        <v>1</v>
      </c>
      <c r="E64" s="44"/>
      <c r="F64" s="45"/>
      <c r="G64" s="45"/>
      <c r="H64" s="69">
        <v>1657.75</v>
      </c>
      <c r="I64" s="45">
        <f t="shared" ref="I64:I70" si="14">ROUND(H64*D64,2)</f>
        <v>1657.75</v>
      </c>
      <c r="J64" s="45">
        <f t="shared" ref="J64:J70" si="15">ROUND(I64*1.2,2)</f>
        <v>1989.3</v>
      </c>
      <c r="K64" s="46">
        <f t="shared" si="13"/>
        <v>1657.75</v>
      </c>
      <c r="L64" s="45">
        <f t="shared" si="13"/>
        <v>1989.3</v>
      </c>
      <c r="M64" s="60"/>
    </row>
    <row r="65" spans="1:13" ht="18.75" customHeight="1" x14ac:dyDescent="0.25">
      <c r="A65" s="40" t="s">
        <v>199</v>
      </c>
      <c r="B65" s="64" t="s">
        <v>64</v>
      </c>
      <c r="C65" s="42" t="s">
        <v>42</v>
      </c>
      <c r="D65" s="63">
        <v>2</v>
      </c>
      <c r="E65" s="44"/>
      <c r="F65" s="45"/>
      <c r="G65" s="45"/>
      <c r="H65" s="69">
        <v>2500.4</v>
      </c>
      <c r="I65" s="45">
        <f t="shared" si="14"/>
        <v>5000.8</v>
      </c>
      <c r="J65" s="45">
        <f t="shared" si="15"/>
        <v>6000.96</v>
      </c>
      <c r="K65" s="46">
        <f t="shared" si="13"/>
        <v>5000.8</v>
      </c>
      <c r="L65" s="45">
        <f t="shared" si="13"/>
        <v>6000.96</v>
      </c>
      <c r="M65" s="60"/>
    </row>
    <row r="66" spans="1:13" ht="18.75" customHeight="1" x14ac:dyDescent="0.25">
      <c r="A66" s="40" t="s">
        <v>200</v>
      </c>
      <c r="B66" s="64" t="s">
        <v>147</v>
      </c>
      <c r="C66" s="42" t="s">
        <v>42</v>
      </c>
      <c r="D66" s="63">
        <v>1</v>
      </c>
      <c r="E66" s="44"/>
      <c r="F66" s="45"/>
      <c r="G66" s="45"/>
      <c r="H66" s="69">
        <v>1427.85</v>
      </c>
      <c r="I66" s="45">
        <f t="shared" si="14"/>
        <v>1427.85</v>
      </c>
      <c r="J66" s="45">
        <f t="shared" si="15"/>
        <v>1713.42</v>
      </c>
      <c r="K66" s="46">
        <f t="shared" si="13"/>
        <v>1427.85</v>
      </c>
      <c r="L66" s="45">
        <f t="shared" si="13"/>
        <v>1713.42</v>
      </c>
      <c r="M66" s="60"/>
    </row>
    <row r="67" spans="1:13" ht="18.75" customHeight="1" x14ac:dyDescent="0.25">
      <c r="A67" s="40" t="s">
        <v>201</v>
      </c>
      <c r="B67" s="41" t="s">
        <v>148</v>
      </c>
      <c r="C67" s="42" t="s">
        <v>42</v>
      </c>
      <c r="D67" s="63">
        <v>1</v>
      </c>
      <c r="E67" s="44"/>
      <c r="F67" s="45"/>
      <c r="G67" s="45"/>
      <c r="H67" s="93">
        <v>3136</v>
      </c>
      <c r="I67" s="59">
        <f t="shared" si="14"/>
        <v>3136</v>
      </c>
      <c r="J67" s="59">
        <f t="shared" si="15"/>
        <v>3763.2</v>
      </c>
      <c r="K67" s="61">
        <f t="shared" si="13"/>
        <v>3136</v>
      </c>
      <c r="L67" s="59">
        <f t="shared" si="13"/>
        <v>3763.2</v>
      </c>
      <c r="M67" s="19" t="s">
        <v>92</v>
      </c>
    </row>
    <row r="68" spans="1:13" ht="18.75" customHeight="1" x14ac:dyDescent="0.25">
      <c r="A68" s="40" t="s">
        <v>202</v>
      </c>
      <c r="B68" s="64" t="s">
        <v>167</v>
      </c>
      <c r="C68" s="42" t="s">
        <v>42</v>
      </c>
      <c r="D68" s="63">
        <v>1</v>
      </c>
      <c r="E68" s="44"/>
      <c r="F68" s="45"/>
      <c r="G68" s="45"/>
      <c r="H68" s="93">
        <v>2000</v>
      </c>
      <c r="I68" s="59">
        <f t="shared" ref="I68" si="16">ROUND(H68*D68,2)</f>
        <v>2000</v>
      </c>
      <c r="J68" s="59">
        <f t="shared" ref="J68" si="17">ROUND(I68*1.2,2)</f>
        <v>2400</v>
      </c>
      <c r="K68" s="61">
        <f t="shared" ref="K68" si="18">F68+I68</f>
        <v>2000</v>
      </c>
      <c r="L68" s="59">
        <f t="shared" ref="L68" si="19">G68+J68</f>
        <v>2400</v>
      </c>
      <c r="M68" s="19" t="s">
        <v>92</v>
      </c>
    </row>
    <row r="69" spans="1:13" ht="18.75" customHeight="1" x14ac:dyDescent="0.25">
      <c r="A69" s="40" t="s">
        <v>203</v>
      </c>
      <c r="B69" s="41" t="s">
        <v>78</v>
      </c>
      <c r="C69" s="42" t="s">
        <v>42</v>
      </c>
      <c r="D69" s="63">
        <v>1</v>
      </c>
      <c r="E69" s="44"/>
      <c r="F69" s="45"/>
      <c r="G69" s="45"/>
      <c r="H69" s="93">
        <v>14421</v>
      </c>
      <c r="I69" s="59">
        <f t="shared" si="14"/>
        <v>14421</v>
      </c>
      <c r="J69" s="59">
        <f t="shared" si="15"/>
        <v>17305.2</v>
      </c>
      <c r="K69" s="61">
        <f t="shared" si="13"/>
        <v>14421</v>
      </c>
      <c r="L69" s="59">
        <f t="shared" si="13"/>
        <v>17305.2</v>
      </c>
    </row>
    <row r="70" spans="1:13" ht="17.25" customHeight="1" x14ac:dyDescent="0.25">
      <c r="A70" s="40" t="s">
        <v>204</v>
      </c>
      <c r="B70" s="64" t="s">
        <v>76</v>
      </c>
      <c r="C70" s="42" t="s">
        <v>55</v>
      </c>
      <c r="D70" s="144">
        <v>29.2</v>
      </c>
      <c r="E70" s="44"/>
      <c r="F70" s="45"/>
      <c r="G70" s="45"/>
      <c r="H70" s="70">
        <v>666.9</v>
      </c>
      <c r="I70" s="45">
        <f t="shared" si="14"/>
        <v>19473.48</v>
      </c>
      <c r="J70" s="45">
        <f t="shared" si="15"/>
        <v>23368.18</v>
      </c>
      <c r="K70" s="46">
        <f t="shared" si="13"/>
        <v>19473.48</v>
      </c>
      <c r="L70" s="45">
        <f t="shared" si="13"/>
        <v>23368.18</v>
      </c>
      <c r="M70" s="60"/>
    </row>
    <row r="71" spans="1:13" ht="27.75" customHeight="1" x14ac:dyDescent="0.25">
      <c r="A71" s="109">
        <f>A63+1</f>
        <v>30</v>
      </c>
      <c r="B71" s="110" t="s">
        <v>72</v>
      </c>
      <c r="C71" s="109" t="s">
        <v>28</v>
      </c>
      <c r="D71" s="124">
        <v>10.220000000000001</v>
      </c>
      <c r="E71" s="113">
        <v>144.4</v>
      </c>
      <c r="F71" s="132">
        <f>ROUND(E71*D71,2)</f>
        <v>1475.77</v>
      </c>
      <c r="G71" s="132">
        <f t="shared" ref="G71" si="20">ROUND(F71*1.2,2)</f>
        <v>1770.92</v>
      </c>
      <c r="H71" s="114"/>
      <c r="I71" s="132"/>
      <c r="J71" s="132"/>
      <c r="K71" s="114">
        <f t="shared" si="13"/>
        <v>1475.77</v>
      </c>
      <c r="L71" s="112">
        <f t="shared" si="13"/>
        <v>1770.92</v>
      </c>
      <c r="M71" s="62" t="s">
        <v>70</v>
      </c>
    </row>
    <row r="72" spans="1:13" ht="17.25" customHeight="1" x14ac:dyDescent="0.25">
      <c r="A72" s="40" t="s">
        <v>52</v>
      </c>
      <c r="B72" s="64" t="s">
        <v>73</v>
      </c>
      <c r="C72" s="42" t="s">
        <v>66</v>
      </c>
      <c r="D72" s="74">
        <f>D71*0.3*20/16</f>
        <v>3.8325000000000005</v>
      </c>
      <c r="E72" s="44"/>
      <c r="F72" s="45"/>
      <c r="G72" s="45"/>
      <c r="H72" s="69">
        <v>237.5</v>
      </c>
      <c r="I72" s="45">
        <f>ROUND(H72*D72,2)</f>
        <v>910.22</v>
      </c>
      <c r="J72" s="45">
        <f t="shared" ref="J72" si="21">ROUND(I72*1.2,2)</f>
        <v>1092.26</v>
      </c>
      <c r="K72" s="46">
        <f t="shared" si="13"/>
        <v>910.22</v>
      </c>
      <c r="L72" s="45">
        <f t="shared" si="13"/>
        <v>1092.26</v>
      </c>
      <c r="M72" s="62"/>
    </row>
    <row r="73" spans="1:13" ht="28.5" customHeight="1" x14ac:dyDescent="0.25">
      <c r="A73" s="109">
        <f>A71+1</f>
        <v>31</v>
      </c>
      <c r="B73" s="110" t="s">
        <v>74</v>
      </c>
      <c r="C73" s="109" t="s">
        <v>28</v>
      </c>
      <c r="D73" s="124">
        <v>10.220000000000001</v>
      </c>
      <c r="E73" s="113">
        <v>299.76</v>
      </c>
      <c r="F73" s="132">
        <f>ROUND(E73*D73,2)</f>
        <v>3063.55</v>
      </c>
      <c r="G73" s="132">
        <f t="shared" ref="G73" si="22">ROUND(F73*1.2,2)</f>
        <v>3676.26</v>
      </c>
      <c r="H73" s="114"/>
      <c r="I73" s="132"/>
      <c r="J73" s="132"/>
      <c r="K73" s="114">
        <f t="shared" si="13"/>
        <v>3063.55</v>
      </c>
      <c r="L73" s="112">
        <f t="shared" si="13"/>
        <v>3676.26</v>
      </c>
      <c r="M73" s="62" t="s">
        <v>70</v>
      </c>
    </row>
    <row r="74" spans="1:13" ht="15.75" x14ac:dyDescent="0.25">
      <c r="A74" s="40" t="s">
        <v>149</v>
      </c>
      <c r="B74" s="64" t="s">
        <v>75</v>
      </c>
      <c r="C74" s="42" t="s">
        <v>55</v>
      </c>
      <c r="D74" s="43">
        <f>D73*2.5*2</f>
        <v>51.1</v>
      </c>
      <c r="E74" s="44"/>
      <c r="F74" s="45"/>
      <c r="G74" s="45"/>
      <c r="H74" s="69">
        <v>296.39999999999998</v>
      </c>
      <c r="I74" s="45">
        <f t="shared" ref="I74" si="23">ROUND(H74*D74,2)</f>
        <v>15146.04</v>
      </c>
      <c r="J74" s="45">
        <f t="shared" ref="J74" si="24">ROUND(I74*1.2,2)</f>
        <v>18175.25</v>
      </c>
      <c r="K74" s="61">
        <f t="shared" si="13"/>
        <v>15146.04</v>
      </c>
      <c r="L74" s="59">
        <f t="shared" si="13"/>
        <v>18175.25</v>
      </c>
      <c r="M74" s="62"/>
    </row>
    <row r="75" spans="1:13" ht="18.75" customHeight="1" x14ac:dyDescent="0.25">
      <c r="A75" s="28"/>
      <c r="B75" s="75" t="s">
        <v>105</v>
      </c>
      <c r="C75" s="67"/>
      <c r="D75" s="68"/>
      <c r="E75" s="39"/>
      <c r="F75" s="33"/>
      <c r="G75" s="33"/>
      <c r="H75" s="58"/>
      <c r="I75" s="33"/>
      <c r="J75" s="33"/>
      <c r="K75" s="55"/>
      <c r="L75" s="37"/>
    </row>
    <row r="76" spans="1:13" ht="30" customHeight="1" x14ac:dyDescent="0.25">
      <c r="A76" s="131">
        <f>A73+1</f>
        <v>32</v>
      </c>
      <c r="B76" s="110" t="s">
        <v>62</v>
      </c>
      <c r="C76" s="109" t="s">
        <v>23</v>
      </c>
      <c r="D76" s="111">
        <f>1*0.59+2*0.587+1*0.36+1*0.24+1*0.41+2*0.402</f>
        <v>3.5780000000000003</v>
      </c>
      <c r="E76" s="113">
        <v>17265.68</v>
      </c>
      <c r="F76" s="132">
        <f>ROUND(E76*D76,2)</f>
        <v>61776.6</v>
      </c>
      <c r="G76" s="132">
        <f>ROUND(F76*1.2,2)</f>
        <v>74131.92</v>
      </c>
      <c r="H76" s="139"/>
      <c r="I76" s="132"/>
      <c r="J76" s="132"/>
      <c r="K76" s="114">
        <f t="shared" ref="K76:K88" si="25">F76+I76</f>
        <v>61776.6</v>
      </c>
      <c r="L76" s="112">
        <f t="shared" ref="L76:L88" si="26">G76+J76</f>
        <v>74131.92</v>
      </c>
    </row>
    <row r="77" spans="1:13" ht="18.75" customHeight="1" x14ac:dyDescent="0.25">
      <c r="A77" s="40" t="s">
        <v>53</v>
      </c>
      <c r="B77" s="64" t="s">
        <v>103</v>
      </c>
      <c r="C77" s="42" t="s">
        <v>42</v>
      </c>
      <c r="D77" s="63">
        <v>1</v>
      </c>
      <c r="E77" s="44"/>
      <c r="F77" s="45"/>
      <c r="G77" s="45"/>
      <c r="H77" s="69">
        <v>10215.35</v>
      </c>
      <c r="I77" s="45">
        <f t="shared" ref="I77:I84" si="27">ROUND(H77*D77,2)</f>
        <v>10215.35</v>
      </c>
      <c r="J77" s="45">
        <f t="shared" ref="J77:J89" si="28">ROUND(I77*1.2,2)</f>
        <v>12258.42</v>
      </c>
      <c r="K77" s="46">
        <f t="shared" si="25"/>
        <v>10215.35</v>
      </c>
      <c r="L77" s="45">
        <f t="shared" si="26"/>
        <v>12258.42</v>
      </c>
      <c r="M77" s="60"/>
    </row>
    <row r="78" spans="1:13" ht="18.75" customHeight="1" x14ac:dyDescent="0.25">
      <c r="A78" s="40" t="s">
        <v>205</v>
      </c>
      <c r="B78" s="64" t="s">
        <v>102</v>
      </c>
      <c r="C78" s="42" t="s">
        <v>42</v>
      </c>
      <c r="D78" s="63">
        <v>2</v>
      </c>
      <c r="E78" s="44"/>
      <c r="F78" s="45"/>
      <c r="G78" s="45"/>
      <c r="H78" s="69">
        <v>10455.700000000001</v>
      </c>
      <c r="I78" s="45">
        <f t="shared" si="27"/>
        <v>20911.400000000001</v>
      </c>
      <c r="J78" s="45">
        <f t="shared" si="28"/>
        <v>25093.68</v>
      </c>
      <c r="K78" s="46">
        <f t="shared" si="25"/>
        <v>20911.400000000001</v>
      </c>
      <c r="L78" s="45">
        <f t="shared" si="26"/>
        <v>25093.68</v>
      </c>
      <c r="M78" s="60"/>
    </row>
    <row r="79" spans="1:13" ht="18.75" customHeight="1" x14ac:dyDescent="0.25">
      <c r="A79" s="40" t="s">
        <v>206</v>
      </c>
      <c r="B79" s="64" t="s">
        <v>101</v>
      </c>
      <c r="C79" s="42" t="s">
        <v>42</v>
      </c>
      <c r="D79" s="63">
        <v>1</v>
      </c>
      <c r="E79" s="44"/>
      <c r="F79" s="45"/>
      <c r="G79" s="45"/>
      <c r="H79" s="69">
        <v>10815.75</v>
      </c>
      <c r="I79" s="45">
        <f t="shared" si="27"/>
        <v>10815.75</v>
      </c>
      <c r="J79" s="45">
        <f t="shared" si="28"/>
        <v>12978.9</v>
      </c>
      <c r="K79" s="46">
        <f t="shared" si="25"/>
        <v>10815.75</v>
      </c>
      <c r="L79" s="45">
        <f t="shared" si="26"/>
        <v>12978.9</v>
      </c>
      <c r="M79" s="60"/>
    </row>
    <row r="80" spans="1:13" ht="18.75" customHeight="1" x14ac:dyDescent="0.25">
      <c r="A80" s="40" t="s">
        <v>207</v>
      </c>
      <c r="B80" s="41" t="s">
        <v>100</v>
      </c>
      <c r="C80" s="42" t="s">
        <v>42</v>
      </c>
      <c r="D80" s="63">
        <v>1</v>
      </c>
      <c r="E80" s="44"/>
      <c r="F80" s="45"/>
      <c r="G80" s="45"/>
      <c r="H80" s="69">
        <v>2500.4</v>
      </c>
      <c r="I80" s="45">
        <f t="shared" si="27"/>
        <v>2500.4</v>
      </c>
      <c r="J80" s="45">
        <f t="shared" si="28"/>
        <v>3000.48</v>
      </c>
      <c r="K80" s="46">
        <f t="shared" si="25"/>
        <v>2500.4</v>
      </c>
      <c r="L80" s="45">
        <f t="shared" si="26"/>
        <v>3000.48</v>
      </c>
      <c r="M80" s="60"/>
    </row>
    <row r="81" spans="1:13" ht="18.75" customHeight="1" x14ac:dyDescent="0.25">
      <c r="A81" s="40" t="s">
        <v>208</v>
      </c>
      <c r="B81" s="41" t="s">
        <v>99</v>
      </c>
      <c r="C81" s="42" t="s">
        <v>42</v>
      </c>
      <c r="D81" s="63">
        <v>1</v>
      </c>
      <c r="E81" s="44"/>
      <c r="F81" s="45"/>
      <c r="G81" s="45"/>
      <c r="H81" s="93">
        <f>ROUND(8900.9*1.15,2)</f>
        <v>10236.040000000001</v>
      </c>
      <c r="I81" s="59">
        <f t="shared" si="27"/>
        <v>10236.040000000001</v>
      </c>
      <c r="J81" s="59">
        <f t="shared" si="28"/>
        <v>12283.25</v>
      </c>
      <c r="K81" s="61">
        <f t="shared" si="25"/>
        <v>10236.040000000001</v>
      </c>
      <c r="L81" s="59">
        <f t="shared" si="26"/>
        <v>12283.25</v>
      </c>
      <c r="M81" s="19" t="s">
        <v>92</v>
      </c>
    </row>
    <row r="82" spans="1:13" ht="18.75" customHeight="1" x14ac:dyDescent="0.25">
      <c r="A82" s="40" t="s">
        <v>209</v>
      </c>
      <c r="B82" s="41" t="s">
        <v>98</v>
      </c>
      <c r="C82" s="42" t="s">
        <v>42</v>
      </c>
      <c r="D82" s="63">
        <v>2</v>
      </c>
      <c r="E82" s="44"/>
      <c r="F82" s="45"/>
      <c r="G82" s="45"/>
      <c r="H82" s="93">
        <f>ROUND(12700.59*1.15,2)</f>
        <v>14605.68</v>
      </c>
      <c r="I82" s="59">
        <f t="shared" si="27"/>
        <v>29211.360000000001</v>
      </c>
      <c r="J82" s="59">
        <f t="shared" si="28"/>
        <v>35053.629999999997</v>
      </c>
      <c r="K82" s="61">
        <f t="shared" si="25"/>
        <v>29211.360000000001</v>
      </c>
      <c r="L82" s="59">
        <f t="shared" si="26"/>
        <v>35053.629999999997</v>
      </c>
      <c r="M82" s="19" t="s">
        <v>92</v>
      </c>
    </row>
    <row r="83" spans="1:13" ht="17.25" customHeight="1" x14ac:dyDescent="0.25">
      <c r="A83" s="40" t="s">
        <v>210</v>
      </c>
      <c r="B83" s="64" t="s">
        <v>76</v>
      </c>
      <c r="C83" s="42" t="s">
        <v>55</v>
      </c>
      <c r="D83" s="144">
        <v>29.2</v>
      </c>
      <c r="E83" s="44"/>
      <c r="F83" s="45"/>
      <c r="G83" s="45"/>
      <c r="H83" s="70">
        <v>666.9</v>
      </c>
      <c r="I83" s="45">
        <f t="shared" si="27"/>
        <v>19473.48</v>
      </c>
      <c r="J83" s="45">
        <f t="shared" si="28"/>
        <v>23368.18</v>
      </c>
      <c r="K83" s="46">
        <f t="shared" si="25"/>
        <v>19473.48</v>
      </c>
      <c r="L83" s="45">
        <f t="shared" si="26"/>
        <v>23368.18</v>
      </c>
      <c r="M83" s="60"/>
    </row>
    <row r="84" spans="1:13" ht="18.75" customHeight="1" x14ac:dyDescent="0.25">
      <c r="A84" s="40" t="s">
        <v>211</v>
      </c>
      <c r="B84" s="41" t="s">
        <v>78</v>
      </c>
      <c r="C84" s="42" t="s">
        <v>42</v>
      </c>
      <c r="D84" s="63">
        <v>1</v>
      </c>
      <c r="E84" s="44"/>
      <c r="F84" s="45"/>
      <c r="G84" s="45"/>
      <c r="H84" s="69">
        <v>14421</v>
      </c>
      <c r="I84" s="45">
        <f t="shared" si="27"/>
        <v>14421</v>
      </c>
      <c r="J84" s="45">
        <f t="shared" si="28"/>
        <v>17305.2</v>
      </c>
      <c r="K84" s="46">
        <f t="shared" si="25"/>
        <v>14421</v>
      </c>
      <c r="L84" s="45">
        <f t="shared" si="26"/>
        <v>17305.2</v>
      </c>
      <c r="M84" s="82"/>
    </row>
    <row r="85" spans="1:13" ht="27.75" customHeight="1" x14ac:dyDescent="0.25">
      <c r="A85" s="109">
        <f>A76+1</f>
        <v>33</v>
      </c>
      <c r="B85" s="110" t="s">
        <v>72</v>
      </c>
      <c r="C85" s="109" t="s">
        <v>28</v>
      </c>
      <c r="D85" s="124">
        <v>41.2</v>
      </c>
      <c r="E85" s="113">
        <v>144.4</v>
      </c>
      <c r="F85" s="132">
        <f>ROUND(E85*D85,2)</f>
        <v>5949.28</v>
      </c>
      <c r="G85" s="132">
        <f t="shared" ref="G85" si="29">ROUND(F85*1.2,2)</f>
        <v>7139.14</v>
      </c>
      <c r="H85" s="114"/>
      <c r="I85" s="132"/>
      <c r="J85" s="132"/>
      <c r="K85" s="114">
        <f t="shared" si="25"/>
        <v>5949.28</v>
      </c>
      <c r="L85" s="112">
        <f t="shared" si="26"/>
        <v>7139.14</v>
      </c>
      <c r="M85" s="62" t="s">
        <v>70</v>
      </c>
    </row>
    <row r="86" spans="1:13" ht="17.25" customHeight="1" x14ac:dyDescent="0.25">
      <c r="A86" s="40" t="s">
        <v>54</v>
      </c>
      <c r="B86" s="64" t="s">
        <v>73</v>
      </c>
      <c r="C86" s="42" t="s">
        <v>66</v>
      </c>
      <c r="D86" s="74">
        <f>D85*0.3*20/16</f>
        <v>15.450000000000001</v>
      </c>
      <c r="E86" s="44"/>
      <c r="F86" s="45"/>
      <c r="G86" s="45"/>
      <c r="H86" s="69">
        <v>237.5</v>
      </c>
      <c r="I86" s="45">
        <f>ROUND(H86*D86,2)</f>
        <v>3669.38</v>
      </c>
      <c r="J86" s="45">
        <f t="shared" ref="J86" si="30">ROUND(I86*1.2,2)</f>
        <v>4403.26</v>
      </c>
      <c r="K86" s="46">
        <f t="shared" si="25"/>
        <v>3669.38</v>
      </c>
      <c r="L86" s="45">
        <f t="shared" si="26"/>
        <v>4403.26</v>
      </c>
      <c r="M86" s="62"/>
    </row>
    <row r="87" spans="1:13" ht="28.5" customHeight="1" x14ac:dyDescent="0.25">
      <c r="A87" s="109">
        <f>A85+1</f>
        <v>34</v>
      </c>
      <c r="B87" s="110" t="s">
        <v>74</v>
      </c>
      <c r="C87" s="109" t="s">
        <v>28</v>
      </c>
      <c r="D87" s="124">
        <v>41.2</v>
      </c>
      <c r="E87" s="113">
        <v>299.76</v>
      </c>
      <c r="F87" s="132">
        <f>ROUND(E87*D87,2)</f>
        <v>12350.11</v>
      </c>
      <c r="G87" s="132">
        <f t="shared" ref="G87" si="31">ROUND(F87*1.2,2)</f>
        <v>14820.13</v>
      </c>
      <c r="H87" s="114"/>
      <c r="I87" s="132"/>
      <c r="J87" s="132"/>
      <c r="K87" s="114">
        <f t="shared" si="25"/>
        <v>12350.11</v>
      </c>
      <c r="L87" s="112">
        <f t="shared" si="26"/>
        <v>14820.13</v>
      </c>
      <c r="M87" s="62" t="s">
        <v>70</v>
      </c>
    </row>
    <row r="88" spans="1:13" ht="15.75" x14ac:dyDescent="0.25">
      <c r="A88" s="40" t="s">
        <v>150</v>
      </c>
      <c r="B88" s="64" t="s">
        <v>75</v>
      </c>
      <c r="C88" s="42" t="s">
        <v>55</v>
      </c>
      <c r="D88" s="43">
        <f>D87*2.5*2</f>
        <v>206</v>
      </c>
      <c r="E88" s="44"/>
      <c r="F88" s="45"/>
      <c r="G88" s="45"/>
      <c r="H88" s="69">
        <v>296.39999999999998</v>
      </c>
      <c r="I88" s="45">
        <f t="shared" ref="I88" si="32">ROUND(H88*D88,2)</f>
        <v>61058.400000000001</v>
      </c>
      <c r="J88" s="45">
        <f t="shared" ref="J88" si="33">ROUND(I88*1.2,2)</f>
        <v>73270.080000000002</v>
      </c>
      <c r="K88" s="61">
        <f t="shared" si="25"/>
        <v>61058.400000000001</v>
      </c>
      <c r="L88" s="59">
        <f t="shared" si="26"/>
        <v>73270.080000000002</v>
      </c>
      <c r="M88" s="62"/>
    </row>
    <row r="89" spans="1:13" s="77" customFormat="1" ht="23.25" customHeight="1" x14ac:dyDescent="0.3">
      <c r="A89" s="156" t="s">
        <v>56</v>
      </c>
      <c r="B89" s="157"/>
      <c r="C89" s="157"/>
      <c r="D89" s="157"/>
      <c r="E89" s="158"/>
      <c r="F89" s="65">
        <f>SUM(F7:F88)</f>
        <v>1553851.3800000001</v>
      </c>
      <c r="G89" s="65">
        <f>ROUND(F89*1.2,2)</f>
        <v>1864621.66</v>
      </c>
      <c r="H89" s="79"/>
      <c r="I89" s="65">
        <f>SUM(I7:I88)</f>
        <v>749818.49</v>
      </c>
      <c r="J89" s="65">
        <f t="shared" si="28"/>
        <v>899782.19</v>
      </c>
      <c r="K89" s="65">
        <f>SUM(K7:K88)</f>
        <v>2303669.8699999992</v>
      </c>
      <c r="L89" s="65">
        <f>ROUND(K89*1.2,2)</f>
        <v>2764403.84</v>
      </c>
      <c r="M89" s="78"/>
    </row>
    <row r="92" spans="1:13" x14ac:dyDescent="0.25">
      <c r="B92" s="147" t="s">
        <v>212</v>
      </c>
    </row>
    <row r="93" spans="1:13" x14ac:dyDescent="0.25">
      <c r="B93" s="148" t="s">
        <v>213</v>
      </c>
    </row>
  </sheetData>
  <mergeCells count="19">
    <mergeCell ref="K33:K36"/>
    <mergeCell ref="L33:L36"/>
    <mergeCell ref="M33:M36"/>
    <mergeCell ref="B6:D6"/>
    <mergeCell ref="A89:E89"/>
    <mergeCell ref="E33:E36"/>
    <mergeCell ref="F33:F36"/>
    <mergeCell ref="G33:G36"/>
    <mergeCell ref="H33:H36"/>
    <mergeCell ref="I33:I36"/>
    <mergeCell ref="J33:J3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DADC-D923-497C-B4B4-DF5C1C0B0AD4}">
  <sheetPr>
    <tabColor theme="9" tint="0.79998168889431442"/>
  </sheetPr>
  <dimension ref="A1:M49"/>
  <sheetViews>
    <sheetView view="pageBreakPreview" zoomScale="80" zoomScaleNormal="100" zoomScaleSheetLayoutView="80" workbookViewId="0">
      <selection activeCell="E36" sqref="E36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6" customWidth="1"/>
    <col min="8" max="8" width="16.140625" style="66" customWidth="1"/>
    <col min="9" max="12" width="16.140625" customWidth="1"/>
    <col min="13" max="13" width="55.42578125" style="19" customWidth="1"/>
  </cols>
  <sheetData>
    <row r="1" spans="1:13" ht="14.45" customHeight="1" x14ac:dyDescent="0.25">
      <c r="A1" s="159" t="s">
        <v>0</v>
      </c>
      <c r="B1" s="162" t="s">
        <v>8</v>
      </c>
      <c r="C1" s="165" t="s">
        <v>9</v>
      </c>
      <c r="D1" s="165" t="s">
        <v>10</v>
      </c>
      <c r="E1" s="166" t="s">
        <v>11</v>
      </c>
      <c r="F1" s="167"/>
      <c r="G1" s="167"/>
      <c r="H1" s="167"/>
      <c r="I1" s="167"/>
      <c r="J1" s="167"/>
      <c r="K1" s="167"/>
      <c r="L1" s="167"/>
    </row>
    <row r="2" spans="1:13" ht="14.45" customHeight="1" x14ac:dyDescent="0.25">
      <c r="A2" s="160"/>
      <c r="B2" s="163"/>
      <c r="C2" s="165"/>
      <c r="D2" s="165"/>
      <c r="E2" s="168"/>
      <c r="F2" s="169"/>
      <c r="G2" s="169"/>
      <c r="H2" s="169"/>
      <c r="I2" s="169"/>
      <c r="J2" s="169"/>
      <c r="K2" s="169"/>
      <c r="L2" s="169"/>
    </row>
    <row r="3" spans="1:13" ht="27.75" customHeight="1" x14ac:dyDescent="0.25">
      <c r="A3" s="160"/>
      <c r="B3" s="163"/>
      <c r="C3" s="165"/>
      <c r="D3" s="165"/>
      <c r="E3" s="165" t="s">
        <v>12</v>
      </c>
      <c r="F3" s="165"/>
      <c r="G3" s="165"/>
      <c r="H3" s="165" t="s">
        <v>13</v>
      </c>
      <c r="I3" s="165"/>
      <c r="J3" s="165"/>
      <c r="K3" s="151" t="s">
        <v>14</v>
      </c>
      <c r="L3" s="151"/>
    </row>
    <row r="4" spans="1:13" ht="56.1" customHeight="1" x14ac:dyDescent="0.25">
      <c r="A4" s="161"/>
      <c r="B4" s="164"/>
      <c r="C4" s="165"/>
      <c r="D4" s="165"/>
      <c r="E4" s="84" t="s">
        <v>15</v>
      </c>
      <c r="F4" s="84" t="s">
        <v>16</v>
      </c>
      <c r="G4" s="20" t="s">
        <v>17</v>
      </c>
      <c r="H4" s="84" t="s">
        <v>15</v>
      </c>
      <c r="I4" s="84" t="s">
        <v>16</v>
      </c>
      <c r="J4" s="20" t="s">
        <v>17</v>
      </c>
      <c r="K4" s="84" t="s">
        <v>18</v>
      </c>
      <c r="L4" s="84" t="s">
        <v>3</v>
      </c>
    </row>
    <row r="5" spans="1:13" x14ac:dyDescent="0.25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/>
    </row>
    <row r="6" spans="1:13" ht="20.25" customHeight="1" x14ac:dyDescent="0.25">
      <c r="A6" s="24"/>
      <c r="B6" s="154" t="s">
        <v>168</v>
      </c>
      <c r="C6" s="155"/>
      <c r="D6" s="155"/>
      <c r="E6" s="25"/>
      <c r="F6" s="26"/>
      <c r="G6" s="27"/>
      <c r="H6" s="27"/>
      <c r="I6" s="27"/>
      <c r="J6" s="27"/>
      <c r="K6" s="27"/>
      <c r="L6" s="27"/>
    </row>
    <row r="7" spans="1:13" ht="18.75" customHeight="1" x14ac:dyDescent="0.25">
      <c r="A7" s="47"/>
      <c r="B7" s="38" t="s">
        <v>33</v>
      </c>
      <c r="C7" s="34"/>
      <c r="D7" s="48"/>
      <c r="E7" s="49"/>
      <c r="F7" s="50"/>
      <c r="G7" s="51"/>
      <c r="H7" s="52"/>
      <c r="I7" s="53"/>
      <c r="J7" s="53"/>
      <c r="K7" s="54"/>
      <c r="L7" s="53"/>
    </row>
    <row r="8" spans="1:13" ht="18.75" customHeight="1" x14ac:dyDescent="0.25">
      <c r="A8" s="131">
        <v>1</v>
      </c>
      <c r="B8" s="110" t="s">
        <v>83</v>
      </c>
      <c r="C8" s="109" t="s">
        <v>23</v>
      </c>
      <c r="D8" s="111">
        <v>28.01</v>
      </c>
      <c r="E8" s="114">
        <v>355.3</v>
      </c>
      <c r="F8" s="132">
        <f>ROUND(E8*D8,2)</f>
        <v>9951.9500000000007</v>
      </c>
      <c r="G8" s="132">
        <f>ROUND(F8*1.2,2)</f>
        <v>11942.34</v>
      </c>
      <c r="H8" s="135"/>
      <c r="I8" s="136"/>
      <c r="J8" s="136"/>
      <c r="K8" s="114">
        <f t="shared" ref="K8:L19" si="0">F8+I8</f>
        <v>9951.9500000000007</v>
      </c>
      <c r="L8" s="112">
        <f t="shared" si="0"/>
        <v>11942.34</v>
      </c>
    </row>
    <row r="9" spans="1:13" ht="23.25" customHeight="1" x14ac:dyDescent="0.25">
      <c r="A9" s="131">
        <f>A8+1</f>
        <v>2</v>
      </c>
      <c r="B9" s="110" t="s">
        <v>34</v>
      </c>
      <c r="C9" s="109" t="s">
        <v>23</v>
      </c>
      <c r="D9" s="111">
        <v>0.87</v>
      </c>
      <c r="E9" s="114">
        <v>1688.15</v>
      </c>
      <c r="F9" s="132">
        <f>ROUND(E9*D9,2)</f>
        <v>1468.69</v>
      </c>
      <c r="G9" s="132">
        <f>ROUND(F9*1.2,2)</f>
        <v>1762.43</v>
      </c>
      <c r="H9" s="135"/>
      <c r="I9" s="136"/>
      <c r="J9" s="136"/>
      <c r="K9" s="114">
        <f t="shared" si="0"/>
        <v>1468.69</v>
      </c>
      <c r="L9" s="112">
        <f t="shared" si="0"/>
        <v>1762.43</v>
      </c>
    </row>
    <row r="10" spans="1:13" ht="23.25" customHeight="1" x14ac:dyDescent="0.25">
      <c r="A10" s="131">
        <f>A9+1</f>
        <v>3</v>
      </c>
      <c r="B10" s="110" t="s">
        <v>170</v>
      </c>
      <c r="C10" s="109" t="s">
        <v>23</v>
      </c>
      <c r="D10" s="111">
        <v>0.98</v>
      </c>
      <c r="E10" s="114">
        <v>1688.15</v>
      </c>
      <c r="F10" s="132">
        <f>ROUND(E10*D10,2)</f>
        <v>1654.39</v>
      </c>
      <c r="G10" s="132">
        <f>ROUND(F10*1.2,2)</f>
        <v>1985.27</v>
      </c>
      <c r="H10" s="135"/>
      <c r="I10" s="136"/>
      <c r="J10" s="136"/>
      <c r="K10" s="114">
        <f t="shared" ref="K10" si="1">F10+I10</f>
        <v>1654.39</v>
      </c>
      <c r="L10" s="112">
        <f t="shared" ref="L10" si="2">G10+J10</f>
        <v>1985.27</v>
      </c>
    </row>
    <row r="11" spans="1:13" ht="18.75" customHeight="1" x14ac:dyDescent="0.25">
      <c r="A11" s="131">
        <f>A10+1</f>
        <v>4</v>
      </c>
      <c r="B11" s="110" t="s">
        <v>77</v>
      </c>
      <c r="C11" s="109" t="s">
        <v>23</v>
      </c>
      <c r="D11" s="111">
        <v>0.56999999999999995</v>
      </c>
      <c r="E11" s="114">
        <v>1350.9</v>
      </c>
      <c r="F11" s="132">
        <f>ROUND(E11*D11,2)</f>
        <v>770.01</v>
      </c>
      <c r="G11" s="132">
        <f>ROUND(F11*1.2,2)</f>
        <v>924.01</v>
      </c>
      <c r="H11" s="135"/>
      <c r="I11" s="136"/>
      <c r="J11" s="136"/>
      <c r="K11" s="114">
        <f t="shared" si="0"/>
        <v>770.01</v>
      </c>
      <c r="L11" s="112">
        <f t="shared" si="0"/>
        <v>924.01</v>
      </c>
    </row>
    <row r="12" spans="1:13" ht="18.75" customHeight="1" x14ac:dyDescent="0.25">
      <c r="A12" s="40" t="s">
        <v>155</v>
      </c>
      <c r="B12" s="41" t="s">
        <v>59</v>
      </c>
      <c r="C12" s="42" t="s">
        <v>23</v>
      </c>
      <c r="D12" s="43">
        <f>D11*1.26</f>
        <v>0.71819999999999995</v>
      </c>
      <c r="E12" s="61"/>
      <c r="F12" s="45"/>
      <c r="G12" s="45"/>
      <c r="H12" s="61">
        <v>1299.5999999999999</v>
      </c>
      <c r="I12" s="45">
        <f>ROUND(H12*D12,2)</f>
        <v>933.37</v>
      </c>
      <c r="J12" s="45">
        <f>ROUND(I12*1.2,2)</f>
        <v>1120.04</v>
      </c>
      <c r="K12" s="46">
        <f t="shared" si="0"/>
        <v>933.37</v>
      </c>
      <c r="L12" s="45">
        <f t="shared" si="0"/>
        <v>1120.04</v>
      </c>
      <c r="M12" s="60"/>
    </row>
    <row r="13" spans="1:13" ht="18.75" customHeight="1" x14ac:dyDescent="0.25">
      <c r="A13" s="131">
        <f>A11+1</f>
        <v>5</v>
      </c>
      <c r="B13" s="110" t="s">
        <v>118</v>
      </c>
      <c r="C13" s="109" t="s">
        <v>23</v>
      </c>
      <c r="D13" s="111">
        <v>2.33</v>
      </c>
      <c r="E13" s="114">
        <v>1310.05</v>
      </c>
      <c r="F13" s="132">
        <f>ROUND(E13*D13,2)</f>
        <v>3052.42</v>
      </c>
      <c r="G13" s="132">
        <f>ROUND(F13*1.2,2)</f>
        <v>3662.9</v>
      </c>
      <c r="H13" s="132"/>
      <c r="I13" s="136"/>
      <c r="J13" s="136"/>
      <c r="K13" s="114">
        <f t="shared" si="0"/>
        <v>3052.42</v>
      </c>
      <c r="L13" s="112">
        <f t="shared" si="0"/>
        <v>3662.9</v>
      </c>
    </row>
    <row r="14" spans="1:13" ht="18.75" customHeight="1" x14ac:dyDescent="0.25">
      <c r="A14" s="40" t="s">
        <v>171</v>
      </c>
      <c r="B14" s="41" t="s">
        <v>37</v>
      </c>
      <c r="C14" s="42" t="s">
        <v>23</v>
      </c>
      <c r="D14" s="43">
        <f>D13*1.1</f>
        <v>2.5630000000000002</v>
      </c>
      <c r="E14" s="61"/>
      <c r="F14" s="45"/>
      <c r="G14" s="45"/>
      <c r="H14" s="45">
        <v>1191.3</v>
      </c>
      <c r="I14" s="45">
        <f>ROUND(H14*D14,2)</f>
        <v>3053.3</v>
      </c>
      <c r="J14" s="45">
        <f>ROUND(I14*1.2,2)</f>
        <v>3663.96</v>
      </c>
      <c r="K14" s="46">
        <f t="shared" si="0"/>
        <v>3053.3</v>
      </c>
      <c r="L14" s="45">
        <f t="shared" si="0"/>
        <v>3663.96</v>
      </c>
    </row>
    <row r="15" spans="1:13" ht="18.75" customHeight="1" x14ac:dyDescent="0.25">
      <c r="A15" s="109">
        <f>A13+1</f>
        <v>6</v>
      </c>
      <c r="B15" s="110" t="s">
        <v>97</v>
      </c>
      <c r="C15" s="109" t="s">
        <v>23</v>
      </c>
      <c r="D15" s="111">
        <v>23.97</v>
      </c>
      <c r="E15" s="114">
        <v>1310.05</v>
      </c>
      <c r="F15" s="132">
        <f>ROUND(E15*D15,2)</f>
        <v>31401.9</v>
      </c>
      <c r="G15" s="132">
        <f>ROUND(F15*1.2,2)</f>
        <v>37682.28</v>
      </c>
      <c r="H15" s="132"/>
      <c r="I15" s="132"/>
      <c r="J15" s="132"/>
      <c r="K15" s="133">
        <f t="shared" si="0"/>
        <v>31401.9</v>
      </c>
      <c r="L15" s="132">
        <f t="shared" si="0"/>
        <v>37682.28</v>
      </c>
    </row>
    <row r="16" spans="1:13" ht="18.75" customHeight="1" x14ac:dyDescent="0.25">
      <c r="A16" s="40" t="s">
        <v>29</v>
      </c>
      <c r="B16" s="41" t="s">
        <v>37</v>
      </c>
      <c r="C16" s="42" t="s">
        <v>23</v>
      </c>
      <c r="D16" s="43">
        <f>D15*1.1</f>
        <v>26.367000000000001</v>
      </c>
      <c r="E16" s="61"/>
      <c r="F16" s="45"/>
      <c r="G16" s="45"/>
      <c r="H16" s="45">
        <v>1191.3</v>
      </c>
      <c r="I16" s="45">
        <f>ROUND(H16*D16,2)</f>
        <v>31411.01</v>
      </c>
      <c r="J16" s="45">
        <f>ROUND(I16*1.2,2)</f>
        <v>37693.21</v>
      </c>
      <c r="K16" s="46">
        <f t="shared" si="0"/>
        <v>31411.01</v>
      </c>
      <c r="L16" s="45">
        <f t="shared" si="0"/>
        <v>37693.21</v>
      </c>
    </row>
    <row r="17" spans="1:13" ht="18.75" customHeight="1" x14ac:dyDescent="0.25">
      <c r="A17" s="131">
        <f>A15+1</f>
        <v>7</v>
      </c>
      <c r="B17" s="110" t="s">
        <v>191</v>
      </c>
      <c r="C17" s="109" t="s">
        <v>23</v>
      </c>
      <c r="D17" s="111">
        <v>23.97</v>
      </c>
      <c r="E17" s="114">
        <v>188.1</v>
      </c>
      <c r="F17" s="132">
        <f>ROUND(E17*D17,2)</f>
        <v>4508.76</v>
      </c>
      <c r="G17" s="132">
        <f>ROUND(F17*1.2,2)</f>
        <v>5410.51</v>
      </c>
      <c r="H17" s="114"/>
      <c r="I17" s="132"/>
      <c r="J17" s="132"/>
      <c r="K17" s="114">
        <f t="shared" si="0"/>
        <v>4508.76</v>
      </c>
      <c r="L17" s="112">
        <f t="shared" si="0"/>
        <v>5410.51</v>
      </c>
    </row>
    <row r="18" spans="1:13" ht="18.75" customHeight="1" x14ac:dyDescent="0.25">
      <c r="A18" s="28"/>
      <c r="B18" s="75" t="s">
        <v>67</v>
      </c>
      <c r="C18" s="67"/>
      <c r="D18" s="68"/>
      <c r="E18" s="55"/>
      <c r="F18" s="31"/>
      <c r="G18" s="31"/>
      <c r="H18" s="55"/>
      <c r="I18" s="33"/>
      <c r="J18" s="33"/>
      <c r="K18" s="55"/>
      <c r="L18" s="37"/>
    </row>
    <row r="19" spans="1:13" ht="18.75" customHeight="1" x14ac:dyDescent="0.25">
      <c r="A19" s="131">
        <f>A17+1</f>
        <v>8</v>
      </c>
      <c r="B19" s="110" t="s">
        <v>68</v>
      </c>
      <c r="C19" s="109" t="s">
        <v>30</v>
      </c>
      <c r="D19" s="111">
        <v>56.73</v>
      </c>
      <c r="E19" s="114">
        <v>308.75</v>
      </c>
      <c r="F19" s="132">
        <f>ROUND(E19*D19,2)</f>
        <v>17515.39</v>
      </c>
      <c r="G19" s="132">
        <f>ROUND(F19*1.2,2)</f>
        <v>21018.47</v>
      </c>
      <c r="H19" s="113"/>
      <c r="I19" s="112"/>
      <c r="J19" s="112"/>
      <c r="K19" s="114">
        <f t="shared" si="0"/>
        <v>17515.39</v>
      </c>
      <c r="L19" s="112">
        <f t="shared" si="0"/>
        <v>21018.47</v>
      </c>
    </row>
    <row r="20" spans="1:13" ht="18.75" customHeight="1" x14ac:dyDescent="0.25">
      <c r="A20" s="28"/>
      <c r="B20" s="75" t="s">
        <v>179</v>
      </c>
      <c r="C20" s="67"/>
      <c r="D20" s="68"/>
      <c r="E20" s="101"/>
      <c r="F20" s="33"/>
      <c r="G20" s="33"/>
      <c r="H20" s="58"/>
      <c r="I20" s="33"/>
      <c r="J20" s="33"/>
      <c r="K20" s="55"/>
      <c r="L20" s="37"/>
    </row>
    <row r="21" spans="1:13" ht="36.75" customHeight="1" x14ac:dyDescent="0.25">
      <c r="A21" s="109">
        <f>A19+1</f>
        <v>9</v>
      </c>
      <c r="B21" s="110" t="s">
        <v>62</v>
      </c>
      <c r="C21" s="109" t="s">
        <v>23</v>
      </c>
      <c r="D21" s="145">
        <v>1.2</v>
      </c>
      <c r="E21" s="114">
        <v>17265.68</v>
      </c>
      <c r="F21" s="132">
        <f>ROUND(E21*D21,2)</f>
        <v>20718.82</v>
      </c>
      <c r="G21" s="132">
        <f>ROUND(F21*1.2,2)</f>
        <v>24862.58</v>
      </c>
      <c r="H21" s="139"/>
      <c r="I21" s="132"/>
      <c r="J21" s="132"/>
      <c r="K21" s="114">
        <f t="shared" ref="K21:K34" si="3">F21+I21</f>
        <v>20718.82</v>
      </c>
      <c r="L21" s="112">
        <f t="shared" ref="L21:L34" si="4">G21+J21</f>
        <v>24862.58</v>
      </c>
    </row>
    <row r="22" spans="1:13" ht="18.75" customHeight="1" x14ac:dyDescent="0.25">
      <c r="A22" s="40" t="s">
        <v>174</v>
      </c>
      <c r="B22" s="64" t="s">
        <v>63</v>
      </c>
      <c r="C22" s="42" t="s">
        <v>42</v>
      </c>
      <c r="D22" s="63">
        <v>2</v>
      </c>
      <c r="E22" s="44"/>
      <c r="F22" s="45"/>
      <c r="G22" s="45"/>
      <c r="H22" s="69">
        <v>1657.75</v>
      </c>
      <c r="I22" s="45">
        <f t="shared" ref="I22:I25" si="5">ROUND(H22*D22,2)</f>
        <v>3315.5</v>
      </c>
      <c r="J22" s="45">
        <f t="shared" ref="J22:J25" si="6">ROUND(I22*1.2,2)</f>
        <v>3978.6</v>
      </c>
      <c r="K22" s="46">
        <f t="shared" si="3"/>
        <v>3315.5</v>
      </c>
      <c r="L22" s="45">
        <f t="shared" si="4"/>
        <v>3978.6</v>
      </c>
      <c r="M22" s="60"/>
    </row>
    <row r="23" spans="1:13" ht="18.75" customHeight="1" x14ac:dyDescent="0.25">
      <c r="A23" s="40" t="s">
        <v>175</v>
      </c>
      <c r="B23" s="64" t="s">
        <v>64</v>
      </c>
      <c r="C23" s="42" t="s">
        <v>42</v>
      </c>
      <c r="D23" s="63">
        <v>2</v>
      </c>
      <c r="E23" s="44"/>
      <c r="F23" s="45"/>
      <c r="G23" s="45"/>
      <c r="H23" s="69">
        <v>2500.4</v>
      </c>
      <c r="I23" s="45">
        <f t="shared" si="5"/>
        <v>5000.8</v>
      </c>
      <c r="J23" s="45">
        <f t="shared" si="6"/>
        <v>6000.96</v>
      </c>
      <c r="K23" s="46">
        <f t="shared" si="3"/>
        <v>5000.8</v>
      </c>
      <c r="L23" s="45">
        <f t="shared" si="4"/>
        <v>6000.96</v>
      </c>
      <c r="M23" s="60"/>
    </row>
    <row r="24" spans="1:13" ht="18.75" customHeight="1" x14ac:dyDescent="0.25">
      <c r="A24" s="40" t="s">
        <v>176</v>
      </c>
      <c r="B24" s="64" t="s">
        <v>147</v>
      </c>
      <c r="C24" s="42" t="s">
        <v>42</v>
      </c>
      <c r="D24" s="63">
        <v>2</v>
      </c>
      <c r="E24" s="44"/>
      <c r="F24" s="45"/>
      <c r="G24" s="45"/>
      <c r="H24" s="69">
        <v>1427.85</v>
      </c>
      <c r="I24" s="45">
        <f t="shared" si="5"/>
        <v>2855.7</v>
      </c>
      <c r="J24" s="45">
        <f t="shared" si="6"/>
        <v>3426.84</v>
      </c>
      <c r="K24" s="46">
        <f t="shared" si="3"/>
        <v>2855.7</v>
      </c>
      <c r="L24" s="45">
        <f t="shared" si="4"/>
        <v>3426.84</v>
      </c>
      <c r="M24" s="60"/>
    </row>
    <row r="25" spans="1:13" ht="18.75" customHeight="1" x14ac:dyDescent="0.25">
      <c r="A25" s="40" t="s">
        <v>177</v>
      </c>
      <c r="B25" s="41" t="s">
        <v>78</v>
      </c>
      <c r="C25" s="42" t="s">
        <v>42</v>
      </c>
      <c r="D25" s="63">
        <v>2</v>
      </c>
      <c r="E25" s="44"/>
      <c r="F25" s="45"/>
      <c r="G25" s="45"/>
      <c r="H25" s="69">
        <v>14421</v>
      </c>
      <c r="I25" s="45">
        <f t="shared" si="5"/>
        <v>28842</v>
      </c>
      <c r="J25" s="45">
        <f t="shared" si="6"/>
        <v>34610.400000000001</v>
      </c>
      <c r="K25" s="46">
        <f t="shared" si="3"/>
        <v>28842</v>
      </c>
      <c r="L25" s="45">
        <f t="shared" si="4"/>
        <v>34610.400000000001</v>
      </c>
    </row>
    <row r="26" spans="1:13" ht="36.75" customHeight="1" x14ac:dyDescent="0.25">
      <c r="A26" s="109">
        <f>A21+1</f>
        <v>10</v>
      </c>
      <c r="B26" s="110" t="s">
        <v>172</v>
      </c>
      <c r="C26" s="109" t="s">
        <v>23</v>
      </c>
      <c r="D26" s="145">
        <v>0.6</v>
      </c>
      <c r="E26" s="114">
        <v>17265.68</v>
      </c>
      <c r="F26" s="132">
        <f>ROUND(E26*D26,2)</f>
        <v>10359.41</v>
      </c>
      <c r="G26" s="132">
        <f>ROUND(F26*1.2,2)</f>
        <v>12431.29</v>
      </c>
      <c r="H26" s="139"/>
      <c r="I26" s="132"/>
      <c r="J26" s="132"/>
      <c r="K26" s="114">
        <f t="shared" ref="K26:K30" si="7">F26+I26</f>
        <v>10359.41</v>
      </c>
      <c r="L26" s="112">
        <f t="shared" ref="L26:L30" si="8">G26+J26</f>
        <v>12431.29</v>
      </c>
    </row>
    <row r="27" spans="1:13" ht="18.75" customHeight="1" x14ac:dyDescent="0.25">
      <c r="A27" s="40" t="s">
        <v>178</v>
      </c>
      <c r="B27" s="64" t="s">
        <v>63</v>
      </c>
      <c r="C27" s="42" t="s">
        <v>42</v>
      </c>
      <c r="D27" s="63">
        <v>1</v>
      </c>
      <c r="E27" s="61"/>
      <c r="F27" s="45"/>
      <c r="G27" s="45"/>
      <c r="H27" s="69">
        <v>1657.75</v>
      </c>
      <c r="I27" s="45">
        <f t="shared" ref="I27:I30" si="9">ROUND(H27*D27,2)</f>
        <v>1657.75</v>
      </c>
      <c r="J27" s="45">
        <f t="shared" ref="J27:J30" si="10">ROUND(I27*1.2,2)</f>
        <v>1989.3</v>
      </c>
      <c r="K27" s="46">
        <f t="shared" si="7"/>
        <v>1657.75</v>
      </c>
      <c r="L27" s="45">
        <f t="shared" si="8"/>
        <v>1989.3</v>
      </c>
      <c r="M27" s="60"/>
    </row>
    <row r="28" spans="1:13" ht="18.75" customHeight="1" x14ac:dyDescent="0.25">
      <c r="A28" s="40" t="s">
        <v>192</v>
      </c>
      <c r="B28" s="64" t="s">
        <v>64</v>
      </c>
      <c r="C28" s="42" t="s">
        <v>42</v>
      </c>
      <c r="D28" s="63">
        <v>1</v>
      </c>
      <c r="E28" s="61"/>
      <c r="F28" s="45"/>
      <c r="G28" s="45"/>
      <c r="H28" s="69">
        <v>2500.4</v>
      </c>
      <c r="I28" s="45">
        <f t="shared" si="9"/>
        <v>2500.4</v>
      </c>
      <c r="J28" s="45">
        <f t="shared" si="10"/>
        <v>3000.48</v>
      </c>
      <c r="K28" s="46">
        <f t="shared" si="7"/>
        <v>2500.4</v>
      </c>
      <c r="L28" s="45">
        <f t="shared" si="8"/>
        <v>3000.48</v>
      </c>
      <c r="M28" s="60"/>
    </row>
    <row r="29" spans="1:13" ht="18.75" customHeight="1" x14ac:dyDescent="0.25">
      <c r="A29" s="40" t="s">
        <v>193</v>
      </c>
      <c r="B29" s="64" t="s">
        <v>147</v>
      </c>
      <c r="C29" s="42" t="s">
        <v>42</v>
      </c>
      <c r="D29" s="63">
        <v>1</v>
      </c>
      <c r="E29" s="61"/>
      <c r="F29" s="45"/>
      <c r="G29" s="45"/>
      <c r="H29" s="69">
        <v>1427.85</v>
      </c>
      <c r="I29" s="45">
        <f t="shared" si="9"/>
        <v>1427.85</v>
      </c>
      <c r="J29" s="45">
        <f t="shared" si="10"/>
        <v>1713.42</v>
      </c>
      <c r="K29" s="46">
        <f t="shared" si="7"/>
        <v>1427.85</v>
      </c>
      <c r="L29" s="45">
        <f t="shared" si="8"/>
        <v>1713.42</v>
      </c>
      <c r="M29" s="60"/>
    </row>
    <row r="30" spans="1:13" ht="18.75" customHeight="1" x14ac:dyDescent="0.25">
      <c r="A30" s="40" t="s">
        <v>194</v>
      </c>
      <c r="B30" s="41" t="s">
        <v>173</v>
      </c>
      <c r="C30" s="42" t="s">
        <v>42</v>
      </c>
      <c r="D30" s="63">
        <v>1</v>
      </c>
      <c r="E30" s="61"/>
      <c r="F30" s="45"/>
      <c r="G30" s="45"/>
      <c r="H30" s="93">
        <v>5928</v>
      </c>
      <c r="I30" s="45">
        <f t="shared" si="9"/>
        <v>5928</v>
      </c>
      <c r="J30" s="45">
        <f t="shared" si="10"/>
        <v>7113.6</v>
      </c>
      <c r="K30" s="46">
        <f t="shared" si="7"/>
        <v>5928</v>
      </c>
      <c r="L30" s="45">
        <f t="shared" si="8"/>
        <v>7113.6</v>
      </c>
      <c r="M30" s="82"/>
    </row>
    <row r="31" spans="1:13" ht="27.75" customHeight="1" x14ac:dyDescent="0.25">
      <c r="A31" s="109">
        <f>A26+1</f>
        <v>11</v>
      </c>
      <c r="B31" s="110" t="s">
        <v>72</v>
      </c>
      <c r="C31" s="109" t="s">
        <v>28</v>
      </c>
      <c r="D31" s="124">
        <v>14.58</v>
      </c>
      <c r="E31" s="114">
        <v>144.4</v>
      </c>
      <c r="F31" s="132">
        <f>ROUND(E31*D31,2)</f>
        <v>2105.35</v>
      </c>
      <c r="G31" s="132">
        <f t="shared" ref="G31" si="11">ROUND(F31*1.2,2)</f>
        <v>2526.42</v>
      </c>
      <c r="H31" s="114"/>
      <c r="I31" s="132"/>
      <c r="J31" s="132"/>
      <c r="K31" s="114">
        <f t="shared" si="3"/>
        <v>2105.35</v>
      </c>
      <c r="L31" s="112">
        <f t="shared" si="4"/>
        <v>2526.42</v>
      </c>
      <c r="M31" s="62" t="s">
        <v>70</v>
      </c>
    </row>
    <row r="32" spans="1:13" ht="17.25" customHeight="1" x14ac:dyDescent="0.25">
      <c r="A32" s="40" t="s">
        <v>36</v>
      </c>
      <c r="B32" s="64" t="s">
        <v>73</v>
      </c>
      <c r="C32" s="42" t="s">
        <v>66</v>
      </c>
      <c r="D32" s="74">
        <f>D31*0.3*20/16</f>
        <v>5.4674999999999994</v>
      </c>
      <c r="E32" s="61"/>
      <c r="F32" s="45"/>
      <c r="G32" s="45"/>
      <c r="H32" s="69">
        <v>237.5</v>
      </c>
      <c r="I32" s="45">
        <f>ROUND(H32*D32,2)</f>
        <v>1298.53</v>
      </c>
      <c r="J32" s="45">
        <f t="shared" ref="J32" si="12">ROUND(I32*1.2,2)</f>
        <v>1558.24</v>
      </c>
      <c r="K32" s="46">
        <f t="shared" si="3"/>
        <v>1298.53</v>
      </c>
      <c r="L32" s="45">
        <f t="shared" si="4"/>
        <v>1558.24</v>
      </c>
      <c r="M32" s="62"/>
    </row>
    <row r="33" spans="1:13" ht="28.5" customHeight="1" x14ac:dyDescent="0.25">
      <c r="A33" s="109">
        <f>A31+1</f>
        <v>12</v>
      </c>
      <c r="B33" s="110" t="s">
        <v>74</v>
      </c>
      <c r="C33" s="109" t="s">
        <v>28</v>
      </c>
      <c r="D33" s="124">
        <v>14.58</v>
      </c>
      <c r="E33" s="114">
        <v>299.76</v>
      </c>
      <c r="F33" s="132">
        <f>ROUND(E33*D33,2)</f>
        <v>4370.5</v>
      </c>
      <c r="G33" s="132">
        <f t="shared" ref="G33" si="13">ROUND(F33*1.2,2)</f>
        <v>5244.6</v>
      </c>
      <c r="H33" s="114"/>
      <c r="I33" s="132"/>
      <c r="J33" s="132"/>
      <c r="K33" s="114">
        <f t="shared" si="3"/>
        <v>4370.5</v>
      </c>
      <c r="L33" s="112">
        <f t="shared" si="4"/>
        <v>5244.6</v>
      </c>
      <c r="M33" s="62" t="s">
        <v>70</v>
      </c>
    </row>
    <row r="34" spans="1:13" x14ac:dyDescent="0.25">
      <c r="A34" s="40" t="s">
        <v>38</v>
      </c>
      <c r="B34" s="64" t="s">
        <v>75</v>
      </c>
      <c r="C34" s="42" t="s">
        <v>55</v>
      </c>
      <c r="D34" s="43">
        <f>D33*2.5*2</f>
        <v>72.900000000000006</v>
      </c>
      <c r="E34" s="61"/>
      <c r="F34" s="45"/>
      <c r="G34" s="45"/>
      <c r="H34" s="69">
        <v>296.39999999999998</v>
      </c>
      <c r="I34" s="45">
        <f t="shared" ref="I34" si="14">ROUND(H34*D34,2)</f>
        <v>21607.56</v>
      </c>
      <c r="J34" s="45">
        <f t="shared" ref="J34" si="15">ROUND(I34*1.2,2)</f>
        <v>25929.07</v>
      </c>
      <c r="K34" s="61">
        <f t="shared" si="3"/>
        <v>21607.56</v>
      </c>
      <c r="L34" s="59">
        <f t="shared" si="4"/>
        <v>25929.07</v>
      </c>
      <c r="M34" s="62"/>
    </row>
    <row r="35" spans="1:13" ht="26.25" customHeight="1" x14ac:dyDescent="0.25">
      <c r="A35" s="40"/>
      <c r="B35" s="38" t="s">
        <v>180</v>
      </c>
      <c r="C35" s="34"/>
      <c r="D35" s="48"/>
      <c r="E35" s="49"/>
      <c r="F35" s="50"/>
      <c r="G35" s="51"/>
      <c r="H35" s="58"/>
      <c r="I35" s="33"/>
      <c r="J35" s="33"/>
      <c r="K35" s="30"/>
      <c r="L35" s="33"/>
    </row>
    <row r="36" spans="1:13" ht="21.75" customHeight="1" x14ac:dyDescent="0.25">
      <c r="A36" s="129">
        <f>A33+1</f>
        <v>13</v>
      </c>
      <c r="B36" s="104" t="s">
        <v>181</v>
      </c>
      <c r="C36" s="103" t="s">
        <v>21</v>
      </c>
      <c r="D36" s="105">
        <v>5.49</v>
      </c>
      <c r="E36" s="108">
        <v>801.45</v>
      </c>
      <c r="F36" s="130">
        <f>ROUND(E36*D36,2)</f>
        <v>4399.96</v>
      </c>
      <c r="G36" s="130">
        <f>ROUND(F36*1.2,2)</f>
        <v>5279.95</v>
      </c>
      <c r="H36" s="140"/>
      <c r="I36" s="130"/>
      <c r="J36" s="130"/>
      <c r="K36" s="108">
        <f t="shared" ref="K36:L41" si="16">F36+I36</f>
        <v>4399.96</v>
      </c>
      <c r="L36" s="106">
        <f t="shared" si="16"/>
        <v>5279.95</v>
      </c>
    </row>
    <row r="37" spans="1:13" ht="23.25" customHeight="1" x14ac:dyDescent="0.25">
      <c r="A37" s="40" t="s">
        <v>60</v>
      </c>
      <c r="B37" s="41" t="s">
        <v>182</v>
      </c>
      <c r="C37" s="42" t="s">
        <v>21</v>
      </c>
      <c r="D37" s="43">
        <f>1.02*D36</f>
        <v>5.5998000000000001</v>
      </c>
      <c r="E37" s="61"/>
      <c r="F37" s="59"/>
      <c r="G37" s="59"/>
      <c r="H37" s="59">
        <f>853/1.2*1.15</f>
        <v>817.45833333333326</v>
      </c>
      <c r="I37" s="59">
        <f>ROUND(H37*D37,2)</f>
        <v>4577.6000000000004</v>
      </c>
      <c r="J37" s="59">
        <f>ROUND(I37*1.2,2)</f>
        <v>5493.12</v>
      </c>
      <c r="K37" s="61">
        <f t="shared" ref="K37:L39" si="17">F37+I37</f>
        <v>4577.6000000000004</v>
      </c>
      <c r="L37" s="59">
        <f t="shared" ref="L37" si="18">G37+J37</f>
        <v>5493.12</v>
      </c>
      <c r="M37" s="19" t="s">
        <v>92</v>
      </c>
    </row>
    <row r="38" spans="1:13" ht="18.75" customHeight="1" x14ac:dyDescent="0.25">
      <c r="A38" s="129">
        <f>A36+1</f>
        <v>14</v>
      </c>
      <c r="B38" s="104" t="s">
        <v>183</v>
      </c>
      <c r="C38" s="103" t="s">
        <v>42</v>
      </c>
      <c r="D38" s="119">
        <v>9</v>
      </c>
      <c r="E38" s="146">
        <v>1581.33</v>
      </c>
      <c r="F38" s="106">
        <f>ROUND(E38*D38,2)</f>
        <v>14231.97</v>
      </c>
      <c r="G38" s="106">
        <f>ROUND(F38*1.2,2)</f>
        <v>17078.36</v>
      </c>
      <c r="H38" s="107"/>
      <c r="I38" s="106"/>
      <c r="J38" s="106"/>
      <c r="K38" s="108">
        <f t="shared" si="17"/>
        <v>14231.97</v>
      </c>
      <c r="L38" s="106">
        <f t="shared" si="17"/>
        <v>17078.36</v>
      </c>
      <c r="M38" s="62"/>
    </row>
    <row r="39" spans="1:13" ht="18.75" customHeight="1" x14ac:dyDescent="0.25">
      <c r="A39" s="40" t="s">
        <v>187</v>
      </c>
      <c r="B39" s="41" t="s">
        <v>184</v>
      </c>
      <c r="C39" s="42" t="s">
        <v>42</v>
      </c>
      <c r="D39" s="63">
        <v>9</v>
      </c>
      <c r="E39" s="61"/>
      <c r="F39" s="45"/>
      <c r="G39" s="45"/>
      <c r="H39" s="59">
        <f>1116/1.2*1.15</f>
        <v>1069.5</v>
      </c>
      <c r="I39" s="59">
        <f>ROUND(H39*D39,2)</f>
        <v>9625.5</v>
      </c>
      <c r="J39" s="59">
        <f>ROUND(I39*1.2,2)</f>
        <v>11550.6</v>
      </c>
      <c r="K39" s="61">
        <f t="shared" si="17"/>
        <v>9625.5</v>
      </c>
      <c r="L39" s="59">
        <f t="shared" si="17"/>
        <v>11550.6</v>
      </c>
      <c r="M39" s="19" t="s">
        <v>92</v>
      </c>
    </row>
    <row r="40" spans="1:13" ht="25.5" customHeight="1" x14ac:dyDescent="0.25">
      <c r="A40" s="129">
        <f>A38+1</f>
        <v>15</v>
      </c>
      <c r="B40" s="104" t="s">
        <v>185</v>
      </c>
      <c r="C40" s="103" t="s">
        <v>21</v>
      </c>
      <c r="D40" s="105">
        <v>31.89</v>
      </c>
      <c r="E40" s="108">
        <v>801.45</v>
      </c>
      <c r="F40" s="130">
        <f>ROUND(E40*D40,2)</f>
        <v>25558.240000000002</v>
      </c>
      <c r="G40" s="130">
        <f>ROUND(F40*1.2,2)</f>
        <v>30669.89</v>
      </c>
      <c r="H40" s="121"/>
      <c r="I40" s="106"/>
      <c r="J40" s="106"/>
      <c r="K40" s="108">
        <f t="shared" ref="K40" si="19">F40+I40</f>
        <v>25558.240000000002</v>
      </c>
      <c r="L40" s="106">
        <f t="shared" ref="L40" si="20">G40+J40</f>
        <v>30669.89</v>
      </c>
    </row>
    <row r="41" spans="1:13" ht="22.5" customHeight="1" x14ac:dyDescent="0.25">
      <c r="A41" s="40" t="s">
        <v>195</v>
      </c>
      <c r="B41" s="41" t="s">
        <v>186</v>
      </c>
      <c r="C41" s="42" t="s">
        <v>21</v>
      </c>
      <c r="D41" s="43">
        <f>1.02*D40</f>
        <v>32.527799999999999</v>
      </c>
      <c r="E41" s="44"/>
      <c r="F41" s="59"/>
      <c r="G41" s="59"/>
      <c r="H41" s="59">
        <f>1013/1.2*1.15</f>
        <v>970.79166666666663</v>
      </c>
      <c r="I41" s="59">
        <f>ROUND(H41*D41,2)</f>
        <v>31577.72</v>
      </c>
      <c r="J41" s="59">
        <f>ROUND(I41*1.2,2)</f>
        <v>37893.26</v>
      </c>
      <c r="K41" s="61">
        <f t="shared" si="16"/>
        <v>31577.72</v>
      </c>
      <c r="L41" s="59">
        <f t="shared" si="16"/>
        <v>37893.26</v>
      </c>
      <c r="M41" s="19" t="s">
        <v>92</v>
      </c>
    </row>
    <row r="42" spans="1:13" ht="18.75" customHeight="1" x14ac:dyDescent="0.25">
      <c r="A42" s="129">
        <f>A40+1</f>
        <v>16</v>
      </c>
      <c r="B42" s="142" t="s">
        <v>188</v>
      </c>
      <c r="C42" s="103" t="s">
        <v>42</v>
      </c>
      <c r="D42" s="119">
        <v>15</v>
      </c>
      <c r="E42" s="143">
        <v>2314.11</v>
      </c>
      <c r="F42" s="106">
        <f t="shared" ref="F42:F43" si="21">ROUND(E42*D42,2)</f>
        <v>34711.65</v>
      </c>
      <c r="G42" s="106">
        <f t="shared" ref="G42:G43" si="22">ROUND(F42*1.2,2)</f>
        <v>41653.980000000003</v>
      </c>
      <c r="H42" s="107"/>
      <c r="I42" s="106"/>
      <c r="J42" s="106"/>
      <c r="K42" s="108">
        <f t="shared" ref="K42:K45" si="23">F42+I42</f>
        <v>34711.65</v>
      </c>
      <c r="L42" s="106">
        <f t="shared" ref="L42:L45" si="24">G42+J42</f>
        <v>41653.980000000003</v>
      </c>
      <c r="M42" s="60"/>
    </row>
    <row r="43" spans="1:13" ht="18.75" customHeight="1" x14ac:dyDescent="0.25">
      <c r="A43" s="129">
        <f>A42+1</f>
        <v>17</v>
      </c>
      <c r="B43" s="142" t="s">
        <v>189</v>
      </c>
      <c r="C43" s="103" t="s">
        <v>42</v>
      </c>
      <c r="D43" s="119">
        <v>9</v>
      </c>
      <c r="E43" s="143">
        <v>2314.11</v>
      </c>
      <c r="F43" s="106">
        <f t="shared" si="21"/>
        <v>20826.990000000002</v>
      </c>
      <c r="G43" s="106">
        <f t="shared" si="22"/>
        <v>24992.39</v>
      </c>
      <c r="H43" s="107"/>
      <c r="I43" s="106"/>
      <c r="J43" s="106"/>
      <c r="K43" s="108">
        <f t="shared" si="23"/>
        <v>20826.990000000002</v>
      </c>
      <c r="L43" s="106">
        <f t="shared" si="24"/>
        <v>24992.39</v>
      </c>
      <c r="M43" s="60"/>
    </row>
    <row r="44" spans="1:13" ht="33" customHeight="1" x14ac:dyDescent="0.25">
      <c r="A44" s="129">
        <f>A43+1</f>
        <v>18</v>
      </c>
      <c r="B44" s="104" t="s">
        <v>190</v>
      </c>
      <c r="C44" s="103" t="s">
        <v>42</v>
      </c>
      <c r="D44" s="119">
        <v>24</v>
      </c>
      <c r="E44" s="108">
        <v>3190.34</v>
      </c>
      <c r="F44" s="130">
        <f>ROUND(E44*D44,2)</f>
        <v>76568.160000000003</v>
      </c>
      <c r="G44" s="130">
        <f>ROUND(F44*1.2,2)</f>
        <v>91881.79</v>
      </c>
      <c r="H44" s="140"/>
      <c r="I44" s="130"/>
      <c r="J44" s="130"/>
      <c r="K44" s="108">
        <f t="shared" si="23"/>
        <v>76568.160000000003</v>
      </c>
      <c r="L44" s="106">
        <f t="shared" si="24"/>
        <v>91881.79</v>
      </c>
    </row>
    <row r="45" spans="1:13" ht="18.75" hidden="1" customHeight="1" x14ac:dyDescent="0.25">
      <c r="A45" s="40" t="s">
        <v>123</v>
      </c>
      <c r="B45" s="76" t="s">
        <v>43</v>
      </c>
      <c r="C45" s="42" t="s">
        <v>23</v>
      </c>
      <c r="D45" s="43"/>
      <c r="E45" s="44"/>
      <c r="F45" s="45"/>
      <c r="G45" s="45"/>
      <c r="H45" s="45">
        <v>5322.58</v>
      </c>
      <c r="I45" s="45">
        <f>ROUND(H45*D45,2)</f>
        <v>0</v>
      </c>
      <c r="J45" s="45">
        <f>ROUND(I45*1.2,2)</f>
        <v>0</v>
      </c>
      <c r="K45" s="46">
        <f t="shared" si="23"/>
        <v>0</v>
      </c>
      <c r="L45" s="45">
        <f t="shared" si="24"/>
        <v>0</v>
      </c>
      <c r="M45" s="60"/>
    </row>
    <row r="46" spans="1:13" s="77" customFormat="1" ht="23.25" customHeight="1" x14ac:dyDescent="0.3">
      <c r="A46" s="156" t="s">
        <v>56</v>
      </c>
      <c r="B46" s="157"/>
      <c r="C46" s="157"/>
      <c r="D46" s="157"/>
      <c r="E46" s="158"/>
      <c r="F46" s="65">
        <f>SUM(F7:F45)</f>
        <v>284174.56000000006</v>
      </c>
      <c r="G46" s="65">
        <f>ROUND(F46*1.2,2)</f>
        <v>341009.47</v>
      </c>
      <c r="H46" s="79"/>
      <c r="I46" s="65">
        <f>SUM(I7:I45)</f>
        <v>155612.59</v>
      </c>
      <c r="J46" s="65">
        <f t="shared" ref="J46" si="25">ROUND(I46*1.2,2)</f>
        <v>186735.11</v>
      </c>
      <c r="K46" s="65">
        <f>SUM(K7:K45)</f>
        <v>439787.15</v>
      </c>
      <c r="L46" s="65">
        <f>ROUND(K46*1.2,2)</f>
        <v>527744.57999999996</v>
      </c>
      <c r="M46" s="78"/>
    </row>
    <row r="48" spans="1:13" x14ac:dyDescent="0.25">
      <c r="B48" s="147" t="s">
        <v>212</v>
      </c>
    </row>
    <row r="49" spans="2:2" x14ac:dyDescent="0.25">
      <c r="B49" s="148" t="s">
        <v>213</v>
      </c>
    </row>
  </sheetData>
  <mergeCells count="10">
    <mergeCell ref="A46:E46"/>
    <mergeCell ref="B6:D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M26"/>
  <sheetViews>
    <sheetView view="pageBreakPreview" zoomScale="80" zoomScaleNormal="100" zoomScaleSheetLayoutView="80" workbookViewId="0">
      <selection activeCell="N20" sqref="N20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1" style="19" bestFit="1" customWidth="1"/>
    <col min="5" max="5" width="15.140625" style="19" customWidth="1"/>
    <col min="6" max="6" width="16" style="19" customWidth="1"/>
    <col min="7" max="7" width="17.140625" style="90" customWidth="1"/>
    <col min="8" max="8" width="16.140625" style="90" customWidth="1"/>
    <col min="9" max="12" width="16.140625" style="19" customWidth="1"/>
    <col min="13" max="13" width="19.85546875" style="19" customWidth="1"/>
    <col min="14" max="16384" width="8.85546875" style="19"/>
  </cols>
  <sheetData>
    <row r="1" spans="1:12" ht="14.45" customHeight="1" x14ac:dyDescent="0.25">
      <c r="A1" s="159" t="s">
        <v>0</v>
      </c>
      <c r="B1" s="162" t="s">
        <v>8</v>
      </c>
      <c r="C1" s="165" t="s">
        <v>9</v>
      </c>
      <c r="D1" s="165" t="s">
        <v>10</v>
      </c>
      <c r="E1" s="166" t="s">
        <v>11</v>
      </c>
      <c r="F1" s="167"/>
      <c r="G1" s="167"/>
      <c r="H1" s="167"/>
      <c r="I1" s="167"/>
      <c r="J1" s="167"/>
      <c r="K1" s="167"/>
      <c r="L1" s="167"/>
    </row>
    <row r="2" spans="1:12" ht="14.45" customHeight="1" x14ac:dyDescent="0.25">
      <c r="A2" s="160"/>
      <c r="B2" s="163"/>
      <c r="C2" s="165"/>
      <c r="D2" s="165"/>
      <c r="E2" s="168"/>
      <c r="F2" s="169"/>
      <c r="G2" s="169"/>
      <c r="H2" s="169"/>
      <c r="I2" s="169"/>
      <c r="J2" s="169"/>
      <c r="K2" s="169"/>
      <c r="L2" s="169"/>
    </row>
    <row r="3" spans="1:12" ht="27.75" customHeight="1" x14ac:dyDescent="0.25">
      <c r="A3" s="160"/>
      <c r="B3" s="163"/>
      <c r="C3" s="165"/>
      <c r="D3" s="165"/>
      <c r="E3" s="165" t="s">
        <v>12</v>
      </c>
      <c r="F3" s="165"/>
      <c r="G3" s="165"/>
      <c r="H3" s="165" t="s">
        <v>13</v>
      </c>
      <c r="I3" s="165"/>
      <c r="J3" s="165"/>
      <c r="K3" s="170" t="s">
        <v>14</v>
      </c>
      <c r="L3" s="170"/>
    </row>
    <row r="4" spans="1:12" ht="56.1" customHeight="1" x14ac:dyDescent="0.25">
      <c r="A4" s="161"/>
      <c r="B4" s="164"/>
      <c r="C4" s="165"/>
      <c r="D4" s="165"/>
      <c r="E4" s="83" t="s">
        <v>15</v>
      </c>
      <c r="F4" s="83" t="s">
        <v>16</v>
      </c>
      <c r="G4" s="85" t="s">
        <v>17</v>
      </c>
      <c r="H4" s="83" t="s">
        <v>15</v>
      </c>
      <c r="I4" s="83" t="s">
        <v>16</v>
      </c>
      <c r="J4" s="85" t="s">
        <v>17</v>
      </c>
      <c r="K4" s="83" t="s">
        <v>18</v>
      </c>
      <c r="L4" s="83" t="s">
        <v>3</v>
      </c>
    </row>
    <row r="5" spans="1:12" x14ac:dyDescent="0.25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19"/>
    </row>
    <row r="6" spans="1:12" ht="20.25" customHeight="1" x14ac:dyDescent="0.25">
      <c r="A6" s="24"/>
      <c r="B6" s="154" t="s">
        <v>151</v>
      </c>
      <c r="C6" s="155"/>
      <c r="D6" s="155"/>
      <c r="E6" s="25"/>
      <c r="F6" s="26"/>
      <c r="G6" s="27"/>
      <c r="H6" s="27"/>
      <c r="I6" s="27"/>
      <c r="J6" s="27"/>
      <c r="K6" s="27"/>
      <c r="L6" s="27"/>
    </row>
    <row r="7" spans="1:12" ht="18.75" customHeight="1" x14ac:dyDescent="0.25">
      <c r="A7" s="40"/>
      <c r="B7" s="38" t="s">
        <v>33</v>
      </c>
      <c r="C7" s="34"/>
      <c r="D7" s="48"/>
      <c r="E7" s="50"/>
      <c r="F7" s="50"/>
      <c r="G7" s="86"/>
      <c r="H7" s="87"/>
      <c r="I7" s="37"/>
      <c r="J7" s="37"/>
      <c r="K7" s="55"/>
      <c r="L7" s="37"/>
    </row>
    <row r="8" spans="1:12" ht="18.75" customHeight="1" x14ac:dyDescent="0.25">
      <c r="A8" s="40"/>
      <c r="B8" s="73" t="s">
        <v>141</v>
      </c>
      <c r="C8" s="34"/>
      <c r="D8" s="48"/>
      <c r="E8" s="50"/>
      <c r="F8" s="50"/>
      <c r="G8" s="86"/>
      <c r="H8" s="87"/>
      <c r="I8" s="37"/>
      <c r="J8" s="37"/>
      <c r="K8" s="55"/>
      <c r="L8" s="37"/>
    </row>
    <row r="9" spans="1:12" ht="18.75" customHeight="1" x14ac:dyDescent="0.25">
      <c r="A9" s="109">
        <v>1</v>
      </c>
      <c r="B9" s="110" t="s">
        <v>83</v>
      </c>
      <c r="C9" s="109" t="s">
        <v>23</v>
      </c>
      <c r="D9" s="111">
        <v>102</v>
      </c>
      <c r="E9" s="113">
        <v>355.3</v>
      </c>
      <c r="F9" s="112">
        <f>ROUND(E9*D9,2)</f>
        <v>36240.6</v>
      </c>
      <c r="G9" s="112">
        <f>ROUND(F9*1.2,2)</f>
        <v>43488.72</v>
      </c>
      <c r="H9" s="116"/>
      <c r="I9" s="112"/>
      <c r="J9" s="112"/>
      <c r="K9" s="114">
        <f t="shared" ref="K9:L10" si="0">F9+I9</f>
        <v>36240.6</v>
      </c>
      <c r="L9" s="112">
        <f t="shared" si="0"/>
        <v>43488.72</v>
      </c>
    </row>
    <row r="10" spans="1:12" ht="27.75" customHeight="1" x14ac:dyDescent="0.25">
      <c r="A10" s="109">
        <f>A9+1</f>
        <v>2</v>
      </c>
      <c r="B10" s="110" t="s">
        <v>34</v>
      </c>
      <c r="C10" s="109" t="s">
        <v>23</v>
      </c>
      <c r="D10" s="111">
        <v>3.1</v>
      </c>
      <c r="E10" s="113">
        <v>1688.15</v>
      </c>
      <c r="F10" s="112">
        <f>ROUND(E10*D10,2)</f>
        <v>5233.2700000000004</v>
      </c>
      <c r="G10" s="112">
        <f>ROUND(F10*1.2,2)</f>
        <v>6279.92</v>
      </c>
      <c r="H10" s="116"/>
      <c r="I10" s="112"/>
      <c r="J10" s="112"/>
      <c r="K10" s="114">
        <f t="shared" si="0"/>
        <v>5233.2700000000004</v>
      </c>
      <c r="L10" s="112">
        <f t="shared" si="0"/>
        <v>6279.92</v>
      </c>
    </row>
    <row r="11" spans="1:12" ht="18.75" customHeight="1" x14ac:dyDescent="0.25">
      <c r="A11" s="109">
        <f>A10+1</f>
        <v>3</v>
      </c>
      <c r="B11" s="110" t="s">
        <v>118</v>
      </c>
      <c r="C11" s="109" t="s">
        <v>23</v>
      </c>
      <c r="D11" s="111">
        <v>2</v>
      </c>
      <c r="E11" s="113">
        <v>1310.05</v>
      </c>
      <c r="F11" s="112">
        <f>ROUND(E11*D11,2)</f>
        <v>2620.1</v>
      </c>
      <c r="G11" s="112">
        <f>ROUND(F11*1.2,2)</f>
        <v>3144.12</v>
      </c>
      <c r="H11" s="112"/>
      <c r="I11" s="112"/>
      <c r="J11" s="112"/>
      <c r="K11" s="114">
        <f t="shared" ref="K11:L16" si="1">F11+I11</f>
        <v>2620.1</v>
      </c>
      <c r="L11" s="112">
        <f t="shared" si="1"/>
        <v>3144.12</v>
      </c>
    </row>
    <row r="12" spans="1:12" ht="18.75" customHeight="1" x14ac:dyDescent="0.25">
      <c r="A12" s="40" t="s">
        <v>154</v>
      </c>
      <c r="B12" s="41" t="s">
        <v>37</v>
      </c>
      <c r="C12" s="42" t="s">
        <v>23</v>
      </c>
      <c r="D12" s="43">
        <f>D11*1.1</f>
        <v>2.2000000000000002</v>
      </c>
      <c r="E12" s="44"/>
      <c r="F12" s="59"/>
      <c r="G12" s="59"/>
      <c r="H12" s="59">
        <v>1191.3</v>
      </c>
      <c r="I12" s="59">
        <f>ROUND(H12*D12,2)</f>
        <v>2620.86</v>
      </c>
      <c r="J12" s="59">
        <f>ROUND(I12*1.2,2)</f>
        <v>3145.03</v>
      </c>
      <c r="K12" s="61">
        <f t="shared" si="1"/>
        <v>2620.86</v>
      </c>
      <c r="L12" s="59">
        <f t="shared" si="1"/>
        <v>3145.03</v>
      </c>
    </row>
    <row r="13" spans="1:12" ht="18.75" customHeight="1" x14ac:dyDescent="0.25">
      <c r="A13" s="109">
        <f>A11+1</f>
        <v>4</v>
      </c>
      <c r="B13" s="110" t="s">
        <v>153</v>
      </c>
      <c r="C13" s="109" t="s">
        <v>23</v>
      </c>
      <c r="D13" s="111">
        <v>92</v>
      </c>
      <c r="E13" s="113">
        <v>1310.05</v>
      </c>
      <c r="F13" s="112">
        <f>ROUND(E13*D13,2)</f>
        <v>120524.6</v>
      </c>
      <c r="G13" s="112">
        <f>ROUND(F13*1.2,2)</f>
        <v>144629.51999999999</v>
      </c>
      <c r="H13" s="112"/>
      <c r="I13" s="112"/>
      <c r="J13" s="112"/>
      <c r="K13" s="114">
        <f t="shared" si="1"/>
        <v>120524.6</v>
      </c>
      <c r="L13" s="112">
        <f t="shared" si="1"/>
        <v>144629.51999999999</v>
      </c>
    </row>
    <row r="14" spans="1:12" ht="18.75" customHeight="1" x14ac:dyDescent="0.25">
      <c r="A14" s="40" t="s">
        <v>155</v>
      </c>
      <c r="B14" s="41" t="s">
        <v>37</v>
      </c>
      <c r="C14" s="42" t="s">
        <v>23</v>
      </c>
      <c r="D14" s="43">
        <f>D13*1.1</f>
        <v>101.2</v>
      </c>
      <c r="E14" s="44"/>
      <c r="F14" s="59"/>
      <c r="G14" s="59"/>
      <c r="H14" s="59">
        <v>1191.3</v>
      </c>
      <c r="I14" s="59">
        <f>ROUND(H14*D14,2)</f>
        <v>120559.56</v>
      </c>
      <c r="J14" s="59">
        <f>ROUND(I14*1.2,2)</f>
        <v>144671.47</v>
      </c>
      <c r="K14" s="61">
        <f t="shared" si="1"/>
        <v>120559.56</v>
      </c>
      <c r="L14" s="59">
        <f t="shared" si="1"/>
        <v>144671.47</v>
      </c>
    </row>
    <row r="15" spans="1:12" ht="18.75" customHeight="1" x14ac:dyDescent="0.25">
      <c r="A15" s="34"/>
      <c r="B15" s="75" t="s">
        <v>67</v>
      </c>
      <c r="C15" s="67"/>
      <c r="D15" s="68"/>
      <c r="E15" s="32"/>
      <c r="F15" s="36"/>
      <c r="G15" s="36"/>
      <c r="H15" s="55"/>
      <c r="I15" s="37"/>
      <c r="J15" s="37"/>
      <c r="K15" s="55"/>
      <c r="L15" s="37"/>
    </row>
    <row r="16" spans="1:12" ht="18.75" customHeight="1" x14ac:dyDescent="0.25">
      <c r="A16" s="109">
        <f>A13+1</f>
        <v>5</v>
      </c>
      <c r="B16" s="110" t="s">
        <v>68</v>
      </c>
      <c r="C16" s="109" t="s">
        <v>30</v>
      </c>
      <c r="D16" s="111">
        <f>104.9*1.9</f>
        <v>199.31</v>
      </c>
      <c r="E16" s="113">
        <v>308.75</v>
      </c>
      <c r="F16" s="112">
        <f>ROUND(E16*D16,2)</f>
        <v>61536.959999999999</v>
      </c>
      <c r="G16" s="112">
        <f>ROUND(F16*1.2,2)</f>
        <v>73844.350000000006</v>
      </c>
      <c r="H16" s="113"/>
      <c r="I16" s="112"/>
      <c r="J16" s="112"/>
      <c r="K16" s="114">
        <f t="shared" si="1"/>
        <v>61536.959999999999</v>
      </c>
      <c r="L16" s="112">
        <f t="shared" si="1"/>
        <v>73844.350000000006</v>
      </c>
    </row>
    <row r="17" spans="1:13" ht="18.75" customHeight="1" x14ac:dyDescent="0.25">
      <c r="A17" s="40"/>
      <c r="B17" s="38" t="s">
        <v>40</v>
      </c>
      <c r="C17" s="34"/>
      <c r="D17" s="48"/>
      <c r="E17" s="50"/>
      <c r="F17" s="50"/>
      <c r="G17" s="86"/>
      <c r="H17" s="87"/>
      <c r="I17" s="37"/>
      <c r="J17" s="37"/>
      <c r="K17" s="55"/>
      <c r="L17" s="37"/>
    </row>
    <row r="18" spans="1:13" ht="18.75" customHeight="1" x14ac:dyDescent="0.25">
      <c r="A18" s="109">
        <f>A16+1</f>
        <v>6</v>
      </c>
      <c r="B18" s="115" t="s">
        <v>157</v>
      </c>
      <c r="C18" s="109" t="s">
        <v>21</v>
      </c>
      <c r="D18" s="111">
        <v>31</v>
      </c>
      <c r="E18" s="113">
        <v>2651.45</v>
      </c>
      <c r="F18" s="112">
        <f>ROUND(E18*D18,2)</f>
        <v>82194.95</v>
      </c>
      <c r="G18" s="112">
        <f>ROUND(F18*1.2,2)</f>
        <v>98633.94</v>
      </c>
      <c r="H18" s="116"/>
      <c r="I18" s="112"/>
      <c r="J18" s="112"/>
      <c r="K18" s="114">
        <f t="shared" ref="K18:K19" si="2">F18+I18</f>
        <v>82194.95</v>
      </c>
      <c r="L18" s="112">
        <f t="shared" ref="L18:L19" si="3">G18+J18</f>
        <v>98633.94</v>
      </c>
    </row>
    <row r="19" spans="1:13" ht="18.75" customHeight="1" x14ac:dyDescent="0.25">
      <c r="A19" s="40" t="s">
        <v>29</v>
      </c>
      <c r="B19" s="41" t="s">
        <v>156</v>
      </c>
      <c r="C19" s="42" t="s">
        <v>21</v>
      </c>
      <c r="D19" s="43">
        <f>1.02*D18</f>
        <v>31.62</v>
      </c>
      <c r="E19" s="44"/>
      <c r="F19" s="59"/>
      <c r="G19" s="59"/>
      <c r="H19" s="59">
        <v>12644.5</v>
      </c>
      <c r="I19" s="59">
        <f>ROUND(H19*D19,2)</f>
        <v>399819.09</v>
      </c>
      <c r="J19" s="59">
        <f>ROUND(I19*1.2,2)</f>
        <v>479782.91</v>
      </c>
      <c r="K19" s="61">
        <f t="shared" si="2"/>
        <v>399819.09</v>
      </c>
      <c r="L19" s="59">
        <f t="shared" si="3"/>
        <v>479782.91</v>
      </c>
      <c r="M19" s="62"/>
    </row>
    <row r="20" spans="1:13" ht="34.5" customHeight="1" x14ac:dyDescent="0.25">
      <c r="A20" s="109">
        <f>A18+1</f>
        <v>7</v>
      </c>
      <c r="B20" s="110" t="s">
        <v>158</v>
      </c>
      <c r="C20" s="109" t="s">
        <v>21</v>
      </c>
      <c r="D20" s="111">
        <v>6</v>
      </c>
      <c r="E20" s="113">
        <v>6444.8</v>
      </c>
      <c r="F20" s="112">
        <f>ROUND(E20*D20,2)</f>
        <v>38668.800000000003</v>
      </c>
      <c r="G20" s="112">
        <f>ROUND(F20*1.2,2)</f>
        <v>46402.559999999998</v>
      </c>
      <c r="H20" s="116"/>
      <c r="I20" s="112"/>
      <c r="J20" s="112"/>
      <c r="K20" s="114">
        <f t="shared" ref="K20:L24" si="4">F20+I20</f>
        <v>38668.800000000003</v>
      </c>
      <c r="L20" s="112">
        <f t="shared" si="4"/>
        <v>46402.559999999998</v>
      </c>
    </row>
    <row r="21" spans="1:13" ht="21.75" customHeight="1" x14ac:dyDescent="0.25">
      <c r="A21" s="40" t="s">
        <v>31</v>
      </c>
      <c r="B21" s="41" t="s">
        <v>159</v>
      </c>
      <c r="C21" s="42" t="s">
        <v>21</v>
      </c>
      <c r="D21" s="43">
        <f>1.02*D20</f>
        <v>6.12</v>
      </c>
      <c r="E21" s="44"/>
      <c r="F21" s="59"/>
      <c r="G21" s="59"/>
      <c r="H21" s="59">
        <v>10554.5</v>
      </c>
      <c r="I21" s="59">
        <f>ROUND(H21*D21,2)</f>
        <v>64593.54</v>
      </c>
      <c r="J21" s="59">
        <f>ROUND(I21*1.2,2)</f>
        <v>77512.25</v>
      </c>
      <c r="K21" s="61">
        <f t="shared" si="4"/>
        <v>64593.54</v>
      </c>
      <c r="L21" s="59">
        <f t="shared" si="4"/>
        <v>77512.25</v>
      </c>
      <c r="M21" s="56"/>
    </row>
    <row r="22" spans="1:13" ht="33" customHeight="1" x14ac:dyDescent="0.25">
      <c r="A22" s="103">
        <f>A20+1</f>
        <v>8</v>
      </c>
      <c r="B22" s="104" t="s">
        <v>161</v>
      </c>
      <c r="C22" s="103" t="s">
        <v>21</v>
      </c>
      <c r="D22" s="105">
        <v>6</v>
      </c>
      <c r="E22" s="107">
        <f>E18*1.3</f>
        <v>3446.8849999999998</v>
      </c>
      <c r="F22" s="106">
        <f>ROUND(E22*D22,2)</f>
        <v>20681.310000000001</v>
      </c>
      <c r="G22" s="106">
        <f>ROUND(F22*1.2,2)</f>
        <v>24817.57</v>
      </c>
      <c r="H22" s="121"/>
      <c r="I22" s="106"/>
      <c r="J22" s="106"/>
      <c r="K22" s="108">
        <f t="shared" si="4"/>
        <v>20681.310000000001</v>
      </c>
      <c r="L22" s="106">
        <f t="shared" si="4"/>
        <v>24817.57</v>
      </c>
      <c r="M22" s="62"/>
    </row>
    <row r="23" spans="1:13" ht="24.75" customHeight="1" x14ac:dyDescent="0.25">
      <c r="A23" s="40" t="s">
        <v>32</v>
      </c>
      <c r="B23" s="41" t="s">
        <v>156</v>
      </c>
      <c r="C23" s="42" t="s">
        <v>21</v>
      </c>
      <c r="D23" s="43">
        <f>1.02*6.91</f>
        <v>7.0482000000000005</v>
      </c>
      <c r="E23" s="44"/>
      <c r="F23" s="59"/>
      <c r="G23" s="59"/>
      <c r="H23" s="59">
        <v>12644.5</v>
      </c>
      <c r="I23" s="59">
        <f>ROUND(H23*D23,2)</f>
        <v>89120.960000000006</v>
      </c>
      <c r="J23" s="59">
        <f>ROUND(I23*1.2,2)</f>
        <v>106945.15</v>
      </c>
      <c r="K23" s="61">
        <f t="shared" si="4"/>
        <v>89120.960000000006</v>
      </c>
      <c r="L23" s="59">
        <f t="shared" si="4"/>
        <v>106945.15</v>
      </c>
      <c r="M23" s="62"/>
    </row>
    <row r="24" spans="1:13" ht="24.75" customHeight="1" x14ac:dyDescent="0.25">
      <c r="A24" s="40" t="s">
        <v>163</v>
      </c>
      <c r="B24" s="41" t="s">
        <v>160</v>
      </c>
      <c r="C24" s="42" t="s">
        <v>42</v>
      </c>
      <c r="D24" s="63">
        <v>2</v>
      </c>
      <c r="E24" s="44"/>
      <c r="F24" s="59"/>
      <c r="G24" s="59"/>
      <c r="H24" s="177">
        <v>3016</v>
      </c>
      <c r="I24" s="59">
        <f>ROUND(H24*D24,2)</f>
        <v>6032</v>
      </c>
      <c r="J24" s="59">
        <f>ROUND(I24*1.2,2)</f>
        <v>7238.4</v>
      </c>
      <c r="K24" s="61">
        <f t="shared" si="4"/>
        <v>6032</v>
      </c>
      <c r="L24" s="59">
        <f t="shared" si="4"/>
        <v>7238.4</v>
      </c>
    </row>
    <row r="25" spans="1:13" ht="24.75" customHeight="1" x14ac:dyDescent="0.25">
      <c r="A25" s="174">
        <f>A22+1</f>
        <v>9</v>
      </c>
      <c r="B25" s="175" t="s">
        <v>162</v>
      </c>
      <c r="C25" s="103" t="s">
        <v>42</v>
      </c>
      <c r="D25" s="176">
        <v>1</v>
      </c>
      <c r="E25" s="106">
        <v>6060.29</v>
      </c>
      <c r="F25" s="106">
        <f>ROUND(E25*D25,2)</f>
        <v>6060.29</v>
      </c>
      <c r="G25" s="106">
        <f>ROUND(F25*1.2,2)</f>
        <v>7272.35</v>
      </c>
      <c r="H25" s="121"/>
      <c r="I25" s="106"/>
      <c r="J25" s="106"/>
      <c r="K25" s="108">
        <f t="shared" ref="K25" si="5">F25+I25</f>
        <v>6060.29</v>
      </c>
      <c r="L25" s="106">
        <f t="shared" ref="L25" si="6">G25+J25</f>
        <v>7272.35</v>
      </c>
    </row>
    <row r="26" spans="1:13" s="78" customFormat="1" ht="23.25" customHeight="1" x14ac:dyDescent="0.3">
      <c r="A26" s="156" t="s">
        <v>56</v>
      </c>
      <c r="B26" s="157"/>
      <c r="C26" s="157"/>
      <c r="D26" s="157"/>
      <c r="E26" s="158"/>
      <c r="F26" s="88">
        <f>SUM(F7:F25)</f>
        <v>373760.87999999995</v>
      </c>
      <c r="G26" s="88">
        <f>ROUND(F26*1.2,2)</f>
        <v>448513.06</v>
      </c>
      <c r="H26" s="89"/>
      <c r="I26" s="88">
        <f>SUM(I7:I25)</f>
        <v>682746.01</v>
      </c>
      <c r="J26" s="88">
        <f t="shared" ref="J26" si="7">ROUND(I26*1.2,2)</f>
        <v>819295.21</v>
      </c>
      <c r="K26" s="88">
        <f>SUM(K7:K25)</f>
        <v>1056506.8900000001</v>
      </c>
      <c r="L26" s="88">
        <f>ROUND(K26*1.2,2)</f>
        <v>1267808.27</v>
      </c>
    </row>
  </sheetData>
  <mergeCells count="10">
    <mergeCell ref="A26:E26"/>
    <mergeCell ref="B6:D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Свод НВК5</vt:lpstr>
      <vt:lpstr>К16А дождеп</vt:lpstr>
      <vt:lpstr>К15-К17</vt:lpstr>
      <vt:lpstr>Кл1,2,3</vt:lpstr>
      <vt:lpstr>К26-27</vt:lpstr>
      <vt:lpstr>'К15-К17'!Область_печати</vt:lpstr>
      <vt:lpstr>'К16А дождеп'!Область_печати</vt:lpstr>
      <vt:lpstr>'К26-27'!Область_печати</vt:lpstr>
      <vt:lpstr>'Кл1,2,3'!Область_печати</vt:lpstr>
      <vt:lpstr>'Свод НВК5'!Область_печати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2024-06-05T11:48:07Z</dcterms:created>
  <dcterms:modified xsi:type="dcterms:W3CDTF">2024-10-09T09:32:16Z</dcterms:modified>
</cp:coreProperties>
</file>