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Коммерция\ВДЦ\"/>
    </mc:Choice>
  </mc:AlternateContent>
  <xr:revisionPtr revIDLastSave="0" documentId="13_ncr:1_{C077C063-6454-48AE-B7BD-828E58F36A9A}" xr6:coauthVersionLast="47" xr6:coauthVersionMax="47" xr10:uidLastSave="{00000000-0000-0000-0000-000000000000}"/>
  <bookViews>
    <workbookView xWindow="-120" yWindow="-120" windowWidth="51840" windowHeight="21240" activeTab="5" xr2:uid="{00000000-000D-0000-FFFF-FFFF00000000}"/>
  </bookViews>
  <sheets>
    <sheet name="Договора ЭЭ" sheetId="6" r:id="rId1"/>
    <sheet name="реестры кс-2" sheetId="5" r:id="rId2"/>
    <sheet name="реестр ССР2-2" sheetId="4" r:id="rId3"/>
    <sheet name="КиК VS ЭЭ" sheetId="3" r:id="rId4"/>
    <sheet name="Разбивка по договорам ЭЭ" sheetId="7" r:id="rId5"/>
    <sheet name="КиК с заказчиком" sheetId="2" r:id="rId6"/>
    <sheet name="ЭЭ" sheetId="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xlnm._FilterDatabase" localSheetId="1" hidden="1">'реестры кс-2'!$A$2:$M$16</definedName>
    <definedName name="_xlnm._FilterDatabase" localSheetId="6" hidden="1">ЭЭ!$B$1:$D$1</definedName>
    <definedName name="Excel_BuiltIn__FilterDatabase_4" localSheetId="1">#REF!</definedName>
    <definedName name="Excel_BuiltIn__FilterDatabase_4">#REF!</definedName>
    <definedName name="Excel_BuiltIn_Print_Area" localSheetId="1">#REF!</definedName>
    <definedName name="Excel_BuiltIn_Print_Area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>#REF!</definedName>
    <definedName name="конкр150" localSheetId="1">'[2]исх дан'!#REF!</definedName>
    <definedName name="конкр150">'[2]исх дан'!#REF!</definedName>
    <definedName name="конкр230" localSheetId="1">'[2]исх дан'!#REF!</definedName>
    <definedName name="конкр230">'[2]исх дан'!#REF!</definedName>
    <definedName name="конкр240" localSheetId="1">'[2]исх дан'!#REF!</definedName>
    <definedName name="конкр24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'реестр ССР2-2'!$A$1:$M$49</definedName>
    <definedName name="_xlnm.Print_Area" localSheetId="1">'реестры кс-2'!$A$1:$J$33</definedName>
    <definedName name="ООС" localSheetId="1">#REF!,#REF!</definedName>
    <definedName name="ООС">#REF!,#REF!</definedName>
    <definedName name="от_БИРЖЕВОГО" localSheetId="1">'[2]исх дан'!#REF!</definedName>
    <definedName name="от_БИРЖЕВОГО">'[2]исх дан'!#REF!</definedName>
    <definedName name="ПВ" localSheetId="1">'[2]исх дан'!#REF!</definedName>
    <definedName name="ПВ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 localSheetId="1">[5]Кабель!$A$137:$A$419,#REF!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3" l="1"/>
  <c r="E41" i="7"/>
  <c r="F40" i="7"/>
  <c r="F45" i="7"/>
  <c r="F42" i="7"/>
  <c r="E45" i="2" l="1"/>
  <c r="F36" i="7"/>
  <c r="F32" i="7"/>
  <c r="F37" i="7" s="1"/>
  <c r="J24" i="7"/>
  <c r="F22" i="7"/>
  <c r="G21" i="7"/>
  <c r="G20" i="7"/>
  <c r="G19" i="7"/>
  <c r="G22" i="7" s="1"/>
  <c r="G17" i="7"/>
  <c r="G15" i="7"/>
  <c r="G13" i="7"/>
  <c r="G24" i="7" s="1"/>
  <c r="F13" i="7"/>
  <c r="G12" i="7"/>
  <c r="G11" i="7"/>
  <c r="G10" i="7"/>
  <c r="G9" i="7"/>
  <c r="G8" i="7"/>
  <c r="G7" i="7"/>
  <c r="G6" i="7"/>
  <c r="G10" i="6"/>
  <c r="H27" i="7" l="1"/>
  <c r="J2" i="3" l="1"/>
  <c r="H2" i="3"/>
  <c r="H29" i="3" l="1"/>
  <c r="H6" i="3" l="1"/>
  <c r="H7" i="3" l="1"/>
  <c r="G7" i="3"/>
  <c r="H20" i="3" l="1"/>
  <c r="H21" i="3" l="1"/>
  <c r="H16" i="3" l="1"/>
  <c r="H12" i="3" l="1"/>
  <c r="G12" i="3"/>
  <c r="H14" i="3" l="1"/>
  <c r="H11" i="3" l="1"/>
  <c r="H10" i="3" l="1"/>
  <c r="H5" i="3" l="1"/>
  <c r="H30" i="3"/>
  <c r="H28" i="3" l="1"/>
  <c r="E13" i="3" l="1"/>
  <c r="H13" i="3"/>
  <c r="H8" i="3"/>
  <c r="H9" i="3" l="1"/>
  <c r="H27" i="3" l="1"/>
  <c r="H26" i="3" l="1"/>
  <c r="H25" i="3" l="1"/>
  <c r="H24" i="3" l="1"/>
  <c r="H23" i="3" l="1"/>
  <c r="H19" i="3" l="1"/>
  <c r="H18" i="3" l="1"/>
  <c r="H17" i="3" l="1"/>
  <c r="E20" i="3" l="1"/>
  <c r="E28" i="3"/>
  <c r="F28" i="3" s="1"/>
  <c r="E29" i="3"/>
  <c r="F29" i="3" s="1"/>
  <c r="E27" i="3"/>
  <c r="F27" i="3" s="1"/>
  <c r="E6" i="3"/>
  <c r="E24" i="3"/>
  <c r="F24" i="3" s="1"/>
  <c r="E25" i="3"/>
  <c r="E26" i="3"/>
  <c r="F26" i="3" s="1"/>
  <c r="E23" i="3"/>
  <c r="F23" i="3" s="1"/>
  <c r="E2" i="3"/>
  <c r="E9" i="3"/>
  <c r="F9" i="3" s="1"/>
  <c r="E8" i="3"/>
  <c r="F8" i="3" s="1"/>
  <c r="E21" i="3"/>
  <c r="E17" i="3"/>
  <c r="F17" i="3" s="1"/>
  <c r="E18" i="3"/>
  <c r="F18" i="3" s="1"/>
  <c r="E19" i="3"/>
  <c r="F19" i="3" s="1"/>
  <c r="E16" i="3"/>
  <c r="E11" i="3"/>
  <c r="F11" i="3" s="1"/>
  <c r="E12" i="3"/>
  <c r="E14" i="3"/>
  <c r="E10" i="3"/>
  <c r="F10" i="3" s="1"/>
  <c r="E7" i="3"/>
  <c r="E5" i="3"/>
  <c r="F25" i="3"/>
  <c r="D14" i="3"/>
  <c r="D22" i="3"/>
  <c r="F22" i="3" s="1"/>
  <c r="D21" i="3"/>
  <c r="D20" i="3"/>
  <c r="D16" i="3"/>
  <c r="D15" i="3"/>
  <c r="F15" i="3" s="1"/>
  <c r="D13" i="3"/>
  <c r="F13" i="3" s="1"/>
  <c r="D12" i="3"/>
  <c r="D7" i="3"/>
  <c r="D6" i="3"/>
  <c r="D5" i="3"/>
  <c r="D4" i="3"/>
  <c r="F4" i="3" s="1"/>
  <c r="D3" i="3"/>
  <c r="F3" i="3" s="1"/>
  <c r="D2" i="3"/>
  <c r="G21" i="5"/>
  <c r="J21" i="5" s="1"/>
  <c r="J20" i="5"/>
  <c r="G20" i="5"/>
  <c r="H18" i="5"/>
  <c r="H23" i="5" s="1"/>
  <c r="G18" i="5"/>
  <c r="G23" i="5" s="1"/>
  <c r="F18" i="5"/>
  <c r="F23" i="5" s="1"/>
  <c r="E18" i="5"/>
  <c r="E23" i="5" s="1"/>
  <c r="D18" i="5"/>
  <c r="D23" i="5" s="1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18" i="5" s="1"/>
  <c r="J23" i="5" s="1"/>
  <c r="F6" i="3" l="1"/>
  <c r="F12" i="3"/>
  <c r="F14" i="3"/>
  <c r="F21" i="3"/>
  <c r="F7" i="3"/>
  <c r="F16" i="3"/>
  <c r="F5" i="3"/>
  <c r="F20" i="3"/>
  <c r="M48" i="4"/>
  <c r="J48" i="4"/>
  <c r="M44" i="4"/>
  <c r="H44" i="4"/>
  <c r="J44" i="4" s="1"/>
  <c r="E30" i="3" s="1"/>
  <c r="F30" i="3" s="1"/>
  <c r="G44" i="4"/>
  <c r="F44" i="4"/>
  <c r="E44" i="4"/>
  <c r="D44" i="4"/>
  <c r="H42" i="4"/>
  <c r="G42" i="4"/>
  <c r="F42" i="4"/>
  <c r="E42" i="4"/>
  <c r="D42" i="4"/>
  <c r="M40" i="4"/>
  <c r="J40" i="4"/>
  <c r="M39" i="4"/>
  <c r="J39" i="4"/>
  <c r="M38" i="4"/>
  <c r="J38" i="4"/>
  <c r="M37" i="4"/>
  <c r="J37" i="4"/>
  <c r="M36" i="4"/>
  <c r="J36" i="4"/>
  <c r="M35" i="4"/>
  <c r="J35" i="4"/>
  <c r="M34" i="4"/>
  <c r="J34" i="4"/>
  <c r="M33" i="4"/>
  <c r="J33" i="4"/>
  <c r="M32" i="4"/>
  <c r="J32" i="4"/>
  <c r="M31" i="4"/>
  <c r="J31" i="4"/>
  <c r="M30" i="4"/>
  <c r="J30" i="4"/>
  <c r="M29" i="4"/>
  <c r="J29" i="4"/>
  <c r="M28" i="4"/>
  <c r="J28" i="4"/>
  <c r="M27" i="4"/>
  <c r="J27" i="4"/>
  <c r="M26" i="4"/>
  <c r="J26" i="4"/>
  <c r="K25" i="4"/>
  <c r="K42" i="4" s="1"/>
  <c r="J25" i="4"/>
  <c r="M24" i="4"/>
  <c r="J24" i="4"/>
  <c r="M23" i="4"/>
  <c r="J23" i="4"/>
  <c r="M22" i="4"/>
  <c r="J22" i="4"/>
  <c r="M21" i="4"/>
  <c r="J21" i="4"/>
  <c r="M20" i="4"/>
  <c r="J20" i="4"/>
  <c r="M19" i="4"/>
  <c r="J19" i="4"/>
  <c r="M18" i="4"/>
  <c r="J18" i="4"/>
  <c r="M17" i="4"/>
  <c r="J17" i="4"/>
  <c r="M16" i="4"/>
  <c r="J16" i="4"/>
  <c r="M15" i="4"/>
  <c r="J15" i="4"/>
  <c r="M14" i="4"/>
  <c r="J14" i="4"/>
  <c r="M13" i="4"/>
  <c r="J13" i="4"/>
  <c r="M12" i="4"/>
  <c r="J12" i="4"/>
  <c r="J42" i="4" s="1"/>
  <c r="M25" i="4" l="1"/>
  <c r="M42" i="4" s="1"/>
  <c r="I3" i="3" l="1"/>
  <c r="I4" i="3"/>
  <c r="I5" i="3"/>
  <c r="J5" i="3" s="1"/>
  <c r="I6" i="3"/>
  <c r="J6" i="3" s="1"/>
  <c r="I7" i="3"/>
  <c r="J7" i="3" s="1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5" i="3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J30" i="3" s="1"/>
  <c r="I2" i="3"/>
  <c r="E31" i="3"/>
  <c r="G31" i="3"/>
  <c r="H31" i="3"/>
  <c r="D31" i="3"/>
  <c r="F2" i="3"/>
  <c r="J31" i="3" l="1"/>
  <c r="F31" i="3"/>
  <c r="I31" i="3"/>
  <c r="E41" i="2"/>
  <c r="D45" i="2" s="1"/>
  <c r="D41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41" i="2" s="1"/>
  <c r="F45" i="2" s="1"/>
  <c r="F9" i="2"/>
  <c r="F8" i="2"/>
  <c r="F7" i="2"/>
  <c r="F6" i="2"/>
  <c r="D27" i="1"/>
</calcChain>
</file>

<file path=xl/sharedStrings.xml><?xml version="1.0" encoding="utf-8"?>
<sst xmlns="http://schemas.openxmlformats.org/spreadsheetml/2006/main" count="375" uniqueCount="177">
  <si>
    <t>Временный водопровод 121 по согл ВОР_417 путь</t>
  </si>
  <si>
    <t>ГСН по согл ВОР_417 путь Мытищи</t>
  </si>
  <si>
    <t>АС1 по согл ВОР_417 путь Мытищи</t>
  </si>
  <si>
    <t>Демонтаж ламп 121+75  по согл ВОР_417</t>
  </si>
  <si>
    <t>КС по согл ВОР_417 путь</t>
  </si>
  <si>
    <t>НВК2 по согл ВОР_417 путь Мытищи</t>
  </si>
  <si>
    <t>НВК3 по согл ВОР_417 путь</t>
  </si>
  <si>
    <t>НВК5 по согл ВОР_417 путь</t>
  </si>
  <si>
    <t>ПЖ по согл ВОР_417 путь</t>
  </si>
  <si>
    <t>ТС2 по согл ВОР_417 путь</t>
  </si>
  <si>
    <t>ТС3 по согл ВОР_417 путь Мытищи</t>
  </si>
  <si>
    <t>Устройство ограждения вдоль обкаточного пути  по согл ВОР_417 путь</t>
  </si>
  <si>
    <t>ЭС1 по согл ВОР_417 путь Мытищи</t>
  </si>
  <si>
    <t>ЭС2 по согл ВОР_417 путь Мытищи</t>
  </si>
  <si>
    <t>№ п/п</t>
  </si>
  <si>
    <t>Наименование работ</t>
  </si>
  <si>
    <t>Сумма</t>
  </si>
  <si>
    <t>ТС1</t>
  </si>
  <si>
    <t>ГП1</t>
  </si>
  <si>
    <t>ГП2</t>
  </si>
  <si>
    <t>АС4</t>
  </si>
  <si>
    <t>Временный переезд возле 417</t>
  </si>
  <si>
    <t>Удлинение подпорной стенки трансбордера (ПС-2)</t>
  </si>
  <si>
    <t>Вырубка кустарников</t>
  </si>
  <si>
    <t>НВК4</t>
  </si>
  <si>
    <t>АС2 (колодцы ВК1-ВК2)</t>
  </si>
  <si>
    <t>Смещение фундаментов под трансбордер (АС1)</t>
  </si>
  <si>
    <t>Узел подпорной стены по коллектору (АС2)</t>
  </si>
  <si>
    <t>№</t>
  </si>
  <si>
    <t>№ СМЕТЫ</t>
  </si>
  <si>
    <t>Наименование сметы</t>
  </si>
  <si>
    <t>уже закрыто</t>
  </si>
  <si>
    <t>последняя кс-2</t>
  </si>
  <si>
    <t>Итого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</si>
  <si>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</si>
  <si>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</si>
  <si>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</si>
  <si>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</si>
  <si>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 xml:space="preserve"> 01-01-03</t>
  </si>
  <si>
    <t>Демонтаж сетей и систем  инженерного обеспечения</t>
  </si>
  <si>
    <t>02-01-01 изм.1</t>
  </si>
  <si>
    <t>Верхнее строение пути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</si>
  <si>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</si>
  <si>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</si>
  <si>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</si>
  <si>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</si>
  <si>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</si>
  <si>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</si>
  <si>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</si>
  <si>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</si>
  <si>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</si>
  <si>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</si>
  <si>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</si>
  <si>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</si>
  <si>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</si>
  <si>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</si>
  <si>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</si>
  <si>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</si>
  <si>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</si>
  <si>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Теплоснабжение.ТС1. Переустройство трубопровода</t>
  </si>
  <si>
    <t>Трубопровод ливневых сточных вод от трансбордера. НВК1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</si>
  <si>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</si>
  <si>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</si>
  <si>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</si>
  <si>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</si>
  <si>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</si>
  <si>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</si>
  <si>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</si>
  <si>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</si>
  <si>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 xml:space="preserve"> 07-01-01 изм.1</t>
  </si>
  <si>
    <t>Генеральный план. Трансбордер. ГП1</t>
  </si>
  <si>
    <t>07-01-02 изм.1</t>
  </si>
  <si>
    <t>Генеральный план 131-23 ГП2</t>
  </si>
  <si>
    <t>02-02-01</t>
  </si>
  <si>
    <t>Восстановительные работы цеха №121/18. АС 3.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</si>
  <si>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</si>
  <si>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</si>
  <si>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</si>
  <si>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</si>
  <si>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</si>
  <si>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</si>
  <si>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</si>
  <si>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</si>
  <si>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</si>
  <si>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</si>
  <si>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</si>
  <si>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</si>
  <si>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</si>
  <si>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</si>
  <si>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</si>
  <si>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</si>
  <si>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</si>
  <si>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</si>
  <si>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</si>
  <si>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</si>
  <si>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</si>
  <si>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</si>
  <si>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</si>
  <si>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</si>
  <si>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ИТОГО</t>
  </si>
  <si>
    <t>Повторная выправка железнодорожных путей №30,31,32,34,36,1,2</t>
  </si>
  <si>
    <t>Демонтаж сетей и систем  инженерного обеспечения.</t>
  </si>
  <si>
    <t>Теплоснабжение. Переустройство трубопровода.ТС1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</si>
  <si>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</si>
  <si>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</si>
  <si>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</si>
  <si>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</si>
  <si>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</si>
  <si>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</si>
  <si>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</si>
  <si>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</si>
  <si>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2023г, ДС№11 от 01.08.2024г.)</t>
  </si>
  <si>
    <t>кс3 №6 от 20.08.2024г.</t>
  </si>
  <si>
    <t>остаток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</si>
  <si>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</si>
  <si>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</si>
  <si>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</si>
  <si>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</si>
  <si>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</si>
  <si>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</si>
  <si>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</si>
  <si>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Первоначальная смета по ПЖ, объемы сняты по ИД</t>
  </si>
  <si>
    <t>02-01-01</t>
  </si>
  <si>
    <t>07-01-01</t>
  </si>
  <si>
    <t xml:space="preserve">02-03-01 </t>
  </si>
  <si>
    <t>02-03-02</t>
  </si>
  <si>
    <t>06-02-02</t>
  </si>
  <si>
    <t>07-01-02</t>
  </si>
  <si>
    <t>06-02-03</t>
  </si>
  <si>
    <t>06-02-01</t>
  </si>
  <si>
    <t>06-03-01</t>
  </si>
  <si>
    <t>06-03-02</t>
  </si>
  <si>
    <t>1</t>
  </si>
  <si>
    <t>Демонтаж жб конструкций мазутопровода АО "МВМ"</t>
  </si>
  <si>
    <t>2</t>
  </si>
  <si>
    <t>Перекладка теплотрассы в районе здания УГТ</t>
  </si>
  <si>
    <t>Архитектурно-строительные решения. Эстакада для АС 4</t>
  </si>
  <si>
    <t>VS</t>
  </si>
  <si>
    <t>Устройство ограждения.АС1 (Титул 132-23)</t>
  </si>
  <si>
    <t>!!! Поясню</t>
  </si>
  <si>
    <t>Номер договора</t>
  </si>
  <si>
    <t>МВМ/03-07-СП3 от 04.08.2023</t>
  </si>
  <si>
    <t>МВМ/03-07-СП4 от 04.08.2023</t>
  </si>
  <si>
    <t>МВМ/03-07-СП5 от 04.08.2023</t>
  </si>
  <si>
    <t>МВМ/03-07-СП6 от 04.08.2023</t>
  </si>
  <si>
    <t>Наименование</t>
  </si>
  <si>
    <t>сумма без НДС</t>
  </si>
  <si>
    <t>сумма с НДС</t>
  </si>
  <si>
    <t>ПЖ</t>
  </si>
  <si>
    <t>Переустройство сетей под 417 путь</t>
  </si>
  <si>
    <t>Трансбордер</t>
  </si>
  <si>
    <t>ГСН</t>
  </si>
  <si>
    <t>Эстакада (АС4)</t>
  </si>
  <si>
    <t>ТС2</t>
  </si>
  <si>
    <t>ТС3</t>
  </si>
  <si>
    <t>ИТОГО СП 3</t>
  </si>
  <si>
    <t>Коммуникации путь 417</t>
  </si>
  <si>
    <t>417 путь</t>
  </si>
  <si>
    <t xml:space="preserve">Выполнение работ по ликвидации объектов по трассе ж.д. путей, подготовке трассы ж.д. путей. </t>
  </si>
  <si>
    <t>ИТОГО СП 6</t>
  </si>
  <si>
    <t>сумма КС-2</t>
  </si>
  <si>
    <t>КС-2 №1 от 20.11.2023</t>
  </si>
  <si>
    <t>КС-2 №2 от 07.12.2023</t>
  </si>
  <si>
    <t>КС-2 №3 от 29.12.2023</t>
  </si>
  <si>
    <t>КС-2 №4 от 20.03.2024</t>
  </si>
  <si>
    <t>КС-2 №2 от 22.01.2024</t>
  </si>
  <si>
    <t>Всего закрыто</t>
  </si>
  <si>
    <t>СП4</t>
  </si>
  <si>
    <t>СП3</t>
  </si>
  <si>
    <t>СП5</t>
  </si>
  <si>
    <t>№ ДС</t>
  </si>
  <si>
    <t>не было</t>
  </si>
  <si>
    <t>СП3+СП5</t>
  </si>
  <si>
    <t>не было или впихать в СП4</t>
  </si>
  <si>
    <t>не было или впихать в СП3</t>
  </si>
  <si>
    <t>не было или впихать в СП3 или СП5</t>
  </si>
  <si>
    <t>не было, другой титул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</si>
</sst>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>
      <alignment vertical="top"/>
    </xf>
    <xf numFmtId="0" fontId="2" fillId="0" borderId="0"/>
    <xf numFmtId="0" fontId="4" fillId="0" borderId="0"/>
    <xf numFmtId="0" fontId="7" fillId="0" borderId="0"/>
    <xf numFmtId="0" fontId="3" fillId="0" borderId="0"/>
    <xf numFmtId="0" fontId="4" fillId="0" borderId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/>
  </cellStyleXfs>
  <cellXfs count="18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2" borderId="1" xfId="0" applyFill="1" applyBorder="1"/>
    <xf numFmtId="0" fontId="5" fillId="0" borderId="0" xfId="3" applyFont="1" applyAlignment="1">
      <alignment horizontal="center"/>
    </xf>
    <xf numFmtId="0" fontId="5" fillId="0" borderId="0" xfId="3" applyFont="1" applyAlignment="1">
      <alignment horizontal="center" wrapText="1"/>
    </xf>
    <xf numFmtId="0" fontId="6" fillId="0" borderId="2" xfId="3" applyFont="1" applyBorder="1" applyAlignment="1">
      <alignment horizontal="center"/>
    </xf>
    <xf numFmtId="0" fontId="7" fillId="0" borderId="0" xfId="4"/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left" vertical="center" wrapText="1"/>
    </xf>
    <xf numFmtId="4" fontId="8" fillId="0" borderId="1" xfId="5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 wrapText="1"/>
    </xf>
    <xf numFmtId="4" fontId="5" fillId="0" borderId="1" xfId="5" applyNumberFormat="1" applyFont="1" applyBorder="1" applyAlignment="1">
      <alignment horizontal="center" vertical="center" wrapText="1"/>
    </xf>
    <xf numFmtId="0" fontId="9" fillId="0" borderId="0" xfId="4" applyFont="1"/>
    <xf numFmtId="14" fontId="5" fillId="0" borderId="1" xfId="5" applyNumberFormat="1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vertical="center" wrapText="1"/>
    </xf>
    <xf numFmtId="49" fontId="5" fillId="0" borderId="1" xfId="5" applyNumberFormat="1" applyFont="1" applyBorder="1" applyAlignment="1">
      <alignment horizontal="center" vertical="center"/>
    </xf>
    <xf numFmtId="0" fontId="8" fillId="0" borderId="1" xfId="5" applyFont="1" applyBorder="1" applyAlignment="1">
      <alignment vertical="center" wrapText="1"/>
    </xf>
    <xf numFmtId="4" fontId="8" fillId="3" borderId="1" xfId="5" applyNumberFormat="1" applyFont="1" applyFill="1" applyBorder="1" applyAlignment="1">
      <alignment horizontal="center" vertical="center" wrapText="1"/>
    </xf>
    <xf numFmtId="49" fontId="8" fillId="0" borderId="1" xfId="5" applyNumberFormat="1" applyFont="1" applyBorder="1" applyAlignment="1">
      <alignment horizontal="center" vertical="center"/>
    </xf>
    <xf numFmtId="4" fontId="11" fillId="0" borderId="1" xfId="5" applyNumberFormat="1" applyFont="1" applyBorder="1" applyAlignment="1">
      <alignment horizontal="center" vertical="center"/>
    </xf>
    <xf numFmtId="0" fontId="5" fillId="0" borderId="1" xfId="5" applyFont="1" applyBorder="1"/>
    <xf numFmtId="0" fontId="5" fillId="0" borderId="1" xfId="5" applyFont="1" applyBorder="1" applyAlignment="1">
      <alignment wrapText="1"/>
    </xf>
    <xf numFmtId="4" fontId="12" fillId="4" borderId="1" xfId="5" applyNumberFormat="1" applyFont="1" applyFill="1" applyBorder="1" applyAlignment="1">
      <alignment horizontal="center" vertical="center"/>
    </xf>
    <xf numFmtId="0" fontId="8" fillId="0" borderId="1" xfId="4" applyFont="1" applyBorder="1"/>
    <xf numFmtId="0" fontId="8" fillId="0" borderId="1" xfId="4" applyFont="1" applyBorder="1" applyAlignment="1">
      <alignment wrapText="1"/>
    </xf>
    <xf numFmtId="0" fontId="8" fillId="0" borderId="0" xfId="4" applyFont="1"/>
    <xf numFmtId="0" fontId="8" fillId="0" borderId="0" xfId="4" applyFont="1" applyAlignment="1">
      <alignment wrapText="1"/>
    </xf>
    <xf numFmtId="4" fontId="8" fillId="0" borderId="0" xfId="4" applyNumberFormat="1" applyFont="1"/>
    <xf numFmtId="4" fontId="8" fillId="0" borderId="0" xfId="4" applyNumberFormat="1" applyFont="1" applyAlignment="1">
      <alignment horizontal="center" vertical="center"/>
    </xf>
    <xf numFmtId="0" fontId="7" fillId="0" borderId="0" xfId="4" applyAlignment="1">
      <alignment wrapText="1"/>
    </xf>
    <xf numFmtId="2" fontId="7" fillId="0" borderId="0" xfId="4" applyNumberFormat="1"/>
    <xf numFmtId="0" fontId="5" fillId="0" borderId="1" xfId="5" applyFont="1" applyBorder="1" applyAlignment="1">
      <alignment horizontal="center" vertical="center" wrapText="1"/>
    </xf>
    <xf numFmtId="4" fontId="6" fillId="5" borderId="1" xfId="5" applyNumberFormat="1" applyFont="1" applyFill="1" applyBorder="1" applyAlignment="1">
      <alignment horizontal="center" vertical="center" wrapText="1"/>
    </xf>
    <xf numFmtId="4" fontId="6" fillId="6" borderId="1" xfId="5" applyNumberFormat="1" applyFont="1" applyFill="1" applyBorder="1" applyAlignment="1">
      <alignment horizontal="center" vertical="center" wrapText="1"/>
    </xf>
    <xf numFmtId="4" fontId="7" fillId="0" borderId="0" xfId="4" applyNumberFormat="1"/>
    <xf numFmtId="4" fontId="8" fillId="5" borderId="1" xfId="5" applyNumberFormat="1" applyFont="1" applyFill="1" applyBorder="1" applyAlignment="1">
      <alignment horizontal="right" vertical="center" wrapText="1"/>
    </xf>
    <xf numFmtId="4" fontId="8" fillId="6" borderId="1" xfId="5" applyNumberFormat="1" applyFont="1" applyFill="1" applyBorder="1" applyAlignment="1">
      <alignment horizontal="right" vertical="center" wrapText="1"/>
    </xf>
    <xf numFmtId="4" fontId="5" fillId="5" borderId="1" xfId="5" applyNumberFormat="1" applyFont="1" applyFill="1" applyBorder="1" applyAlignment="1">
      <alignment horizontal="right" vertical="center" wrapText="1"/>
    </xf>
    <xf numFmtId="4" fontId="5" fillId="6" borderId="1" xfId="5" applyNumberFormat="1" applyFont="1" applyFill="1" applyBorder="1" applyAlignment="1">
      <alignment horizontal="right" vertical="center" wrapText="1"/>
    </xf>
    <xf numFmtId="4" fontId="12" fillId="4" borderId="1" xfId="5" applyNumberFormat="1" applyFont="1" applyFill="1" applyBorder="1" applyAlignment="1">
      <alignment horizontal="right" vertical="center"/>
    </xf>
    <xf numFmtId="0" fontId="7" fillId="0" borderId="0" xfId="4" applyAlignment="1">
      <alignment vertical="center"/>
    </xf>
    <xf numFmtId="0" fontId="9" fillId="0" borderId="0" xfId="4" applyFont="1" applyAlignment="1">
      <alignment vertical="center"/>
    </xf>
    <xf numFmtId="0" fontId="5" fillId="0" borderId="1" xfId="5" applyFont="1" applyBorder="1" applyAlignment="1">
      <alignment vertical="center"/>
    </xf>
    <xf numFmtId="0" fontId="7" fillId="0" borderId="0" xfId="4" applyAlignment="1">
      <alignment vertical="center" wrapText="1"/>
    </xf>
    <xf numFmtId="4" fontId="7" fillId="0" borderId="0" xfId="4" applyNumberFormat="1" applyAlignment="1">
      <alignment horizontal="right" vertical="center"/>
    </xf>
    <xf numFmtId="0" fontId="8" fillId="7" borderId="1" xfId="5" applyFont="1" applyFill="1" applyBorder="1" applyAlignment="1">
      <alignment horizontal="center" vertical="center"/>
    </xf>
    <xf numFmtId="0" fontId="5" fillId="0" borderId="0" xfId="5" applyFont="1"/>
    <xf numFmtId="0" fontId="11" fillId="0" borderId="0" xfId="6" applyFont="1" applyAlignment="1">
      <alignment vertical="center"/>
    </xf>
    <xf numFmtId="0" fontId="5" fillId="0" borderId="0" xfId="6" applyFont="1" applyAlignment="1">
      <alignment horizontal="left" wrapText="1"/>
    </xf>
    <xf numFmtId="0" fontId="8" fillId="0" borderId="0" xfId="6" applyFont="1" applyAlignment="1">
      <alignment vertical="top"/>
    </xf>
    <xf numFmtId="0" fontId="8" fillId="0" borderId="0" xfId="6" applyFont="1" applyAlignment="1">
      <alignment horizontal="center" vertical="top"/>
    </xf>
    <xf numFmtId="0" fontId="11" fillId="0" borderId="0" xfId="6" applyFont="1" applyAlignment="1">
      <alignment vertical="center" wrapText="1"/>
    </xf>
    <xf numFmtId="0" fontId="5" fillId="0" borderId="0" xfId="6" applyFont="1" applyAlignment="1">
      <alignment horizontal="left" vertical="center" wrapText="1"/>
    </xf>
    <xf numFmtId="0" fontId="5" fillId="0" borderId="0" xfId="3" applyFont="1"/>
    <xf numFmtId="0" fontId="11" fillId="0" borderId="0" xfId="6" applyFont="1" applyAlignment="1">
      <alignment horizontal="center" vertical="center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0" fontId="13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left" vertical="center"/>
    </xf>
    <xf numFmtId="4" fontId="8" fillId="0" borderId="1" xfId="5" applyNumberFormat="1" applyFont="1" applyBorder="1" applyAlignment="1">
      <alignment horizontal="center" vertical="center"/>
    </xf>
    <xf numFmtId="165" fontId="8" fillId="0" borderId="1" xfId="5" applyNumberFormat="1" applyFont="1" applyBorder="1" applyAlignment="1">
      <alignment horizontal="center" vertical="center"/>
    </xf>
    <xf numFmtId="4" fontId="8" fillId="2" borderId="1" xfId="5" applyNumberFormat="1" applyFont="1" applyFill="1" applyBorder="1" applyAlignment="1">
      <alignment horizontal="center" vertical="center" wrapText="1"/>
    </xf>
    <xf numFmtId="165" fontId="8" fillId="2" borderId="1" xfId="5" applyNumberFormat="1" applyFont="1" applyFill="1" applyBorder="1" applyAlignment="1">
      <alignment horizontal="center" vertical="center"/>
    </xf>
    <xf numFmtId="4" fontId="5" fillId="0" borderId="1" xfId="5" applyNumberFormat="1" applyFont="1" applyBorder="1" applyAlignment="1">
      <alignment horizontal="center" vertical="center"/>
    </xf>
    <xf numFmtId="165" fontId="5" fillId="0" borderId="1" xfId="5" applyNumberFormat="1" applyFont="1" applyBorder="1" applyAlignment="1">
      <alignment horizontal="center" vertical="center"/>
    </xf>
    <xf numFmtId="165" fontId="5" fillId="2" borderId="1" xfId="5" applyNumberFormat="1" applyFont="1" applyFill="1" applyBorder="1" applyAlignment="1">
      <alignment horizontal="center" vertical="center"/>
    </xf>
    <xf numFmtId="4" fontId="5" fillId="2" borderId="1" xfId="5" applyNumberFormat="1" applyFont="1" applyFill="1" applyBorder="1" applyAlignment="1">
      <alignment horizontal="center" vertical="center" wrapText="1"/>
    </xf>
    <xf numFmtId="4" fontId="10" fillId="0" borderId="1" xfId="5" applyNumberFormat="1" applyFont="1" applyBorder="1" applyAlignment="1">
      <alignment horizontal="center" vertical="center"/>
    </xf>
    <xf numFmtId="4" fontId="10" fillId="0" borderId="1" xfId="5" applyNumberFormat="1" applyFont="1" applyBorder="1" applyAlignment="1">
      <alignment horizontal="center" vertical="center" wrapText="1"/>
    </xf>
    <xf numFmtId="165" fontId="10" fillId="0" borderId="1" xfId="5" applyNumberFormat="1" applyFont="1" applyBorder="1" applyAlignment="1">
      <alignment horizontal="center" vertical="center"/>
    </xf>
    <xf numFmtId="4" fontId="10" fillId="2" borderId="1" xfId="5" applyNumberFormat="1" applyFont="1" applyFill="1" applyBorder="1" applyAlignment="1">
      <alignment horizontal="center" vertical="center" wrapText="1"/>
    </xf>
    <xf numFmtId="165" fontId="10" fillId="2" borderId="1" xfId="5" applyNumberFormat="1" applyFont="1" applyFill="1" applyBorder="1" applyAlignment="1">
      <alignment horizontal="center" vertical="center"/>
    </xf>
    <xf numFmtId="4" fontId="9" fillId="0" borderId="0" xfId="4" applyNumberFormat="1" applyFont="1"/>
    <xf numFmtId="0" fontId="8" fillId="0" borderId="1" xfId="5" applyFont="1" applyBorder="1" applyAlignment="1">
      <alignment vertical="center"/>
    </xf>
    <xf numFmtId="0" fontId="5" fillId="0" borderId="4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49" fontId="8" fillId="0" borderId="4" xfId="5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 wrapText="1"/>
    </xf>
    <xf numFmtId="43" fontId="8" fillId="0" borderId="4" xfId="7" applyFont="1" applyFill="1" applyBorder="1" applyAlignment="1">
      <alignment horizontal="center" vertical="center"/>
    </xf>
    <xf numFmtId="165" fontId="8" fillId="0" borderId="4" xfId="5" applyNumberFormat="1" applyFont="1" applyBorder="1" applyAlignment="1">
      <alignment horizontal="center" vertical="center"/>
    </xf>
    <xf numFmtId="4" fontId="11" fillId="0" borderId="4" xfId="5" applyNumberFormat="1" applyFont="1" applyBorder="1" applyAlignment="1">
      <alignment horizontal="center" vertical="center"/>
    </xf>
    <xf numFmtId="43" fontId="8" fillId="2" borderId="4" xfId="7" applyFont="1" applyFill="1" applyBorder="1" applyAlignment="1">
      <alignment horizontal="center" vertical="center"/>
    </xf>
    <xf numFmtId="165" fontId="8" fillId="2" borderId="4" xfId="5" applyNumberFormat="1" applyFont="1" applyFill="1" applyBorder="1" applyAlignment="1">
      <alignment horizontal="center" vertical="center"/>
    </xf>
    <xf numFmtId="4" fontId="11" fillId="2" borderId="4" xfId="5" applyNumberFormat="1" applyFont="1" applyFill="1" applyBorder="1" applyAlignment="1">
      <alignment horizontal="center" vertical="center"/>
    </xf>
    <xf numFmtId="0" fontId="5" fillId="0" borderId="6" xfId="5" applyFont="1" applyBorder="1"/>
    <xf numFmtId="0" fontId="6" fillId="0" borderId="6" xfId="5" applyFont="1" applyBorder="1" applyAlignment="1">
      <alignment horizontal="center" vertical="center"/>
    </xf>
    <xf numFmtId="4" fontId="6" fillId="0" borderId="6" xfId="5" applyNumberFormat="1" applyFont="1" applyBorder="1" applyAlignment="1">
      <alignment horizontal="center" vertical="center"/>
    </xf>
    <xf numFmtId="4" fontId="12" fillId="4" borderId="6" xfId="5" applyNumberFormat="1" applyFont="1" applyFill="1" applyBorder="1" applyAlignment="1">
      <alignment horizontal="center" vertical="center"/>
    </xf>
    <xf numFmtId="4" fontId="6" fillId="2" borderId="6" xfId="5" applyNumberFormat="1" applyFont="1" applyFill="1" applyBorder="1" applyAlignment="1">
      <alignment horizontal="center" vertical="center"/>
    </xf>
    <xf numFmtId="164" fontId="7" fillId="0" borderId="0" xfId="4" applyNumberFormat="1"/>
    <xf numFmtId="164" fontId="5" fillId="0" borderId="0" xfId="3" applyNumberFormat="1" applyFont="1" applyAlignment="1">
      <alignment horizontal="center"/>
    </xf>
    <xf numFmtId="0" fontId="7" fillId="0" borderId="0" xfId="8"/>
    <xf numFmtId="0" fontId="5" fillId="0" borderId="1" xfId="9" applyFont="1" applyBorder="1" applyAlignment="1">
      <alignment horizontal="center" vertical="center"/>
    </xf>
    <xf numFmtId="0" fontId="5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49" fontId="8" fillId="0" borderId="1" xfId="9" applyNumberFormat="1" applyFont="1" applyBorder="1" applyAlignment="1">
      <alignment horizontal="center" vertical="center"/>
    </xf>
    <xf numFmtId="0" fontId="8" fillId="0" borderId="1" xfId="9" applyFont="1" applyBorder="1" applyAlignment="1">
      <alignment horizontal="left" vertical="center" wrapText="1"/>
    </xf>
    <xf numFmtId="43" fontId="10" fillId="3" borderId="1" xfId="10" applyFont="1" applyFill="1" applyBorder="1" applyAlignment="1">
      <alignment horizontal="center" vertical="center"/>
    </xf>
    <xf numFmtId="43" fontId="8" fillId="0" borderId="1" xfId="10" applyFont="1" applyFill="1" applyBorder="1" applyAlignment="1">
      <alignment horizontal="center" vertical="center"/>
    </xf>
    <xf numFmtId="165" fontId="8" fillId="0" borderId="1" xfId="9" applyNumberFormat="1" applyFont="1" applyBorder="1" applyAlignment="1">
      <alignment horizontal="center" vertical="center"/>
    </xf>
    <xf numFmtId="4" fontId="11" fillId="0" borderId="1" xfId="9" applyNumberFormat="1" applyFont="1" applyBorder="1" applyAlignment="1">
      <alignment horizontal="center" vertical="center"/>
    </xf>
    <xf numFmtId="49" fontId="8" fillId="0" borderId="1" xfId="9" applyNumberFormat="1" applyFont="1" applyBorder="1" applyAlignment="1">
      <alignment horizontal="center" vertical="center" wrapText="1"/>
    </xf>
    <xf numFmtId="43" fontId="10" fillId="3" borderId="1" xfId="11" applyFont="1" applyFill="1" applyBorder="1" applyAlignment="1">
      <alignment horizontal="center" vertical="center"/>
    </xf>
    <xf numFmtId="43" fontId="8" fillId="0" borderId="1" xfId="11" applyFont="1" applyFill="1" applyBorder="1" applyAlignment="1">
      <alignment horizontal="center" vertical="center"/>
    </xf>
    <xf numFmtId="0" fontId="5" fillId="0" borderId="1" xfId="9" applyFont="1" applyBorder="1"/>
    <xf numFmtId="0" fontId="6" fillId="0" borderId="1" xfId="9" applyFont="1" applyBorder="1" applyAlignment="1">
      <alignment horizontal="center" vertical="center"/>
    </xf>
    <xf numFmtId="4" fontId="6" fillId="0" borderId="1" xfId="9" applyNumberFormat="1" applyFont="1" applyBorder="1" applyAlignment="1">
      <alignment horizontal="center" vertical="center"/>
    </xf>
    <xf numFmtId="4" fontId="7" fillId="0" borderId="0" xfId="8" applyNumberFormat="1"/>
    <xf numFmtId="0" fontId="8" fillId="2" borderId="1" xfId="9" applyFont="1" applyFill="1" applyBorder="1" applyAlignment="1">
      <alignment horizontal="left" vertical="center" wrapText="1"/>
    </xf>
    <xf numFmtId="0" fontId="8" fillId="2" borderId="1" xfId="5" applyFont="1" applyFill="1" applyBorder="1" applyAlignment="1">
      <alignment horizontal="left" vertical="center"/>
    </xf>
    <xf numFmtId="0" fontId="5" fillId="2" borderId="1" xfId="5" applyFont="1" applyFill="1" applyBorder="1" applyAlignment="1">
      <alignment horizontal="left" vertical="center"/>
    </xf>
    <xf numFmtId="0" fontId="10" fillId="2" borderId="1" xfId="5" applyFont="1" applyFill="1" applyBorder="1" applyAlignment="1">
      <alignment horizontal="left" vertical="center"/>
    </xf>
    <xf numFmtId="0" fontId="5" fillId="2" borderId="1" xfId="5" applyFont="1" applyFill="1" applyBorder="1" applyAlignment="1">
      <alignment vertical="center"/>
    </xf>
    <xf numFmtId="0" fontId="8" fillId="2" borderId="1" xfId="5" applyFont="1" applyFill="1" applyBorder="1" applyAlignment="1">
      <alignment vertical="center" wrapText="1"/>
    </xf>
    <xf numFmtId="0" fontId="8" fillId="2" borderId="1" xfId="5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4" fontId="8" fillId="0" borderId="1" xfId="5" applyNumberFormat="1" applyFont="1" applyFill="1" applyBorder="1" applyAlignment="1">
      <alignment horizontal="center" vertical="center" wrapText="1"/>
    </xf>
    <xf numFmtId="4" fontId="5" fillId="0" borderId="1" xfId="5" applyNumberFormat="1" applyFont="1" applyFill="1" applyBorder="1" applyAlignment="1">
      <alignment horizontal="center" vertical="center" wrapText="1"/>
    </xf>
    <xf numFmtId="4" fontId="11" fillId="0" borderId="1" xfId="5" applyNumberFormat="1" applyFont="1" applyFill="1" applyBorder="1" applyAlignment="1">
      <alignment horizontal="center" vertical="center"/>
    </xf>
    <xf numFmtId="4" fontId="6" fillId="0" borderId="1" xfId="5" applyNumberFormat="1" applyFont="1" applyFill="1" applyBorder="1" applyAlignment="1">
      <alignment horizontal="center" vertical="center" wrapText="1"/>
    </xf>
    <xf numFmtId="4" fontId="8" fillId="0" borderId="1" xfId="5" applyNumberFormat="1" applyFont="1" applyFill="1" applyBorder="1" applyAlignment="1">
      <alignment horizontal="right" vertical="center" wrapText="1"/>
    </xf>
    <xf numFmtId="4" fontId="5" fillId="9" borderId="1" xfId="5" applyNumberFormat="1" applyFont="1" applyFill="1" applyBorder="1" applyAlignment="1">
      <alignment horizontal="right" vertical="center" wrapText="1"/>
    </xf>
    <xf numFmtId="4" fontId="8" fillId="9" borderId="1" xfId="5" applyNumberFormat="1" applyFont="1" applyFill="1" applyBorder="1" applyAlignment="1">
      <alignment horizontal="right" vertical="center" wrapText="1"/>
    </xf>
    <xf numFmtId="0" fontId="7" fillId="2" borderId="0" xfId="4" applyFill="1" applyAlignment="1">
      <alignment vertical="center"/>
    </xf>
    <xf numFmtId="0" fontId="5" fillId="7" borderId="1" xfId="5" applyFont="1" applyFill="1" applyBorder="1" applyAlignment="1">
      <alignment horizontal="center" vertical="center"/>
    </xf>
    <xf numFmtId="4" fontId="8" fillId="5" borderId="1" xfId="5" applyNumberFormat="1" applyFont="1" applyFill="1" applyBorder="1" applyAlignment="1">
      <alignment horizontal="right" vertical="center"/>
    </xf>
    <xf numFmtId="4" fontId="8" fillId="6" borderId="1" xfId="5" applyNumberFormat="1" applyFont="1" applyFill="1" applyBorder="1" applyAlignment="1">
      <alignment horizontal="right" vertical="center"/>
    </xf>
    <xf numFmtId="0" fontId="7" fillId="2" borderId="0" xfId="4" applyFont="1" applyFill="1" applyAlignment="1">
      <alignment vertical="center"/>
    </xf>
    <xf numFmtId="0" fontId="7" fillId="0" borderId="0" xfId="4" applyFont="1" applyAlignment="1">
      <alignment vertical="center"/>
    </xf>
    <xf numFmtId="4" fontId="10" fillId="0" borderId="1" xfId="5" applyNumberFormat="1" applyFont="1" applyFill="1" applyBorder="1" applyAlignment="1">
      <alignment horizontal="right" vertical="center" wrapText="1"/>
    </xf>
    <xf numFmtId="0" fontId="9" fillId="2" borderId="0" xfId="4" applyFont="1" applyFill="1" applyAlignment="1">
      <alignment vertical="center"/>
    </xf>
    <xf numFmtId="0" fontId="11" fillId="0" borderId="0" xfId="6" applyFont="1" applyAlignment="1">
      <alignment horizontal="center" vertical="center"/>
    </xf>
    <xf numFmtId="0" fontId="6" fillId="0" borderId="2" xfId="3" applyFont="1" applyBorder="1" applyAlignment="1">
      <alignment horizontal="center"/>
    </xf>
    <xf numFmtId="0" fontId="5" fillId="0" borderId="2" xfId="6" applyFont="1" applyBorder="1" applyAlignment="1">
      <alignment horizontal="left" wrapText="1"/>
    </xf>
    <xf numFmtId="0" fontId="8" fillId="0" borderId="3" xfId="6" applyFont="1" applyBorder="1" applyAlignment="1">
      <alignment horizontal="center" vertical="top"/>
    </xf>
    <xf numFmtId="0" fontId="5" fillId="0" borderId="2" xfId="6" applyFont="1" applyBorder="1" applyAlignment="1">
      <alignment horizontal="left" vertical="center" wrapText="1"/>
    </xf>
    <xf numFmtId="0" fontId="16" fillId="0" borderId="1" xfId="12" applyFont="1" applyBorder="1" applyAlignment="1">
      <alignment horizontal="center" vertical="center"/>
    </xf>
    <xf numFmtId="4" fontId="16" fillId="0" borderId="1" xfId="12" applyNumberFormat="1" applyFont="1" applyBorder="1" applyAlignment="1">
      <alignment horizontal="center" vertical="center"/>
    </xf>
    <xf numFmtId="0" fontId="15" fillId="0" borderId="0" xfId="12"/>
    <xf numFmtId="0" fontId="15" fillId="0" borderId="1" xfId="12" applyBorder="1" applyAlignment="1">
      <alignment horizontal="center" vertical="center"/>
    </xf>
    <xf numFmtId="0" fontId="17" fillId="0" borderId="1" xfId="12" applyFont="1" applyBorder="1"/>
    <xf numFmtId="4" fontId="15" fillId="0" borderId="1" xfId="12" applyNumberFormat="1" applyBorder="1" applyAlignment="1">
      <alignment horizontal="center" vertical="center"/>
    </xf>
    <xf numFmtId="0" fontId="16" fillId="2" borderId="1" xfId="12" applyFont="1" applyFill="1" applyBorder="1" applyAlignment="1">
      <alignment horizontal="right"/>
    </xf>
    <xf numFmtId="4" fontId="16" fillId="2" borderId="1" xfId="12" applyNumberFormat="1" applyFont="1" applyFill="1" applyBorder="1" applyAlignment="1">
      <alignment horizontal="center" vertical="center"/>
    </xf>
    <xf numFmtId="4" fontId="15" fillId="0" borderId="0" xfId="12" applyNumberFormat="1"/>
    <xf numFmtId="0" fontId="16" fillId="10" borderId="1" xfId="12" applyFont="1" applyFill="1" applyBorder="1" applyAlignment="1">
      <alignment horizontal="center" vertical="center"/>
    </xf>
    <xf numFmtId="4" fontId="16" fillId="10" borderId="1" xfId="12" applyNumberFormat="1" applyFont="1" applyFill="1" applyBorder="1" applyAlignment="1">
      <alignment horizontal="center" vertical="center"/>
    </xf>
    <xf numFmtId="0" fontId="17" fillId="0" borderId="1" xfId="12" applyFont="1" applyBorder="1" applyAlignment="1">
      <alignment horizontal="left" vertical="center"/>
    </xf>
    <xf numFmtId="4" fontId="16" fillId="2" borderId="1" xfId="12" applyNumberFormat="1" applyFont="1" applyFill="1" applyBorder="1"/>
    <xf numFmtId="0" fontId="15" fillId="10" borderId="1" xfId="12" applyFill="1" applyBorder="1" applyAlignment="1">
      <alignment horizontal="center" vertical="center"/>
    </xf>
    <xf numFmtId="4" fontId="15" fillId="10" borderId="1" xfId="12" applyNumberFormat="1" applyFill="1" applyBorder="1"/>
    <xf numFmtId="0" fontId="15" fillId="10" borderId="1" xfId="12" applyFill="1" applyBorder="1"/>
    <xf numFmtId="0" fontId="17" fillId="0" borderId="1" xfId="12" applyFont="1" applyBorder="1" applyAlignment="1">
      <alignment wrapText="1" shrinkToFit="1"/>
    </xf>
    <xf numFmtId="4" fontId="15" fillId="0" borderId="1" xfId="12" applyNumberFormat="1" applyBorder="1" applyAlignment="1">
      <alignment horizontal="center" vertical="center" wrapText="1" shrinkToFit="1"/>
    </xf>
    <xf numFmtId="0" fontId="17" fillId="0" borderId="1" xfId="12" applyFont="1" applyBorder="1" applyAlignment="1">
      <alignment wrapText="1"/>
    </xf>
    <xf numFmtId="0" fontId="16" fillId="2" borderId="1" xfId="12" applyFont="1" applyFill="1" applyBorder="1"/>
    <xf numFmtId="4" fontId="15" fillId="0" borderId="0" xfId="12" applyNumberFormat="1" applyAlignment="1">
      <alignment horizontal="center" vertical="center"/>
    </xf>
    <xf numFmtId="4" fontId="16" fillId="2" borderId="7" xfId="12" applyNumberFormat="1" applyFont="1" applyFill="1" applyBorder="1" applyAlignment="1">
      <alignment horizontal="center" vertical="center"/>
    </xf>
    <xf numFmtId="4" fontId="16" fillId="2" borderId="8" xfId="12" applyNumberFormat="1" applyFont="1" applyFill="1" applyBorder="1"/>
    <xf numFmtId="4" fontId="18" fillId="2" borderId="7" xfId="12" applyNumberFormat="1" applyFont="1" applyFill="1" applyBorder="1"/>
    <xf numFmtId="4" fontId="16" fillId="0" borderId="0" xfId="12" applyNumberFormat="1" applyFont="1" applyAlignment="1">
      <alignment horizontal="center" vertical="center"/>
    </xf>
    <xf numFmtId="0" fontId="17" fillId="10" borderId="1" xfId="12" applyFont="1" applyFill="1" applyBorder="1"/>
    <xf numFmtId="4" fontId="15" fillId="0" borderId="1" xfId="12" applyNumberFormat="1" applyBorder="1"/>
    <xf numFmtId="0" fontId="16" fillId="0" borderId="1" xfId="12" applyFont="1" applyBorder="1"/>
    <xf numFmtId="0" fontId="15" fillId="7" borderId="0" xfId="12" applyFill="1"/>
    <xf numFmtId="0" fontId="15" fillId="8" borderId="0" xfId="12" applyFill="1"/>
    <xf numFmtId="0" fontId="14" fillId="0" borderId="0" xfId="4" applyFont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4" fontId="8" fillId="8" borderId="1" xfId="5" applyNumberFormat="1" applyFont="1" applyFill="1" applyBorder="1" applyAlignment="1">
      <alignment horizontal="center" vertical="center" wrapText="1"/>
    </xf>
    <xf numFmtId="0" fontId="14" fillId="8" borderId="1" xfId="4" applyFont="1" applyFill="1" applyBorder="1" applyAlignment="1">
      <alignment horizontal="center" vertical="center"/>
    </xf>
    <xf numFmtId="4" fontId="5" fillId="8" borderId="1" xfId="5" applyNumberFormat="1" applyFont="1" applyFill="1" applyBorder="1" applyAlignment="1">
      <alignment horizontal="center" vertical="center" wrapText="1"/>
    </xf>
  </cellXfs>
  <cellStyles count="13">
    <cellStyle name="ЛокСмМТСН" xfId="1" xr:uid="{00000000-0005-0000-0000-000000000000}"/>
    <cellStyle name="Обычный" xfId="0" builtinId="0"/>
    <cellStyle name="Обычный 2" xfId="2" xr:uid="{00000000-0005-0000-0000-000002000000}"/>
    <cellStyle name="Обычный 2 2" xfId="6" xr:uid="{FC2C60BB-97F6-4956-9F9F-1606FE13545E}"/>
    <cellStyle name="Обычный 2 4" xfId="4" xr:uid="{DE655057-ED26-43A9-8409-2CDE7235F666}"/>
    <cellStyle name="Обычный 3" xfId="8" xr:uid="{1C004F9B-16A3-4617-94D7-542D9AEE8C6F}"/>
    <cellStyle name="Обычный 3 2" xfId="3" xr:uid="{EF52B61A-CE21-4474-AC20-62529A575685}"/>
    <cellStyle name="Обычный 3 3" xfId="5" xr:uid="{59F0E329-1C79-4B0E-BE60-88494E6547F6}"/>
    <cellStyle name="Обычный 3 3 2" xfId="9" xr:uid="{A664BE15-493B-4CFE-8051-835AB9F69F81}"/>
    <cellStyle name="Обычный 4" xfId="12" xr:uid="{0660BED2-E183-4886-8935-08BD7E0C2B21}"/>
    <cellStyle name="Финансовый 2 2" xfId="7" xr:uid="{F8A6D67A-E210-4EBE-8E7B-B6F8DFB5AC60}"/>
    <cellStyle name="Финансовый 2 2 2" xfId="11" xr:uid="{327E1C06-C5DE-454F-9A3A-4270FEB74316}"/>
    <cellStyle name="Финансовый 3" xfId="10" xr:uid="{A9330907-263C-41FB-AC5A-46019B8CC6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581025</xdr:colOff>
      <xdr:row>31</xdr:row>
      <xdr:rowOff>0</xdr:rowOff>
    </xdr:from>
    <xdr:to>
      <xdr:col>40</xdr:col>
      <xdr:colOff>110646</xdr:colOff>
      <xdr:row>70</xdr:row>
      <xdr:rowOff>185847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6E1374C-F836-43A7-9B46-58EE55BF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3850" y="6315075"/>
          <a:ext cx="14765811" cy="761153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41</xdr:col>
      <xdr:colOff>154548</xdr:colOff>
      <xdr:row>32</xdr:row>
      <xdr:rowOff>157114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2E3AF05-2CED-4B8E-9F68-A6E395632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2425" y="190500"/>
          <a:ext cx="15394548" cy="64779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5;&#1046;%20&#1087;&#1086;%20&#1089;&#1086;&#1075;&#1083;%20&#1042;&#1054;&#1056;_417%20&#1087;&#1091;&#1090;&#1100;%20&#1052;&#1099;&#1090;&#1080;&#1097;&#1080;%20&#8212;%20&#1082;&#1086;&#1087;&#1080;&#110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0;&#1057;1%20&#1087;&#1086;%20&#1089;&#1086;&#1075;&#1083;%20&#1042;&#1054;&#1056;_417%20&#1087;&#1091;&#1090;&#1100;%20&#1052;&#1099;&#1090;&#1080;&#1097;&#108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0;&#1057;2%20&#1087;&#1086;%20&#1089;&#1086;&#1075;&#1083;%20&#1042;&#1054;&#1056;_417%20&#1087;&#1091;&#1090;&#1100;%20&#1052;&#1099;&#1090;&#1080;&#1097;&#1080;%20(&#1087;&#1086;&#1076;&#1087;&#1086;&#1088;&#1085;&#1072;&#1103;%20&#1089;&#1090;&#1077;&#1085;&#1082;&#1072;,%20&#1091;&#1076;&#1083;&#1080;&#1085;&#1077;&#1085;&#1080;&#1077;%20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69;&#1057;1%20&#1087;&#1086;%20&#1089;&#1086;&#1075;&#1083;%20&#1042;&#1054;&#1056;_417%20&#1087;&#1091;&#1090;&#1100;%20&#1052;&#1099;&#1090;&#1080;&#1097;&#108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69;&#1057;2%20&#1087;&#1086;%20&#1089;&#1086;&#1075;&#1083;%20&#1042;&#1054;&#1056;_417%20&#1087;&#1091;&#1090;&#1100;%20&#1052;&#1099;&#1090;&#1080;&#1097;&#108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3;&#1042;&#1050;2%20&#1087;&#1086;%20&#1089;&#1086;&#1075;&#1083;%20&#1042;&#1054;&#1056;_417%20&#1087;&#1091;&#1090;&#1100;%20&#1052;&#1099;&#1090;&#1080;&#1097;&#108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3;&#1042;&#1050;3%20&#1087;&#1086;%20&#1089;&#1086;&#1075;&#1083;%20&#1042;&#1054;&#1056;_417%20&#1087;&#1091;&#1090;&#1100;%20&#1052;&#1099;&#1090;&#1080;&#1097;&#108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3;&#1042;&#1050;4%20&#1087;&#1086;%20&#1089;&#1086;&#1075;&#1083;%20&#1042;&#1054;&#1056;_417%20&#1087;&#1091;&#1090;&#1100;%20&#1052;&#1099;&#1090;&#1080;&#1097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3;&#1042;&#1050;5%20&#1087;&#1086;%20&#1089;&#1086;&#1075;&#1083;%20&#1042;&#1054;&#1056;_417%20&#1087;&#1091;&#1090;&#1100;%20&#1052;&#1099;&#1090;&#1080;&#1097;&#108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8;&#1057;1%20&#1087;&#1086;%20%20&#1042;&#1054;&#1056;_417%20&#1087;&#1091;&#1090;&#1100;%20&#1052;&#1099;&#1090;&#1080;&#1097;&#108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0;&#1057;4%20&#1087;&#1086;%20%20&#1042;&#1054;&#1056;_417%20&#1087;&#1091;&#1090;&#1100;%20&#1052;&#1099;&#1090;&#1080;&#1097;&#108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8;&#1057;2%20&#1087;&#1086;%20&#1089;&#1086;&#1075;&#1083;%20&#1042;&#1054;&#1056;_417%20&#1087;&#1091;&#1090;&#1100;%20&#1052;&#1099;&#1090;&#1080;&#1097;&#1080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8;&#1057;3%20&#1087;&#1086;%20&#1089;&#1086;&#1075;&#1083;%20&#1042;&#1054;&#1056;_417%20&#1087;&#1091;&#1090;&#1100;%20&#1052;&#1099;&#1090;&#1080;&#1097;&#108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3;&#1057;&#1053;%20&#1087;&#1086;%20&#1089;&#1086;&#1075;&#1083;%20&#1042;&#1054;&#1056;_417%20&#1087;&#1091;&#1090;&#1100;%20&#1052;&#1099;&#1090;&#1080;&#1097;&#1080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3;&#1055;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3;&#1055;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4;&#1077;&#1084;&#1086;&#1085;&#1090;&#1072;&#1078;%20&#1083;&#1072;&#1084;&#1087;%20121+75%20%20&#1087;&#1086;%20&#1089;&#1086;&#1075;&#1083;%20&#1042;&#1054;&#1056;_417%20&#1087;&#1091;&#1090;&#1100;%20&#1052;&#1099;&#1090;&#1080;&#1097;&#108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2;&#1088;&#1077;&#1084;&#1077;&#1085;&#1085;&#1099;&#1081;%20&#1074;&#1086;&#1076;&#1086;&#1087;&#1088;&#1086;&#1074;&#1086;&#1076;%20121%20&#1087;&#1086;%20&#1089;&#1086;&#1075;&#1083;%20&#1042;&#1054;&#1056;_417%20&#1087;&#1091;&#1090;&#1100;%20&#1052;&#1099;&#1090;&#1080;&#1097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42;&#1088;&#1077;&#1084;&#1077;&#1085;&#1085;&#1099;&#1081;%20&#1087;&#1077;&#1088;&#1077;&#1077;&#1079;&#1076;%20&#1087;&#1086;%20&#1089;&#1086;&#1075;&#1083;%20&#1042;&#1054;&#1056;_417%20&#1087;&#1091;&#1090;&#1100;%20&#1052;&#1099;&#1090;&#1080;&#1097;&#1080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0;&#1057;%20&#1087;&#1086;%20&#1089;&#1086;&#1075;&#1083;%20&#1042;&#1054;&#1056;_417%20&#1087;&#1091;&#1090;&#1100;%20&#1052;&#1099;&#1090;&#1080;&#1097;&#108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0;&#1057;%20&#1090;&#1088;&#1072;&#1085;&#1089;&#1073;&#1086;&#1088;&#1076;&#1077;&#1088;%20&#1087;&#1086;%20&#1089;&#1086;&#1075;&#1083;%20&#1042;&#1054;&#1056;_417%20&#1087;&#1091;&#1090;&#1100;%20&#1052;&#1099;&#1090;&#1080;&#1097;&#1080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9;&#1089;&#1090;&#1088;&#1086;&#1081;&#1089;&#1090;&#1074;&#1086;%20&#1086;&#1075;&#1088;&#1072;&#1078;&#1076;&#1077;&#1085;&#1080;&#1103;%20&#1074;&#1076;&#1086;&#1083;&#1100;%20&#1086;&#1073;&#1082;&#1072;&#1090;&#1086;&#1095;&#1085;&#1086;&#1075;&#1086;%20&#1087;&#1091;&#1090;&#1080;%20&#1052;&#1099;&#1090;&#1080;&#1097;&#108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7;&#1057;%20&#1087;&#1086;%20&#1089;&#1086;&#1075;&#1083;%20&#1042;&#1054;&#1056;_417%20&#1087;&#1091;&#1090;&#1100;%20&#1052;&#1099;&#1090;&#1080;&#1097;&#1080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72;&#1083;&#1080;&#1079;%20&#1042;&#1044;&#1062;%20&#1052;&#1099;&#1090;&#1080;&#1097;&#1080;/&#1050;&#1086;&#1087;&#1080;&#1103;%20&#1042;&#1044;&#1062;_&#1059;&#1076;&#1072;&#1083;&#1077;&#1085;&#1080;&#1077;%20&#1087;&#1086;&#1088;&#1086;&#1089;&#1083;&#1080;-&#1082;&#1091;&#1089;&#1090;&#1072;&#1088;&#1085;&#1080;&#1082;&#1086;&#1074;%20%20&#1087;&#1086;%20&#1089;&#1086;&#1075;&#1083;%20&#1042;&#1054;&#1056;_417%20&#1087;&#1091;&#1090;&#1100;%20&#1052;&#1099;&#1090;&#1080;&#1097;&#1080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417_&#1082;&#1089;-2%20&#1069;&#1069;%20&#1087;&#1086;&#1076;%20&#1057;&#1057;&#1056;2/417_&#1082;&#1089;-2%20&#1069;&#1069;%20&#1087;&#1086;&#1076;%20&#1057;&#1057;&#1056;2/!!!%20&#1088;&#1077;&#1077;&#1089;&#1090;&#1088;_&#1085;&#1072;%20&#1057;&#1057;&#1056;2_&#1069;&#106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Ж"/>
      <sheetName val="ПЖ"/>
      <sheetName val="ПЖ_послеосад ремонт"/>
    </sheetNames>
    <sheetDataSet>
      <sheetData sheetId="0"/>
      <sheetData sheetId="1">
        <row r="116">
          <cell r="L116">
            <v>83233416.819999993</v>
          </cell>
        </row>
      </sheetData>
      <sheetData sheetId="2">
        <row r="12">
          <cell r="L12">
            <v>11575527.07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ФМ1"/>
      <sheetName val="ФМ2"/>
      <sheetName val="Опоры ОП1"/>
      <sheetName val="Фермы Ф1, Ф2"/>
      <sheetName val="Смещение закладных"/>
      <sheetName val="Площадка"/>
      <sheetName val="Водосток"/>
      <sheetName val="Площадка (2)"/>
    </sheetNames>
    <sheetDataSet>
      <sheetData sheetId="0">
        <row r="10">
          <cell r="H10">
            <v>4766135.22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2"/>
      <sheetName val="ПС"/>
      <sheetName val="+Удлинение ПС"/>
      <sheetName val="+ВК1-ВК2"/>
    </sheetNames>
    <sheetDataSet>
      <sheetData sheetId="0">
        <row r="3">
          <cell r="H3">
            <v>1466088.86</v>
          </cell>
        </row>
        <row r="6">
          <cell r="H6">
            <v>1846253.6700000002</v>
          </cell>
        </row>
      </sheetData>
      <sheetData sheetId="1">
        <row r="31">
          <cell r="L31">
            <v>1466088.85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ЭС1"/>
      <sheetName val="ТП7-склад75"/>
      <sheetName val="28-28А, 28Б-28В"/>
      <sheetName val="ЭС2 цех417-ММЗ"/>
      <sheetName val="ЭС2 Защита"/>
    </sheetNames>
    <sheetDataSet>
      <sheetData sheetId="0" refreshError="1"/>
      <sheetData sheetId="1">
        <row r="41">
          <cell r="L41">
            <v>912139.03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ТП7-склад75"/>
      <sheetName val="28-28А, 28Б-28В"/>
      <sheetName val="1-2; 7-8"/>
      <sheetName val="ЭС2 цех417-ММЗ"/>
      <sheetName val="ЭС2 Защита"/>
    </sheetNames>
    <sheetDataSet>
      <sheetData sheetId="0">
        <row r="8">
          <cell r="H8">
            <v>6392727.4799999995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4-до В1-4А"/>
    </sheetNames>
    <sheetDataSet>
      <sheetData sheetId="0" refreshError="1"/>
      <sheetData sheetId="1">
        <row r="51">
          <cell r="L51">
            <v>1516853.62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>
        <row r="14">
          <cell r="H14">
            <v>22508536.09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4"/>
      <sheetName val="К11А-К11Б"/>
      <sheetName val="цех 121-К11Б"/>
      <sheetName val="Ксущ-К11А"/>
      <sheetName val="К10-К10А"/>
    </sheetNames>
    <sheetDataSet>
      <sheetData sheetId="0">
        <row r="6">
          <cell r="H6">
            <v>406094.04000000004</v>
          </cell>
        </row>
        <row r="7">
          <cell r="H7">
            <v>3122837.6500000004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5"/>
      <sheetName val="К16А дождеп"/>
      <sheetName val="К15-К17"/>
      <sheetName val="Кл1,2,3"/>
      <sheetName val="К26-27"/>
    </sheetNames>
    <sheetDataSet>
      <sheetData sheetId="0">
        <row r="7">
          <cell r="H7">
            <v>6968369.3100000005</v>
          </cell>
        </row>
      </sheetData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1"/>
      <sheetName val="ТС1 (2)"/>
    </sheetNames>
    <sheetDataSet>
      <sheetData sheetId="0">
        <row r="54">
          <cell r="L54">
            <v>2060930.35</v>
          </cell>
        </row>
      </sheetData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4"/>
      <sheetName val="АС4 (2)"/>
    </sheetNames>
    <sheetDataSet>
      <sheetData sheetId="0">
        <row r="32">
          <cell r="L32">
            <v>5564992.0300000003</v>
          </cell>
        </row>
      </sheetData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2"/>
    </sheetNames>
    <sheetDataSet>
      <sheetData sheetId="0">
        <row r="179">
          <cell r="L179">
            <v>3434769.77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ТС3"/>
      <sheetName val="СМР 217 путь"/>
      <sheetName val="мат 217 путь"/>
      <sheetName val="СМР комм-ции 217 "/>
      <sheetName val="мат комм-ции 217"/>
      <sheetName val="СМР жд 8 цех"/>
      <sheetName val="мат 8 цех"/>
    </sheetNames>
    <sheetDataSet>
      <sheetData sheetId="0" refreshError="1"/>
      <sheetData sheetId="1" refreshError="1"/>
      <sheetData sheetId="2">
        <row r="123">
          <cell r="L123">
            <v>5344436.47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ГСН"/>
    </sheetNames>
    <sheetDataSet>
      <sheetData sheetId="0" refreshError="1"/>
      <sheetData sheetId="1">
        <row r="87">
          <cell r="L87">
            <v>5641179.5499999998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П1"/>
      <sheetName val="ГП1"/>
      <sheetName val="ГП1_1"/>
      <sheetName val="ГП1 арх"/>
    </sheetNames>
    <sheetDataSet>
      <sheetData sheetId="0">
        <row r="5">
          <cell r="H5">
            <v>22267853.389999997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ГП2 "/>
      <sheetName val="ГП2  (2)"/>
      <sheetName val="ГП1"/>
    </sheetNames>
    <sheetDataSet>
      <sheetData sheetId="0" refreshError="1"/>
      <sheetData sheetId="1">
        <row r="149">
          <cell r="L149">
            <v>69911523.599999994</v>
          </cell>
        </row>
      </sheetData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Демонтаж ламп"/>
    </sheetNames>
    <sheetDataSet>
      <sheetData sheetId="0" refreshError="1"/>
      <sheetData sheetId="1">
        <row r="10">
          <cell r="L10">
            <v>47174.400000000001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Временный водопровод"/>
    </sheetNames>
    <sheetDataSet>
      <sheetData sheetId="0" refreshError="1"/>
      <sheetData sheetId="1">
        <row r="12">
          <cell r="L12">
            <v>89859.26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еменный переезд"/>
    </sheetNames>
    <sheetDataSet>
      <sheetData sheetId="0">
        <row r="15">
          <cell r="L15">
            <v>771191.87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КС"/>
    </sheetNames>
    <sheetDataSet>
      <sheetData sheetId="0" refreshError="1"/>
      <sheetData sheetId="1">
        <row r="76">
          <cell r="L76">
            <v>8903413.1300000008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Трансбордер"/>
    </sheetNames>
    <sheetDataSet>
      <sheetData sheetId="0">
        <row r="28">
          <cell r="L28">
            <v>554638.52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ограждение"/>
      <sheetName val="Ограждение"/>
      <sheetName val="+АС1 ограждение изм"/>
      <sheetName val="АС1 ограждение"/>
    </sheetNames>
    <sheetDataSet>
      <sheetData sheetId="0"/>
      <sheetData sheetId="1"/>
      <sheetData sheetId="2">
        <row r="56">
          <cell r="L56">
            <v>2140860.2799999998</v>
          </cell>
        </row>
      </sheetData>
      <sheetData sheetId="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"/>
    </sheetNames>
    <sheetDataSet>
      <sheetData sheetId="0">
        <row r="31">
          <cell r="L31">
            <v>557534.86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Удаление поросли"/>
    </sheetNames>
    <sheetDataSet>
      <sheetData sheetId="0" refreshError="1"/>
      <sheetData sheetId="1">
        <row r="10">
          <cell r="L10">
            <v>148688.69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6"/>
      <sheetName val="реестр"/>
      <sheetName val="ЭЭ"/>
      <sheetName val="реестр ССР2-2"/>
      <sheetName val="первичка"/>
    </sheetNames>
    <sheetDataSet>
      <sheetData sheetId="0"/>
      <sheetData sheetId="1"/>
      <sheetData sheetId="2">
        <row r="41">
          <cell r="J41">
            <v>135294329.61000001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7151-F130-4262-98ED-8034878E02CC}">
  <dimension ref="E5:G10"/>
  <sheetViews>
    <sheetView workbookViewId="0">
      <selection activeCell="J32" sqref="J32"/>
    </sheetView>
  </sheetViews>
  <sheetFormatPr defaultRowHeight="15" x14ac:dyDescent="0.25"/>
  <cols>
    <col min="1" max="5" width="9.140625" style="149"/>
    <col min="6" max="6" width="29.42578125" style="149" customWidth="1"/>
    <col min="7" max="7" width="15.42578125" style="155" customWidth="1"/>
    <col min="8" max="16384" width="9.140625" style="149"/>
  </cols>
  <sheetData>
    <row r="5" spans="5:7" x14ac:dyDescent="0.25">
      <c r="E5" s="147" t="s">
        <v>14</v>
      </c>
      <c r="F5" s="147" t="s">
        <v>140</v>
      </c>
      <c r="G5" s="148" t="s">
        <v>16</v>
      </c>
    </row>
    <row r="6" spans="5:7" x14ac:dyDescent="0.25">
      <c r="E6" s="150">
        <v>1</v>
      </c>
      <c r="F6" s="151" t="s">
        <v>141</v>
      </c>
      <c r="G6" s="152">
        <v>96284900.5</v>
      </c>
    </row>
    <row r="7" spans="5:7" x14ac:dyDescent="0.25">
      <c r="E7" s="150">
        <v>2</v>
      </c>
      <c r="F7" s="151" t="s">
        <v>142</v>
      </c>
      <c r="G7" s="152">
        <v>86319340.560000002</v>
      </c>
    </row>
    <row r="8" spans="5:7" x14ac:dyDescent="0.25">
      <c r="E8" s="150">
        <v>3</v>
      </c>
      <c r="F8" s="151" t="s">
        <v>143</v>
      </c>
      <c r="G8" s="152">
        <v>32614396.699999999</v>
      </c>
    </row>
    <row r="9" spans="5:7" x14ac:dyDescent="0.25">
      <c r="E9" s="150">
        <v>4</v>
      </c>
      <c r="F9" s="151" t="s">
        <v>144</v>
      </c>
      <c r="G9" s="152">
        <v>44598265.609999999</v>
      </c>
    </row>
    <row r="10" spans="5:7" x14ac:dyDescent="0.25">
      <c r="E10" s="150">
        <v>5</v>
      </c>
      <c r="F10" s="153" t="s">
        <v>33</v>
      </c>
      <c r="G10" s="154">
        <f>SUM(G6:G9)</f>
        <v>259816903.37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4247-E4F2-4B4E-BF29-B726592FBCE5}">
  <dimension ref="A1:M23"/>
  <sheetViews>
    <sheetView view="pageBreakPreview" zoomScale="80" zoomScaleNormal="100" zoomScaleSheetLayoutView="80" workbookViewId="0">
      <pane ySplit="2" topLeftCell="A3" activePane="bottomLeft" state="frozen"/>
      <selection pane="bottomLeft" activeCell="C35" sqref="C35"/>
    </sheetView>
  </sheetViews>
  <sheetFormatPr defaultRowHeight="15" x14ac:dyDescent="0.25"/>
  <cols>
    <col min="1" max="1" width="17" style="102" customWidth="1"/>
    <col min="2" max="2" width="11.85546875" style="102" customWidth="1"/>
    <col min="3" max="3" width="51" style="102" customWidth="1"/>
    <col min="4" max="4" width="19" style="102" customWidth="1"/>
    <col min="5" max="10" width="20.7109375" style="102" customWidth="1"/>
    <col min="11" max="11" width="9.140625" style="102"/>
    <col min="12" max="12" width="9.28515625" style="102" bestFit="1" customWidth="1"/>
    <col min="13" max="13" width="16.85546875" style="102" bestFit="1" customWidth="1"/>
    <col min="14" max="16384" width="9.140625" style="102"/>
  </cols>
  <sheetData>
    <row r="1" spans="1:13" x14ac:dyDescent="0.25">
      <c r="A1" s="10"/>
      <c r="B1" s="10"/>
      <c r="C1" s="10"/>
      <c r="D1" s="10"/>
      <c r="E1" s="101"/>
      <c r="F1" s="101"/>
      <c r="G1" s="101"/>
      <c r="H1" s="10"/>
      <c r="I1" s="64"/>
      <c r="J1" s="10"/>
    </row>
    <row r="2" spans="1:13" ht="60" x14ac:dyDescent="0.25">
      <c r="A2" s="103" t="s">
        <v>28</v>
      </c>
      <c r="B2" s="103" t="s">
        <v>29</v>
      </c>
      <c r="C2" s="103" t="s">
        <v>30</v>
      </c>
      <c r="D2" s="103" t="s">
        <v>114</v>
      </c>
      <c r="E2" s="103" t="s">
        <v>115</v>
      </c>
      <c r="F2" s="103" t="s">
        <v>116</v>
      </c>
      <c r="G2" s="103" t="s">
        <v>117</v>
      </c>
      <c r="H2" s="104" t="s">
        <v>118</v>
      </c>
      <c r="I2" s="103" t="s">
        <v>119</v>
      </c>
      <c r="J2" s="104" t="s">
        <v>120</v>
      </c>
    </row>
    <row r="3" spans="1:13" ht="28.5" customHeight="1" x14ac:dyDescent="0.25">
      <c r="A3" s="105">
        <v>1</v>
      </c>
      <c r="B3" s="106" t="s">
        <v>34</v>
      </c>
      <c r="C3" s="119" t="s">
        <v>35</v>
      </c>
      <c r="D3" s="108">
        <v>47118689.25</v>
      </c>
      <c r="E3" s="109">
        <v>3863732.52</v>
      </c>
      <c r="F3" s="109">
        <v>1223578.1200000001</v>
      </c>
      <c r="G3" s="109">
        <v>52205999.890000001</v>
      </c>
      <c r="H3" s="109">
        <v>54889388.289999999</v>
      </c>
      <c r="I3" s="110">
        <v>1.2</v>
      </c>
      <c r="J3" s="111">
        <f>ROUND(H3*I3,2)</f>
        <v>65867265.950000003</v>
      </c>
    </row>
    <row r="4" spans="1:13" ht="27" customHeight="1" x14ac:dyDescent="0.25">
      <c r="A4" s="105">
        <v>2</v>
      </c>
      <c r="B4" s="106" t="s">
        <v>36</v>
      </c>
      <c r="C4" s="119" t="s">
        <v>37</v>
      </c>
      <c r="D4" s="108">
        <v>39281459.539999999</v>
      </c>
      <c r="E4" s="109">
        <v>3221079.68</v>
      </c>
      <c r="F4" s="109">
        <v>1020060.94</v>
      </c>
      <c r="G4" s="109">
        <v>43522600.159999996</v>
      </c>
      <c r="H4" s="109">
        <v>45759661.810000002</v>
      </c>
      <c r="I4" s="110">
        <v>1.2</v>
      </c>
      <c r="J4" s="111">
        <f t="shared" ref="J4:J16" si="0">ROUND(H4*I4,2)</f>
        <v>54911594.170000002</v>
      </c>
    </row>
    <row r="5" spans="1:13" ht="24" customHeight="1" x14ac:dyDescent="0.25">
      <c r="A5" s="105">
        <v>3</v>
      </c>
      <c r="B5" s="112" t="s">
        <v>122</v>
      </c>
      <c r="C5" s="119" t="s">
        <v>41</v>
      </c>
      <c r="D5" s="108">
        <v>142510715.22</v>
      </c>
      <c r="E5" s="109">
        <v>11685878.65</v>
      </c>
      <c r="F5" s="109">
        <v>3700718.26</v>
      </c>
      <c r="G5" s="109">
        <v>157897312.13</v>
      </c>
      <c r="H5" s="109">
        <v>166013233.97999999</v>
      </c>
      <c r="I5" s="110">
        <v>1.2</v>
      </c>
      <c r="J5" s="111">
        <f t="shared" si="0"/>
        <v>199215880.78</v>
      </c>
    </row>
    <row r="6" spans="1:13" s="13" customFormat="1" ht="24" customHeight="1" x14ac:dyDescent="0.25">
      <c r="A6" s="105">
        <v>4</v>
      </c>
      <c r="B6" s="106" t="s">
        <v>123</v>
      </c>
      <c r="C6" s="119" t="s">
        <v>70</v>
      </c>
      <c r="D6" s="113">
        <v>1644504.42</v>
      </c>
      <c r="E6" s="114">
        <v>134849.35999999999</v>
      </c>
      <c r="F6" s="114">
        <v>42704.49</v>
      </c>
      <c r="G6" s="114">
        <v>1822058.27</v>
      </c>
      <c r="H6" s="114">
        <v>1915712.07</v>
      </c>
      <c r="I6" s="110">
        <v>1.2</v>
      </c>
      <c r="J6" s="111">
        <f t="shared" si="0"/>
        <v>2298854.48</v>
      </c>
    </row>
    <row r="7" spans="1:13" s="13" customFormat="1" ht="24" customHeight="1" x14ac:dyDescent="0.25">
      <c r="A7" s="105">
        <v>5</v>
      </c>
      <c r="B7" s="106" t="s">
        <v>124</v>
      </c>
      <c r="C7" s="119" t="s">
        <v>43</v>
      </c>
      <c r="D7" s="113">
        <v>7708019.79</v>
      </c>
      <c r="E7" s="114">
        <v>632057.62</v>
      </c>
      <c r="F7" s="114">
        <v>200161.86</v>
      </c>
      <c r="G7" s="114">
        <v>8540239.2699999996</v>
      </c>
      <c r="H7" s="114">
        <v>8979207.5700000003</v>
      </c>
      <c r="I7" s="110">
        <v>1.2</v>
      </c>
      <c r="J7" s="111">
        <f t="shared" si="0"/>
        <v>10775049.08</v>
      </c>
    </row>
    <row r="8" spans="1:13" s="13" customFormat="1" ht="24" customHeight="1" x14ac:dyDescent="0.25">
      <c r="A8" s="105">
        <v>6</v>
      </c>
      <c r="B8" s="106" t="s">
        <v>38</v>
      </c>
      <c r="C8" s="119" t="s">
        <v>101</v>
      </c>
      <c r="D8" s="113">
        <v>1177977.71</v>
      </c>
      <c r="E8" s="114">
        <v>96594.17</v>
      </c>
      <c r="F8" s="114">
        <v>30589.73</v>
      </c>
      <c r="G8" s="114">
        <v>1305161.6100000001</v>
      </c>
      <c r="H8" s="114">
        <v>1372246.92</v>
      </c>
      <c r="I8" s="110">
        <v>1.2</v>
      </c>
      <c r="J8" s="111">
        <f t="shared" si="0"/>
        <v>1646696.3</v>
      </c>
      <c r="L8" s="45"/>
      <c r="M8" s="100"/>
    </row>
    <row r="9" spans="1:13" s="13" customFormat="1" ht="28.5" customHeight="1" x14ac:dyDescent="0.25">
      <c r="A9" s="105">
        <v>7</v>
      </c>
      <c r="B9" s="106" t="s">
        <v>125</v>
      </c>
      <c r="C9" s="119" t="s">
        <v>45</v>
      </c>
      <c r="D9" s="113">
        <v>1164136.06</v>
      </c>
      <c r="E9" s="114">
        <v>95459.16</v>
      </c>
      <c r="F9" s="114">
        <v>30230.29</v>
      </c>
      <c r="G9" s="114">
        <v>1289825.51</v>
      </c>
      <c r="H9" s="114">
        <v>1356122.54</v>
      </c>
      <c r="I9" s="110">
        <v>1.2</v>
      </c>
      <c r="J9" s="111">
        <f t="shared" si="0"/>
        <v>1627347.05</v>
      </c>
      <c r="L9" s="45"/>
      <c r="M9" s="100"/>
    </row>
    <row r="10" spans="1:13" s="13" customFormat="1" ht="24" customHeight="1" x14ac:dyDescent="0.25">
      <c r="A10" s="105">
        <v>8</v>
      </c>
      <c r="B10" s="106" t="s">
        <v>126</v>
      </c>
      <c r="C10" s="119" t="s">
        <v>57</v>
      </c>
      <c r="D10" s="113">
        <v>866585.5</v>
      </c>
      <c r="E10" s="114">
        <v>71060.009999999995</v>
      </c>
      <c r="F10" s="114">
        <v>22503.49</v>
      </c>
      <c r="G10" s="114">
        <v>960149</v>
      </c>
      <c r="H10" s="114">
        <v>1009500.66</v>
      </c>
      <c r="I10" s="110">
        <v>1.2</v>
      </c>
      <c r="J10" s="111">
        <f t="shared" si="0"/>
        <v>1211400.79</v>
      </c>
      <c r="L10" s="45"/>
      <c r="M10" s="100"/>
    </row>
    <row r="11" spans="1:13" s="13" customFormat="1" ht="24" customHeight="1" x14ac:dyDescent="0.25">
      <c r="A11" s="105">
        <v>9</v>
      </c>
      <c r="B11" s="106" t="s">
        <v>127</v>
      </c>
      <c r="C11" s="119" t="s">
        <v>72</v>
      </c>
      <c r="D11" s="113">
        <v>10963448.359999999</v>
      </c>
      <c r="E11" s="114">
        <v>899002.77</v>
      </c>
      <c r="F11" s="114">
        <v>284698.83</v>
      </c>
      <c r="G11" s="114">
        <v>12147149.960000001</v>
      </c>
      <c r="H11" s="114">
        <v>12771513.470000001</v>
      </c>
      <c r="I11" s="110">
        <v>1.2</v>
      </c>
      <c r="J11" s="111">
        <f t="shared" si="0"/>
        <v>15325816.16</v>
      </c>
      <c r="L11" s="45"/>
      <c r="M11" s="100"/>
    </row>
    <row r="12" spans="1:13" s="13" customFormat="1" ht="24" customHeight="1" x14ac:dyDescent="0.25">
      <c r="A12" s="105">
        <v>10</v>
      </c>
      <c r="B12" s="106" t="s">
        <v>73</v>
      </c>
      <c r="C12" s="119" t="s">
        <v>74</v>
      </c>
      <c r="D12" s="113">
        <v>3752233.29</v>
      </c>
      <c r="E12" s="114">
        <v>307683.13</v>
      </c>
      <c r="F12" s="114">
        <v>97437.99</v>
      </c>
      <c r="G12" s="114">
        <v>4157354.41</v>
      </c>
      <c r="H12" s="114">
        <v>4371042.43</v>
      </c>
      <c r="I12" s="110">
        <v>1.2</v>
      </c>
      <c r="J12" s="111">
        <f t="shared" si="0"/>
        <v>5245250.92</v>
      </c>
      <c r="L12" s="45"/>
      <c r="M12" s="100"/>
    </row>
    <row r="13" spans="1:13" s="13" customFormat="1" ht="27.75" customHeight="1" x14ac:dyDescent="0.25">
      <c r="A13" s="105">
        <v>11</v>
      </c>
      <c r="B13" s="106" t="s">
        <v>128</v>
      </c>
      <c r="C13" s="119" t="s">
        <v>60</v>
      </c>
      <c r="D13" s="113">
        <v>361611.41</v>
      </c>
      <c r="E13" s="114">
        <v>29652.14</v>
      </c>
      <c r="F13" s="114">
        <v>9390.33</v>
      </c>
      <c r="G13" s="114">
        <v>400653.88</v>
      </c>
      <c r="H13" s="114">
        <v>421247.49</v>
      </c>
      <c r="I13" s="110">
        <v>1.2</v>
      </c>
      <c r="J13" s="111">
        <f t="shared" si="0"/>
        <v>505496.99</v>
      </c>
      <c r="L13" s="45"/>
      <c r="M13" s="100"/>
    </row>
    <row r="14" spans="1:13" s="13" customFormat="1" ht="30.75" customHeight="1" x14ac:dyDescent="0.25">
      <c r="A14" s="105">
        <v>12</v>
      </c>
      <c r="B14" s="106" t="s">
        <v>129</v>
      </c>
      <c r="C14" s="119" t="s">
        <v>55</v>
      </c>
      <c r="D14" s="113">
        <v>241726.59</v>
      </c>
      <c r="E14" s="114">
        <v>19821.580000000002</v>
      </c>
      <c r="F14" s="114">
        <v>6277.16</v>
      </c>
      <c r="G14" s="114">
        <v>267825.33</v>
      </c>
      <c r="H14" s="114">
        <v>281591.55</v>
      </c>
      <c r="I14" s="110">
        <v>1.2</v>
      </c>
      <c r="J14" s="111">
        <f t="shared" si="0"/>
        <v>337909.86</v>
      </c>
      <c r="L14" s="45"/>
      <c r="M14" s="100"/>
    </row>
    <row r="15" spans="1:13" s="13" customFormat="1" ht="24" customHeight="1" x14ac:dyDescent="0.25">
      <c r="A15" s="105">
        <v>13</v>
      </c>
      <c r="B15" s="106" t="s">
        <v>130</v>
      </c>
      <c r="C15" s="119" t="s">
        <v>102</v>
      </c>
      <c r="D15" s="113">
        <v>2571608.66</v>
      </c>
      <c r="E15" s="114">
        <v>210871.91</v>
      </c>
      <c r="F15" s="114">
        <v>66779.53</v>
      </c>
      <c r="G15" s="114">
        <v>2849260.1</v>
      </c>
      <c r="H15" s="114">
        <v>2995712.07</v>
      </c>
      <c r="I15" s="110">
        <v>1.2</v>
      </c>
      <c r="J15" s="111">
        <f t="shared" si="0"/>
        <v>3594854.48</v>
      </c>
      <c r="L15" s="45"/>
      <c r="M15" s="100"/>
    </row>
    <row r="16" spans="1:13" s="13" customFormat="1" ht="28.5" customHeight="1" x14ac:dyDescent="0.25">
      <c r="A16" s="105">
        <v>14</v>
      </c>
      <c r="B16" s="106" t="s">
        <v>131</v>
      </c>
      <c r="C16" s="119" t="s">
        <v>62</v>
      </c>
      <c r="D16" s="113">
        <v>402278.26</v>
      </c>
      <c r="E16" s="114">
        <v>32986.82</v>
      </c>
      <c r="F16" s="114">
        <v>10446.36</v>
      </c>
      <c r="G16" s="114">
        <v>445711.44</v>
      </c>
      <c r="H16" s="114">
        <v>468621.01</v>
      </c>
      <c r="I16" s="110">
        <v>1.2</v>
      </c>
      <c r="J16" s="111">
        <f t="shared" si="0"/>
        <v>562345.21</v>
      </c>
      <c r="L16" s="45"/>
      <c r="M16" s="100"/>
    </row>
    <row r="17" spans="1:13" s="13" customFormat="1" ht="0.75" customHeight="1" x14ac:dyDescent="0.25">
      <c r="A17" s="105"/>
      <c r="B17" s="106"/>
      <c r="C17" s="107"/>
      <c r="D17" s="114"/>
      <c r="E17" s="114"/>
      <c r="F17" s="114"/>
      <c r="G17" s="114"/>
      <c r="H17" s="114"/>
      <c r="I17" s="110"/>
      <c r="J17" s="111"/>
    </row>
    <row r="18" spans="1:13" s="13" customFormat="1" ht="24" customHeight="1" x14ac:dyDescent="0.25">
      <c r="A18" s="115"/>
      <c r="B18" s="116" t="s">
        <v>99</v>
      </c>
      <c r="C18" s="115"/>
      <c r="D18" s="117">
        <f t="shared" ref="D18:J18" si="1">SUM(D3:D17)</f>
        <v>259764994.05999994</v>
      </c>
      <c r="E18" s="117">
        <f t="shared" si="1"/>
        <v>21300729.520000003</v>
      </c>
      <c r="F18" s="117">
        <f t="shared" si="1"/>
        <v>6745577.3800000027</v>
      </c>
      <c r="G18" s="117">
        <f t="shared" si="1"/>
        <v>287811300.96000004</v>
      </c>
      <c r="H18" s="117">
        <f t="shared" si="1"/>
        <v>302604801.86000007</v>
      </c>
      <c r="I18" s="117"/>
      <c r="J18" s="117">
        <f t="shared" si="1"/>
        <v>363125762.22000009</v>
      </c>
      <c r="L18" s="45"/>
    </row>
    <row r="20" spans="1:13" s="13" customFormat="1" ht="28.5" customHeight="1" x14ac:dyDescent="0.25">
      <c r="A20" s="105">
        <v>15</v>
      </c>
      <c r="B20" s="106" t="s">
        <v>132</v>
      </c>
      <c r="C20" s="107" t="s">
        <v>133</v>
      </c>
      <c r="D20" s="113">
        <v>3513833.05</v>
      </c>
      <c r="E20" s="114">
        <v>0</v>
      </c>
      <c r="F20" s="114">
        <v>0</v>
      </c>
      <c r="G20" s="114">
        <f>D20</f>
        <v>3513833.05</v>
      </c>
      <c r="H20" s="114">
        <v>0</v>
      </c>
      <c r="I20" s="110">
        <v>1.2</v>
      </c>
      <c r="J20" s="111">
        <f>G20*I20</f>
        <v>4216599.6599999992</v>
      </c>
      <c r="L20" s="45"/>
      <c r="M20" s="100"/>
    </row>
    <row r="21" spans="1:13" s="13" customFormat="1" ht="24" customHeight="1" x14ac:dyDescent="0.25">
      <c r="A21" s="105">
        <v>16</v>
      </c>
      <c r="B21" s="106" t="s">
        <v>134</v>
      </c>
      <c r="C21" s="107" t="s">
        <v>135</v>
      </c>
      <c r="D21" s="113">
        <v>1800394.58</v>
      </c>
      <c r="E21" s="114">
        <v>0</v>
      </c>
      <c r="F21" s="114">
        <v>0</v>
      </c>
      <c r="G21" s="114">
        <f>D21</f>
        <v>1800394.58</v>
      </c>
      <c r="H21" s="114">
        <v>0</v>
      </c>
      <c r="I21" s="110">
        <v>1.2</v>
      </c>
      <c r="J21" s="111">
        <f>G21*I21</f>
        <v>2160473.4959999998</v>
      </c>
      <c r="L21" s="45"/>
      <c r="M21" s="100"/>
    </row>
    <row r="22" spans="1:13" x14ac:dyDescent="0.25">
      <c r="J22" s="118"/>
    </row>
    <row r="23" spans="1:13" s="13" customFormat="1" ht="24" hidden="1" customHeight="1" x14ac:dyDescent="0.25">
      <c r="A23" s="115"/>
      <c r="B23" s="116" t="s">
        <v>99</v>
      </c>
      <c r="C23" s="115"/>
      <c r="D23" s="117">
        <f>D18+D20+D21</f>
        <v>265079221.68999997</v>
      </c>
      <c r="E23" s="117">
        <f t="shared" ref="E23:J23" si="2">E18+E20+E21</f>
        <v>21300729.520000003</v>
      </c>
      <c r="F23" s="117">
        <f t="shared" si="2"/>
        <v>6745577.3800000027</v>
      </c>
      <c r="G23" s="117">
        <f t="shared" si="2"/>
        <v>293125528.59000003</v>
      </c>
      <c r="H23" s="117">
        <f t="shared" si="2"/>
        <v>302604801.86000007</v>
      </c>
      <c r="I23" s="117"/>
      <c r="J23" s="117">
        <f t="shared" si="2"/>
        <v>369502835.37600011</v>
      </c>
      <c r="L23" s="45"/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9454-B6FA-4CE2-AAD7-0AD7153F427F}">
  <dimension ref="A1:N50"/>
  <sheetViews>
    <sheetView view="pageBreakPreview" topLeftCell="A25" zoomScaleNormal="100" zoomScaleSheetLayoutView="100" workbookViewId="0">
      <selection activeCell="J30" sqref="J30"/>
    </sheetView>
  </sheetViews>
  <sheetFormatPr defaultColWidth="9.140625" defaultRowHeight="15" x14ac:dyDescent="0.25"/>
  <cols>
    <col min="1" max="1" width="17" style="13" customWidth="1"/>
    <col min="2" max="2" width="20.85546875" style="13" customWidth="1"/>
    <col min="3" max="3" width="63.28515625" style="13" customWidth="1"/>
    <col min="4" max="4" width="15.7109375" style="13" customWidth="1"/>
    <col min="5" max="5" width="18.28515625" style="13" customWidth="1"/>
    <col min="6" max="6" width="15.85546875" style="13" customWidth="1"/>
    <col min="7" max="7" width="15.7109375" style="13" customWidth="1"/>
    <col min="8" max="8" width="20.5703125" style="13" customWidth="1"/>
    <col min="9" max="9" width="12.85546875" style="13" customWidth="1"/>
    <col min="10" max="10" width="26.5703125" style="13" bestFit="1" customWidth="1"/>
    <col min="11" max="11" width="20.5703125" style="13" customWidth="1"/>
    <col min="12" max="12" width="12.85546875" style="13" customWidth="1"/>
    <col min="13" max="13" width="26.5703125" style="13" bestFit="1" customWidth="1"/>
    <col min="14" max="16384" width="9.140625" style="13"/>
  </cols>
  <sheetData>
    <row r="1" spans="1:13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x14ac:dyDescent="0.25">
      <c r="A2" s="58" t="s">
        <v>103</v>
      </c>
      <c r="B2" s="144" t="s">
        <v>104</v>
      </c>
      <c r="C2" s="144"/>
      <c r="D2" s="144"/>
      <c r="E2" s="144"/>
      <c r="F2" s="144"/>
      <c r="G2" s="144"/>
      <c r="H2" s="144"/>
      <c r="I2" s="144"/>
      <c r="J2" s="144"/>
      <c r="K2" s="59"/>
      <c r="L2" s="59"/>
      <c r="M2" s="59"/>
    </row>
    <row r="3" spans="1:13" x14ac:dyDescent="0.25">
      <c r="A3" s="60"/>
      <c r="B3" s="145" t="s">
        <v>105</v>
      </c>
      <c r="C3" s="145"/>
      <c r="D3" s="145"/>
      <c r="E3" s="145"/>
      <c r="F3" s="145"/>
      <c r="G3" s="145"/>
      <c r="H3" s="145"/>
      <c r="I3" s="145"/>
      <c r="J3" s="145"/>
      <c r="K3" s="61"/>
      <c r="L3" s="61"/>
      <c r="M3" s="61"/>
    </row>
    <row r="4" spans="1:13" x14ac:dyDescent="0.25">
      <c r="A4" s="62" t="s">
        <v>106</v>
      </c>
      <c r="B4" s="146" t="s">
        <v>107</v>
      </c>
      <c r="C4" s="146"/>
      <c r="D4" s="146"/>
      <c r="E4" s="146"/>
      <c r="F4" s="146"/>
      <c r="G4" s="146"/>
      <c r="H4" s="146"/>
      <c r="I4" s="146"/>
      <c r="J4" s="146"/>
      <c r="K4" s="63"/>
      <c r="L4" s="63"/>
      <c r="M4" s="63"/>
    </row>
    <row r="5" spans="1:13" x14ac:dyDescent="0.25">
      <c r="A5" s="64"/>
      <c r="B5" s="145" t="s">
        <v>105</v>
      </c>
      <c r="C5" s="145"/>
      <c r="D5" s="145"/>
      <c r="E5" s="145"/>
      <c r="F5" s="145"/>
      <c r="G5" s="145"/>
      <c r="H5" s="145"/>
      <c r="I5" s="145"/>
      <c r="J5" s="145"/>
      <c r="K5" s="61"/>
      <c r="L5" s="61"/>
      <c r="M5" s="61"/>
    </row>
    <row r="6" spans="1:13" x14ac:dyDescent="0.25">
      <c r="A6" s="62" t="s">
        <v>108</v>
      </c>
      <c r="B6" s="146" t="s">
        <v>109</v>
      </c>
      <c r="C6" s="146"/>
      <c r="D6" s="146"/>
      <c r="E6" s="146"/>
      <c r="F6" s="146"/>
      <c r="G6" s="146"/>
      <c r="H6" s="146"/>
      <c r="I6" s="146"/>
      <c r="J6" s="146"/>
      <c r="K6" s="63"/>
      <c r="L6" s="63"/>
      <c r="M6" s="63"/>
    </row>
    <row r="7" spans="1:13" x14ac:dyDescent="0.25">
      <c r="A7" s="64"/>
      <c r="B7" s="145" t="s">
        <v>110</v>
      </c>
      <c r="C7" s="145"/>
      <c r="D7" s="145"/>
      <c r="E7" s="145"/>
      <c r="F7" s="145"/>
      <c r="G7" s="145"/>
      <c r="H7" s="145"/>
      <c r="I7" s="145"/>
      <c r="J7" s="145"/>
      <c r="K7" s="61"/>
      <c r="L7" s="61"/>
      <c r="M7" s="61"/>
    </row>
    <row r="8" spans="1:13" x14ac:dyDescent="0.25">
      <c r="A8" s="142" t="s">
        <v>111</v>
      </c>
      <c r="B8" s="142"/>
      <c r="C8" s="142"/>
      <c r="D8" s="142"/>
      <c r="E8" s="142"/>
      <c r="F8" s="142"/>
      <c r="G8" s="142"/>
      <c r="H8" s="142"/>
      <c r="I8" s="142"/>
      <c r="J8" s="142"/>
      <c r="K8" s="65"/>
      <c r="L8" s="65"/>
      <c r="M8" s="65"/>
    </row>
    <row r="9" spans="1:13" ht="7.5" customHeight="1" x14ac:dyDescent="0.2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</row>
    <row r="10" spans="1:13" x14ac:dyDescent="0.25">
      <c r="A10" s="10"/>
      <c r="B10" s="10"/>
      <c r="C10" s="10"/>
      <c r="D10" s="10"/>
      <c r="E10" s="10"/>
      <c r="F10" s="10"/>
      <c r="G10" s="10"/>
      <c r="H10" s="143" t="s">
        <v>112</v>
      </c>
      <c r="I10" s="143"/>
      <c r="J10" s="143"/>
      <c r="K10" s="143" t="s">
        <v>113</v>
      </c>
      <c r="L10" s="143"/>
      <c r="M10" s="143"/>
    </row>
    <row r="11" spans="1:13" ht="60" x14ac:dyDescent="0.25">
      <c r="A11" s="19" t="s">
        <v>28</v>
      </c>
      <c r="B11" s="19" t="s">
        <v>29</v>
      </c>
      <c r="C11" s="19" t="s">
        <v>30</v>
      </c>
      <c r="D11" s="19" t="s">
        <v>114</v>
      </c>
      <c r="E11" s="19" t="s">
        <v>115</v>
      </c>
      <c r="F11" s="19" t="s">
        <v>116</v>
      </c>
      <c r="G11" s="19" t="s">
        <v>117</v>
      </c>
      <c r="H11" s="42" t="s">
        <v>118</v>
      </c>
      <c r="I11" s="19" t="s">
        <v>119</v>
      </c>
      <c r="J11" s="42" t="s">
        <v>120</v>
      </c>
      <c r="K11" s="66" t="s">
        <v>118</v>
      </c>
      <c r="L11" s="67" t="s">
        <v>119</v>
      </c>
      <c r="M11" s="66" t="s">
        <v>120</v>
      </c>
    </row>
    <row r="12" spans="1:13" ht="30" customHeight="1" x14ac:dyDescent="0.25">
      <c r="A12" s="68">
        <v>1</v>
      </c>
      <c r="B12" s="16" t="s">
        <v>40</v>
      </c>
      <c r="C12" s="120" t="s">
        <v>41</v>
      </c>
      <c r="D12" s="70">
        <v>27216587.620000001</v>
      </c>
      <c r="E12" s="70">
        <v>2231760.1800000002</v>
      </c>
      <c r="F12" s="70">
        <v>706760.35</v>
      </c>
      <c r="G12" s="70">
        <v>30155108.149999999</v>
      </c>
      <c r="H12" s="18">
        <v>31705080.710000001</v>
      </c>
      <c r="I12" s="71">
        <v>1.2</v>
      </c>
      <c r="J12" s="18">
        <f>ROUND(H12*I12,2)</f>
        <v>38046096.850000001</v>
      </c>
      <c r="K12" s="72">
        <v>0</v>
      </c>
      <c r="L12" s="73">
        <v>1.2</v>
      </c>
      <c r="M12" s="72">
        <f>ROUND(K12*L12,2)</f>
        <v>0</v>
      </c>
    </row>
    <row r="13" spans="1:13" ht="30" customHeight="1" x14ac:dyDescent="0.25">
      <c r="A13" s="19">
        <v>2</v>
      </c>
      <c r="B13" s="19" t="s">
        <v>42</v>
      </c>
      <c r="C13" s="121" t="s">
        <v>43</v>
      </c>
      <c r="D13" s="74">
        <v>2580741.9900000002</v>
      </c>
      <c r="E13" s="74">
        <v>211620.84</v>
      </c>
      <c r="F13" s="74">
        <v>67016.710000000006</v>
      </c>
      <c r="G13" s="74">
        <v>2859379.54</v>
      </c>
      <c r="H13" s="21">
        <v>3006351.65</v>
      </c>
      <c r="I13" s="75">
        <v>1.2</v>
      </c>
      <c r="J13" s="21">
        <f t="shared" ref="J13:J40" si="0">ROUND(H13*I13,2)</f>
        <v>3607621.98</v>
      </c>
      <c r="K13" s="72">
        <v>0</v>
      </c>
      <c r="L13" s="76">
        <v>1.2</v>
      </c>
      <c r="M13" s="77">
        <f t="shared" ref="M13:M29" si="1">ROUND(K13*L13,2)</f>
        <v>0</v>
      </c>
    </row>
    <row r="14" spans="1:13" ht="30" customHeight="1" x14ac:dyDescent="0.25">
      <c r="A14" s="19">
        <v>3</v>
      </c>
      <c r="B14" s="19" t="s">
        <v>44</v>
      </c>
      <c r="C14" s="121" t="s">
        <v>45</v>
      </c>
      <c r="D14" s="74">
        <v>286922.48</v>
      </c>
      <c r="E14" s="74">
        <v>23527.64</v>
      </c>
      <c r="F14" s="74">
        <v>7450.8</v>
      </c>
      <c r="G14" s="74">
        <v>317900.92</v>
      </c>
      <c r="H14" s="21">
        <v>334241.03000000003</v>
      </c>
      <c r="I14" s="75">
        <v>1.2</v>
      </c>
      <c r="J14" s="21">
        <f t="shared" si="0"/>
        <v>401089.24</v>
      </c>
      <c r="K14" s="72">
        <v>0</v>
      </c>
      <c r="L14" s="76">
        <v>1.2</v>
      </c>
      <c r="M14" s="77">
        <f t="shared" si="1"/>
        <v>0</v>
      </c>
    </row>
    <row r="15" spans="1:13" ht="30" customHeight="1" x14ac:dyDescent="0.25">
      <c r="A15" s="19">
        <v>4</v>
      </c>
      <c r="B15" s="19" t="s">
        <v>46</v>
      </c>
      <c r="C15" s="121" t="s">
        <v>47</v>
      </c>
      <c r="D15" s="74">
        <v>247380.85</v>
      </c>
      <c r="E15" s="74">
        <v>20285.23</v>
      </c>
      <c r="F15" s="74">
        <v>6423.99</v>
      </c>
      <c r="G15" s="74">
        <v>274090.07</v>
      </c>
      <c r="H15" s="21">
        <v>288178.3</v>
      </c>
      <c r="I15" s="75">
        <v>1.2</v>
      </c>
      <c r="J15" s="21">
        <f t="shared" si="0"/>
        <v>345813.96</v>
      </c>
      <c r="K15" s="72">
        <v>0</v>
      </c>
      <c r="L15" s="76">
        <v>1.2</v>
      </c>
      <c r="M15" s="77">
        <f t="shared" si="1"/>
        <v>0</v>
      </c>
    </row>
    <row r="16" spans="1:13" ht="30" customHeight="1" x14ac:dyDescent="0.25">
      <c r="A16" s="19">
        <v>5</v>
      </c>
      <c r="B16" s="19" t="s">
        <v>48</v>
      </c>
      <c r="C16" s="121" t="s">
        <v>49</v>
      </c>
      <c r="D16" s="74">
        <v>3236877.75</v>
      </c>
      <c r="E16" s="74">
        <v>265423.98</v>
      </c>
      <c r="F16" s="74">
        <v>84055.24</v>
      </c>
      <c r="G16" s="74">
        <v>3586356.97</v>
      </c>
      <c r="H16" s="21">
        <v>3770695.72</v>
      </c>
      <c r="I16" s="75">
        <v>1.2</v>
      </c>
      <c r="J16" s="21">
        <f t="shared" si="0"/>
        <v>4524834.8600000003</v>
      </c>
      <c r="K16" s="72">
        <v>0</v>
      </c>
      <c r="L16" s="76">
        <v>1.2</v>
      </c>
      <c r="M16" s="77">
        <f t="shared" si="1"/>
        <v>0</v>
      </c>
    </row>
    <row r="17" spans="1:14" ht="30" customHeight="1" x14ac:dyDescent="0.25">
      <c r="A17" s="19">
        <v>6</v>
      </c>
      <c r="B17" s="19" t="s">
        <v>50</v>
      </c>
      <c r="C17" s="121" t="s">
        <v>51</v>
      </c>
      <c r="D17" s="74">
        <v>1091766.23</v>
      </c>
      <c r="E17" s="74">
        <v>89524.83</v>
      </c>
      <c r="F17" s="74">
        <v>28350.99</v>
      </c>
      <c r="G17" s="74">
        <v>1209642.05</v>
      </c>
      <c r="H17" s="21">
        <v>1271817.6499999999</v>
      </c>
      <c r="I17" s="75">
        <v>1.2</v>
      </c>
      <c r="J17" s="21">
        <f t="shared" si="0"/>
        <v>1526181.18</v>
      </c>
      <c r="K17" s="72">
        <v>0</v>
      </c>
      <c r="L17" s="76">
        <v>1.2</v>
      </c>
      <c r="M17" s="77">
        <f t="shared" si="1"/>
        <v>0</v>
      </c>
    </row>
    <row r="18" spans="1:14" s="22" customFormat="1" ht="30" customHeight="1" x14ac:dyDescent="0.25">
      <c r="A18" s="16">
        <v>7</v>
      </c>
      <c r="B18" s="16" t="s">
        <v>52</v>
      </c>
      <c r="C18" s="120" t="s">
        <v>53</v>
      </c>
      <c r="D18" s="70">
        <v>14058995.09</v>
      </c>
      <c r="E18" s="70">
        <v>1152837.6000000001</v>
      </c>
      <c r="F18" s="70">
        <v>365083.98</v>
      </c>
      <c r="G18" s="70">
        <v>15576916.67</v>
      </c>
      <c r="H18" s="18">
        <v>16377570.189999999</v>
      </c>
      <c r="I18" s="71">
        <v>1.2</v>
      </c>
      <c r="J18" s="18">
        <f t="shared" si="0"/>
        <v>19653084.23</v>
      </c>
      <c r="K18" s="72">
        <v>0</v>
      </c>
      <c r="L18" s="73">
        <v>1.2</v>
      </c>
      <c r="M18" s="72">
        <f t="shared" si="1"/>
        <v>0</v>
      </c>
    </row>
    <row r="19" spans="1:14" ht="30" customHeight="1" x14ac:dyDescent="0.25">
      <c r="A19" s="19">
        <v>8</v>
      </c>
      <c r="B19" s="19" t="s">
        <v>54</v>
      </c>
      <c r="C19" s="121" t="s">
        <v>55</v>
      </c>
      <c r="D19" s="74">
        <v>1570798.31</v>
      </c>
      <c r="E19" s="74">
        <v>128805.46</v>
      </c>
      <c r="F19" s="74">
        <v>40790.49</v>
      </c>
      <c r="G19" s="74">
        <v>1740394.26</v>
      </c>
      <c r="H19" s="21">
        <v>1829850.52</v>
      </c>
      <c r="I19" s="75">
        <v>1.2</v>
      </c>
      <c r="J19" s="21">
        <f t="shared" si="0"/>
        <v>2195820.62</v>
      </c>
      <c r="K19" s="72">
        <v>0</v>
      </c>
      <c r="L19" s="76">
        <v>1.2</v>
      </c>
      <c r="M19" s="77">
        <f t="shared" si="1"/>
        <v>0</v>
      </c>
    </row>
    <row r="20" spans="1:14" ht="30" customHeight="1" x14ac:dyDescent="0.25">
      <c r="A20" s="19">
        <v>9</v>
      </c>
      <c r="B20" s="19" t="s">
        <v>56</v>
      </c>
      <c r="C20" s="121" t="s">
        <v>57</v>
      </c>
      <c r="D20" s="74">
        <v>2149017.2799999998</v>
      </c>
      <c r="E20" s="74">
        <v>176219.42</v>
      </c>
      <c r="F20" s="74">
        <v>55805.68</v>
      </c>
      <c r="G20" s="74">
        <v>2381042.38</v>
      </c>
      <c r="H20" s="21">
        <v>2503427.96</v>
      </c>
      <c r="I20" s="75">
        <v>1.2</v>
      </c>
      <c r="J20" s="21">
        <f t="shared" si="0"/>
        <v>3004113.55</v>
      </c>
      <c r="K20" s="72">
        <v>0</v>
      </c>
      <c r="L20" s="76">
        <v>1.2</v>
      </c>
      <c r="M20" s="77">
        <f t="shared" si="1"/>
        <v>0</v>
      </c>
    </row>
    <row r="21" spans="1:14" ht="30" customHeight="1" x14ac:dyDescent="0.25">
      <c r="A21" s="19">
        <v>10</v>
      </c>
      <c r="B21" s="19" t="s">
        <v>58</v>
      </c>
      <c r="C21" s="121" t="s">
        <v>59</v>
      </c>
      <c r="D21" s="74">
        <v>760525.99</v>
      </c>
      <c r="E21" s="74">
        <v>62363.13</v>
      </c>
      <c r="F21" s="74">
        <v>19749.34</v>
      </c>
      <c r="G21" s="74">
        <v>842638.46</v>
      </c>
      <c r="H21" s="21">
        <v>885950.08</v>
      </c>
      <c r="I21" s="75">
        <v>1.2</v>
      </c>
      <c r="J21" s="21">
        <f t="shared" si="0"/>
        <v>1063140.1000000001</v>
      </c>
      <c r="K21" s="72">
        <v>0</v>
      </c>
      <c r="L21" s="76">
        <v>1.2</v>
      </c>
      <c r="M21" s="77">
        <f t="shared" si="1"/>
        <v>0</v>
      </c>
    </row>
    <row r="22" spans="1:14" ht="30" customHeight="1" x14ac:dyDescent="0.25">
      <c r="A22" s="19">
        <v>11</v>
      </c>
      <c r="B22" s="19" t="s">
        <v>61</v>
      </c>
      <c r="C22" s="121" t="s">
        <v>62</v>
      </c>
      <c r="D22" s="74">
        <v>2453763.13</v>
      </c>
      <c r="E22" s="74">
        <v>201208.58</v>
      </c>
      <c r="F22" s="74">
        <v>63719.32</v>
      </c>
      <c r="G22" s="74">
        <v>2718691.03</v>
      </c>
      <c r="H22" s="21">
        <v>2858431.75</v>
      </c>
      <c r="I22" s="75">
        <v>1.2</v>
      </c>
      <c r="J22" s="21">
        <f t="shared" si="0"/>
        <v>3430118.1</v>
      </c>
      <c r="K22" s="72">
        <v>0</v>
      </c>
      <c r="L22" s="76">
        <v>1.2</v>
      </c>
      <c r="M22" s="77">
        <f t="shared" si="1"/>
        <v>0</v>
      </c>
    </row>
    <row r="23" spans="1:14" ht="30" customHeight="1" x14ac:dyDescent="0.25">
      <c r="A23" s="19">
        <v>12</v>
      </c>
      <c r="B23" s="19" t="s">
        <v>63</v>
      </c>
      <c r="C23" s="121" t="s">
        <v>64</v>
      </c>
      <c r="D23" s="74">
        <v>1767115.46</v>
      </c>
      <c r="E23" s="74">
        <v>144903.47</v>
      </c>
      <c r="F23" s="74">
        <v>45888.45</v>
      </c>
      <c r="G23" s="74">
        <v>1957907.38</v>
      </c>
      <c r="H23" s="21">
        <v>2058543.82</v>
      </c>
      <c r="I23" s="75">
        <v>1.2</v>
      </c>
      <c r="J23" s="21">
        <f t="shared" si="0"/>
        <v>2470252.58</v>
      </c>
      <c r="K23" s="72">
        <v>0</v>
      </c>
      <c r="L23" s="76">
        <v>1.2</v>
      </c>
      <c r="M23" s="77">
        <f t="shared" si="1"/>
        <v>0</v>
      </c>
    </row>
    <row r="24" spans="1:14" ht="30" customHeight="1" x14ac:dyDescent="0.25">
      <c r="A24" s="19">
        <v>13</v>
      </c>
      <c r="B24" s="19" t="s">
        <v>65</v>
      </c>
      <c r="C24" s="121" t="s">
        <v>66</v>
      </c>
      <c r="D24" s="74">
        <v>3363402.63</v>
      </c>
      <c r="E24" s="74">
        <v>275799.02</v>
      </c>
      <c r="F24" s="74">
        <v>87340.84</v>
      </c>
      <c r="G24" s="74">
        <v>3726542.49</v>
      </c>
      <c r="H24" s="21">
        <v>3918086.77</v>
      </c>
      <c r="I24" s="75">
        <v>1.2</v>
      </c>
      <c r="J24" s="21">
        <f t="shared" si="0"/>
        <v>4701704.12</v>
      </c>
      <c r="K24" s="72">
        <v>0</v>
      </c>
      <c r="L24" s="76">
        <v>1.2</v>
      </c>
      <c r="M24" s="77">
        <f t="shared" si="1"/>
        <v>0</v>
      </c>
    </row>
    <row r="25" spans="1:14" s="22" customFormat="1" ht="30" customHeight="1" x14ac:dyDescent="0.25">
      <c r="A25" s="24">
        <v>14</v>
      </c>
      <c r="B25" s="24" t="s">
        <v>67</v>
      </c>
      <c r="C25" s="122" t="s">
        <v>68</v>
      </c>
      <c r="D25" s="78">
        <v>4484122.8</v>
      </c>
      <c r="E25" s="78">
        <v>367698.07</v>
      </c>
      <c r="F25" s="78">
        <v>116443.7</v>
      </c>
      <c r="G25" s="78">
        <v>4968264.57</v>
      </c>
      <c r="H25" s="79">
        <v>5223633.37</v>
      </c>
      <c r="I25" s="80">
        <v>1.2</v>
      </c>
      <c r="J25" s="79">
        <f t="shared" si="0"/>
        <v>6268360.04</v>
      </c>
      <c r="K25" s="81">
        <f>119476.61*1.0514</f>
        <v>125617.70775399999</v>
      </c>
      <c r="L25" s="82">
        <v>1.2</v>
      </c>
      <c r="M25" s="81">
        <f t="shared" si="1"/>
        <v>150741.25</v>
      </c>
      <c r="N25" s="83"/>
    </row>
    <row r="26" spans="1:14" ht="30" customHeight="1" x14ac:dyDescent="0.25">
      <c r="A26" s="19">
        <v>15</v>
      </c>
      <c r="B26" s="19" t="s">
        <v>69</v>
      </c>
      <c r="C26" s="121" t="s">
        <v>70</v>
      </c>
      <c r="D26" s="74">
        <v>13629091.9</v>
      </c>
      <c r="E26" s="74">
        <v>1117585.54</v>
      </c>
      <c r="F26" s="74">
        <v>353920.26</v>
      </c>
      <c r="G26" s="74">
        <v>15100597.699999999</v>
      </c>
      <c r="H26" s="21">
        <v>15876768.42</v>
      </c>
      <c r="I26" s="75">
        <v>1.2</v>
      </c>
      <c r="J26" s="21">
        <f t="shared" si="0"/>
        <v>19052122.100000001</v>
      </c>
      <c r="K26" s="72">
        <v>0</v>
      </c>
      <c r="L26" s="76">
        <v>1.2</v>
      </c>
      <c r="M26" s="77">
        <f t="shared" si="1"/>
        <v>0</v>
      </c>
    </row>
    <row r="27" spans="1:14" ht="30" customHeight="1" x14ac:dyDescent="0.25">
      <c r="A27" s="19">
        <v>16</v>
      </c>
      <c r="B27" s="19" t="s">
        <v>71</v>
      </c>
      <c r="C27" s="123" t="s">
        <v>72</v>
      </c>
      <c r="D27" s="74">
        <v>49450959.759999998</v>
      </c>
      <c r="E27" s="74">
        <v>4054978.7</v>
      </c>
      <c r="F27" s="74">
        <v>1284142.52</v>
      </c>
      <c r="G27" s="74">
        <v>54790080.979999997</v>
      </c>
      <c r="H27" s="21">
        <v>57606291.140000001</v>
      </c>
      <c r="I27" s="75">
        <v>1.2</v>
      </c>
      <c r="J27" s="21">
        <f t="shared" si="0"/>
        <v>69127549.370000005</v>
      </c>
      <c r="K27" s="72">
        <v>0</v>
      </c>
      <c r="L27" s="76">
        <v>1.2</v>
      </c>
      <c r="M27" s="77">
        <f t="shared" si="1"/>
        <v>0</v>
      </c>
    </row>
    <row r="28" spans="1:14" ht="30" customHeight="1" x14ac:dyDescent="0.25">
      <c r="A28" s="19">
        <v>17</v>
      </c>
      <c r="B28" s="26" t="s">
        <v>75</v>
      </c>
      <c r="C28" s="123" t="s">
        <v>76</v>
      </c>
      <c r="D28" s="74">
        <v>62852.24</v>
      </c>
      <c r="E28" s="19">
        <v>0</v>
      </c>
      <c r="F28" s="19">
        <v>0</v>
      </c>
      <c r="G28" s="74">
        <v>62852.24</v>
      </c>
      <c r="H28" s="21">
        <v>66082.850000000006</v>
      </c>
      <c r="I28" s="75">
        <v>1.2</v>
      </c>
      <c r="J28" s="21">
        <f t="shared" si="0"/>
        <v>79299.42</v>
      </c>
      <c r="K28" s="72">
        <v>0</v>
      </c>
      <c r="L28" s="76">
        <v>1.2</v>
      </c>
      <c r="M28" s="77">
        <f t="shared" si="1"/>
        <v>0</v>
      </c>
    </row>
    <row r="29" spans="1:14" ht="30" customHeight="1" x14ac:dyDescent="0.25">
      <c r="A29" s="19">
        <v>18</v>
      </c>
      <c r="B29" s="26" t="s">
        <v>77</v>
      </c>
      <c r="C29" s="123" t="s">
        <v>78</v>
      </c>
      <c r="D29" s="74">
        <v>193794.44</v>
      </c>
      <c r="E29" s="19">
        <v>0</v>
      </c>
      <c r="F29" s="19">
        <v>0</v>
      </c>
      <c r="G29" s="74">
        <v>193794.44</v>
      </c>
      <c r="H29" s="21">
        <v>203755.47</v>
      </c>
      <c r="I29" s="75">
        <v>1.2</v>
      </c>
      <c r="J29" s="21">
        <f t="shared" si="0"/>
        <v>244506.56</v>
      </c>
      <c r="K29" s="72">
        <v>0</v>
      </c>
      <c r="L29" s="76">
        <v>1.2</v>
      </c>
      <c r="M29" s="77">
        <f t="shared" si="1"/>
        <v>0</v>
      </c>
    </row>
    <row r="30" spans="1:14" ht="30" customHeight="1" x14ac:dyDescent="0.25">
      <c r="A30" s="19">
        <v>19</v>
      </c>
      <c r="B30" s="16" t="s">
        <v>79</v>
      </c>
      <c r="C30" s="124" t="s">
        <v>35</v>
      </c>
      <c r="D30" s="70">
        <v>149447.34</v>
      </c>
      <c r="E30" s="70">
        <v>12254.68</v>
      </c>
      <c r="F30" s="70">
        <v>3880.85</v>
      </c>
      <c r="G30" s="70">
        <v>165582.87</v>
      </c>
      <c r="H30" s="18">
        <v>174093.83</v>
      </c>
      <c r="I30" s="71">
        <v>1.2</v>
      </c>
      <c r="J30" s="28">
        <f>ROUND(H30*I30,2)</f>
        <v>208912.6</v>
      </c>
      <c r="K30" s="72">
        <v>0</v>
      </c>
      <c r="L30" s="73">
        <v>1.2</v>
      </c>
      <c r="M30" s="72">
        <f>ROUND(K30*L30,2)</f>
        <v>0</v>
      </c>
    </row>
    <row r="31" spans="1:14" ht="30" customHeight="1" x14ac:dyDescent="0.25">
      <c r="A31" s="19">
        <v>20</v>
      </c>
      <c r="B31" s="16" t="s">
        <v>80</v>
      </c>
      <c r="C31" s="125" t="s">
        <v>81</v>
      </c>
      <c r="D31" s="70">
        <v>19791.849999999999</v>
      </c>
      <c r="E31" s="70">
        <v>1622.93</v>
      </c>
      <c r="F31" s="70">
        <v>513.95000000000005</v>
      </c>
      <c r="G31" s="70">
        <v>21928.73</v>
      </c>
      <c r="H31" s="70">
        <v>23055.87</v>
      </c>
      <c r="I31" s="71">
        <v>1.2</v>
      </c>
      <c r="J31" s="28">
        <f t="shared" si="0"/>
        <v>27667.040000000001</v>
      </c>
      <c r="K31" s="72">
        <v>0</v>
      </c>
      <c r="L31" s="73">
        <v>1.2</v>
      </c>
      <c r="M31" s="72">
        <f t="shared" ref="M31" si="2">ROUND(K31*L31,2)</f>
        <v>0</v>
      </c>
    </row>
    <row r="32" spans="1:14" ht="30" customHeight="1" x14ac:dyDescent="0.25">
      <c r="A32" s="19">
        <v>21</v>
      </c>
      <c r="B32" s="16" t="s">
        <v>82</v>
      </c>
      <c r="C32" s="124" t="s">
        <v>83</v>
      </c>
      <c r="D32" s="70">
        <v>61414.47</v>
      </c>
      <c r="E32" s="70">
        <v>5035.99</v>
      </c>
      <c r="F32" s="70">
        <v>1594.81</v>
      </c>
      <c r="G32" s="70">
        <v>68045.27</v>
      </c>
      <c r="H32" s="70">
        <v>71542.8</v>
      </c>
      <c r="I32" s="71">
        <v>1.2</v>
      </c>
      <c r="J32" s="28">
        <f>ROUND(H32*I32,2)</f>
        <v>85851.36</v>
      </c>
      <c r="K32" s="72">
        <v>0</v>
      </c>
      <c r="L32" s="73">
        <v>1.2</v>
      </c>
      <c r="M32" s="72">
        <f>ROUND(K32*L32,2)</f>
        <v>0</v>
      </c>
    </row>
    <row r="33" spans="1:13" ht="30" customHeight="1" x14ac:dyDescent="0.25">
      <c r="A33" s="19">
        <v>22</v>
      </c>
      <c r="B33" s="16" t="s">
        <v>84</v>
      </c>
      <c r="C33" s="124" t="s">
        <v>85</v>
      </c>
      <c r="D33" s="70">
        <v>506473.89</v>
      </c>
      <c r="E33" s="70">
        <v>41530.86</v>
      </c>
      <c r="F33" s="70">
        <v>13152.11</v>
      </c>
      <c r="G33" s="70">
        <v>561156.86</v>
      </c>
      <c r="H33" s="70">
        <v>590000.31999999995</v>
      </c>
      <c r="I33" s="71">
        <v>1.2</v>
      </c>
      <c r="J33" s="28">
        <f t="shared" si="0"/>
        <v>708000.38</v>
      </c>
      <c r="K33" s="72">
        <v>0</v>
      </c>
      <c r="L33" s="73">
        <v>1.2</v>
      </c>
      <c r="M33" s="72">
        <f t="shared" ref="M33" si="3">ROUND(K33*L33,2)</f>
        <v>0</v>
      </c>
    </row>
    <row r="34" spans="1:13" ht="30" customHeight="1" x14ac:dyDescent="0.25">
      <c r="A34" s="19">
        <v>23</v>
      </c>
      <c r="B34" s="16" t="s">
        <v>86</v>
      </c>
      <c r="C34" s="125" t="s">
        <v>87</v>
      </c>
      <c r="D34" s="70">
        <v>4080049.34</v>
      </c>
      <c r="E34" s="70">
        <v>334564.05</v>
      </c>
      <c r="F34" s="70">
        <v>105950.72</v>
      </c>
      <c r="G34" s="70">
        <v>4520564.1100000003</v>
      </c>
      <c r="H34" s="18">
        <v>4752921.1100000003</v>
      </c>
      <c r="I34" s="71">
        <v>1.2</v>
      </c>
      <c r="J34" s="28">
        <f>ROUND(H34*I34,2)</f>
        <v>5703505.3300000001</v>
      </c>
      <c r="K34" s="72">
        <v>0</v>
      </c>
      <c r="L34" s="73">
        <v>1.2</v>
      </c>
      <c r="M34" s="72">
        <f>ROUND(K34*L34,2)</f>
        <v>0</v>
      </c>
    </row>
    <row r="35" spans="1:13" ht="30" customHeight="1" x14ac:dyDescent="0.25">
      <c r="A35" s="19">
        <v>24</v>
      </c>
      <c r="B35" s="16" t="s">
        <v>88</v>
      </c>
      <c r="C35" s="84" t="s">
        <v>89</v>
      </c>
      <c r="D35" s="70">
        <v>41302.080000000002</v>
      </c>
      <c r="E35" s="70">
        <v>3386.77</v>
      </c>
      <c r="F35" s="70">
        <v>1072.53</v>
      </c>
      <c r="G35" s="70">
        <v>45761.38</v>
      </c>
      <c r="H35" s="18">
        <v>48113.51</v>
      </c>
      <c r="I35" s="71">
        <v>1.2</v>
      </c>
      <c r="J35" s="28">
        <f>ROUND(H35*I35,2)</f>
        <v>57736.21</v>
      </c>
      <c r="K35" s="72">
        <v>0</v>
      </c>
      <c r="L35" s="73">
        <v>1.2</v>
      </c>
      <c r="M35" s="72">
        <f>ROUND(K35*L35,2)</f>
        <v>0</v>
      </c>
    </row>
    <row r="36" spans="1:13" ht="30" customHeight="1" x14ac:dyDescent="0.25">
      <c r="A36" s="19">
        <v>25</v>
      </c>
      <c r="B36" s="16" t="s">
        <v>90</v>
      </c>
      <c r="C36" s="27" t="s">
        <v>91</v>
      </c>
      <c r="D36" s="70">
        <v>214268.6</v>
      </c>
      <c r="E36" s="70">
        <v>17570.03</v>
      </c>
      <c r="F36" s="70">
        <v>5564.13</v>
      </c>
      <c r="G36" s="70">
        <v>237402.76</v>
      </c>
      <c r="H36" s="70">
        <v>249605.26</v>
      </c>
      <c r="I36" s="71">
        <v>1.2</v>
      </c>
      <c r="J36" s="28">
        <f>ROUND(H36*I36,2)</f>
        <v>299526.31</v>
      </c>
      <c r="K36" s="72">
        <v>0</v>
      </c>
      <c r="L36" s="73">
        <v>1.2</v>
      </c>
      <c r="M36" s="72">
        <f>ROUND(K36*L36,2)</f>
        <v>0</v>
      </c>
    </row>
    <row r="37" spans="1:13" ht="30" customHeight="1" x14ac:dyDescent="0.25">
      <c r="A37" s="19">
        <v>26</v>
      </c>
      <c r="B37" s="16" t="s">
        <v>92</v>
      </c>
      <c r="C37" s="27" t="s">
        <v>93</v>
      </c>
      <c r="D37" s="70">
        <v>1459742.56</v>
      </c>
      <c r="E37" s="70">
        <v>119698.89</v>
      </c>
      <c r="F37" s="70">
        <v>37906.589999999997</v>
      </c>
      <c r="G37" s="70">
        <v>1617348.04</v>
      </c>
      <c r="H37" s="70">
        <v>1700479.73</v>
      </c>
      <c r="I37" s="71">
        <v>1.2</v>
      </c>
      <c r="J37" s="28">
        <f t="shared" si="0"/>
        <v>2040575.68</v>
      </c>
      <c r="K37" s="72">
        <v>0</v>
      </c>
      <c r="L37" s="73">
        <v>1.2</v>
      </c>
      <c r="M37" s="72">
        <f t="shared" ref="M37" si="4">ROUND(K37*L37,2)</f>
        <v>0</v>
      </c>
    </row>
    <row r="38" spans="1:13" ht="30" customHeight="1" x14ac:dyDescent="0.25">
      <c r="A38" s="19">
        <v>27</v>
      </c>
      <c r="B38" s="16" t="s">
        <v>94</v>
      </c>
      <c r="C38" s="27" t="s">
        <v>95</v>
      </c>
      <c r="D38" s="70">
        <v>398178.78</v>
      </c>
      <c r="E38" s="70">
        <v>32650.66</v>
      </c>
      <c r="F38" s="70">
        <v>10339.91</v>
      </c>
      <c r="G38" s="70">
        <v>441169.35</v>
      </c>
      <c r="H38" s="18">
        <v>463845.45</v>
      </c>
      <c r="I38" s="71">
        <v>1.2</v>
      </c>
      <c r="J38" s="28">
        <f>ROUND(H38*I38,2)</f>
        <v>556614.54</v>
      </c>
      <c r="K38" s="72">
        <v>0</v>
      </c>
      <c r="L38" s="73">
        <v>1.2</v>
      </c>
      <c r="M38" s="72">
        <f>ROUND(K38*L38,2)</f>
        <v>0</v>
      </c>
    </row>
    <row r="39" spans="1:13" ht="30" customHeight="1" x14ac:dyDescent="0.25">
      <c r="A39" s="19">
        <v>28</v>
      </c>
      <c r="B39" s="16" t="s">
        <v>56</v>
      </c>
      <c r="C39" s="84" t="s">
        <v>96</v>
      </c>
      <c r="D39" s="70">
        <v>563754.73</v>
      </c>
      <c r="E39" s="70">
        <v>46227.89</v>
      </c>
      <c r="F39" s="70">
        <v>14639.58</v>
      </c>
      <c r="G39" s="70">
        <v>624622.19999999995</v>
      </c>
      <c r="H39" s="18">
        <v>656727.78</v>
      </c>
      <c r="I39" s="71">
        <v>1.2</v>
      </c>
      <c r="J39" s="28">
        <f t="shared" si="0"/>
        <v>788073.34</v>
      </c>
      <c r="K39" s="72">
        <v>0</v>
      </c>
      <c r="L39" s="73">
        <v>1.2</v>
      </c>
      <c r="M39" s="72">
        <f t="shared" ref="M39:M40" si="5">ROUND(K39*L39,2)</f>
        <v>0</v>
      </c>
    </row>
    <row r="40" spans="1:13" ht="30" customHeight="1" thickBot="1" x14ac:dyDescent="0.3">
      <c r="A40" s="85">
        <v>29</v>
      </c>
      <c r="B40" s="16" t="s">
        <v>97</v>
      </c>
      <c r="C40" s="27" t="s">
        <v>98</v>
      </c>
      <c r="D40" s="70">
        <v>815232.37</v>
      </c>
      <c r="E40" s="70">
        <v>66849.05</v>
      </c>
      <c r="F40" s="70">
        <v>21169.95</v>
      </c>
      <c r="G40" s="70">
        <v>903251.37</v>
      </c>
      <c r="H40" s="18">
        <v>949678.49</v>
      </c>
      <c r="I40" s="71">
        <v>1.2</v>
      </c>
      <c r="J40" s="28">
        <f t="shared" si="0"/>
        <v>1139614.19</v>
      </c>
      <c r="K40" s="72">
        <v>0</v>
      </c>
      <c r="L40" s="73">
        <v>1.2</v>
      </c>
      <c r="M40" s="72">
        <f t="shared" si="5"/>
        <v>0</v>
      </c>
    </row>
    <row r="41" spans="1:13" ht="0.75" customHeight="1" thickTop="1" thickBot="1" x14ac:dyDescent="0.3">
      <c r="A41" s="86"/>
      <c r="B41" s="87"/>
      <c r="C41" s="88"/>
      <c r="D41" s="89"/>
      <c r="E41" s="89"/>
      <c r="F41" s="89"/>
      <c r="G41" s="89"/>
      <c r="H41" s="89"/>
      <c r="I41" s="90"/>
      <c r="J41" s="91"/>
      <c r="K41" s="92"/>
      <c r="L41" s="93"/>
      <c r="M41" s="94"/>
    </row>
    <row r="42" spans="1:13" ht="24" customHeight="1" thickTop="1" x14ac:dyDescent="0.25">
      <c r="A42" s="95"/>
      <c r="B42" s="96" t="s">
        <v>99</v>
      </c>
      <c r="C42" s="95"/>
      <c r="D42" s="97">
        <f>SUM(D12:D40)</f>
        <v>136914371.95999998</v>
      </c>
      <c r="E42" s="97">
        <f>SUM(E12:E40)</f>
        <v>11205933.490000002</v>
      </c>
      <c r="F42" s="97">
        <f>SUM(F12:F40)</f>
        <v>3548727.7900000005</v>
      </c>
      <c r="G42" s="97">
        <f>SUM(G12:G40)</f>
        <v>151669033.24000001</v>
      </c>
      <c r="H42" s="97">
        <f>SUM(H12:H40)-0.02</f>
        <v>159464821.52999997</v>
      </c>
      <c r="I42" s="97"/>
      <c r="J42" s="98">
        <f>SUM(J12:J40)</f>
        <v>191357785.84</v>
      </c>
      <c r="K42" s="99">
        <f>SUM(K12:K40)</f>
        <v>125617.70775399999</v>
      </c>
      <c r="L42" s="99"/>
      <c r="M42" s="98">
        <f>SUM(M12:M40)</f>
        <v>150741.25</v>
      </c>
    </row>
    <row r="43" spans="1:13" x14ac:dyDescent="0.25">
      <c r="H43" s="45"/>
    </row>
    <row r="44" spans="1:13" ht="30" customHeight="1" x14ac:dyDescent="0.25">
      <c r="A44" s="19">
        <v>30</v>
      </c>
      <c r="B44" s="16">
        <v>2</v>
      </c>
      <c r="C44" s="84" t="s">
        <v>100</v>
      </c>
      <c r="D44" s="70">
        <f>'[11]кс-2 послеосадоч.ремонт'!$O$78</f>
        <v>1705481.22</v>
      </c>
      <c r="E44" s="70">
        <f>'[11]кс-2 послеосадоч.ремонт'!$O$89</f>
        <v>139849.46</v>
      </c>
      <c r="F44" s="70">
        <f>'[11]кс-2 послеосадоч.ремонт'!$O$91</f>
        <v>44287.94</v>
      </c>
      <c r="G44" s="70">
        <f>'[11]кс-2 послеосадоч.ремонт'!$O$92</f>
        <v>1889618.62</v>
      </c>
      <c r="H44" s="18">
        <f>'[11]кс-2 послеосадоч.ремонт'!$O$94</f>
        <v>1986745.02</v>
      </c>
      <c r="I44" s="71">
        <v>1.2</v>
      </c>
      <c r="J44" s="33">
        <f t="shared" ref="J44" si="6">ROUND(H44*I44,2)</f>
        <v>2384094.02</v>
      </c>
      <c r="K44" s="72">
        <v>0</v>
      </c>
      <c r="L44" s="73">
        <v>1.2</v>
      </c>
      <c r="M44" s="72">
        <f t="shared" ref="M44" si="7">ROUND(K44*L44,2)</f>
        <v>0</v>
      </c>
    </row>
    <row r="45" spans="1:13" x14ac:dyDescent="0.25">
      <c r="F45" s="100"/>
      <c r="G45" s="100"/>
      <c r="H45" s="41"/>
      <c r="J45" s="45"/>
      <c r="K45" s="41"/>
      <c r="M45" s="45"/>
    </row>
    <row r="46" spans="1:13" x14ac:dyDescent="0.25">
      <c r="F46" s="100"/>
      <c r="J46" s="45"/>
      <c r="M46" s="45"/>
    </row>
    <row r="47" spans="1:13" x14ac:dyDescent="0.25">
      <c r="C47" s="13" t="s">
        <v>121</v>
      </c>
      <c r="K47" s="45"/>
    </row>
    <row r="48" spans="1:13" ht="30" customHeight="1" x14ac:dyDescent="0.25">
      <c r="A48" s="68">
        <v>1</v>
      </c>
      <c r="B48" s="16" t="s">
        <v>40</v>
      </c>
      <c r="C48" s="69" t="s">
        <v>41</v>
      </c>
      <c r="D48" s="70">
        <v>27807194.73</v>
      </c>
      <c r="E48" s="70">
        <v>2280189.9700000002</v>
      </c>
      <c r="F48" s="70">
        <v>722097.23</v>
      </c>
      <c r="G48" s="70">
        <v>30809481.93</v>
      </c>
      <c r="H48" s="18">
        <v>32393089.300000001</v>
      </c>
      <c r="I48" s="71">
        <v>1.2</v>
      </c>
      <c r="J48" s="18">
        <f>ROUND(H48*I48,2)</f>
        <v>38871707.159999996</v>
      </c>
      <c r="K48" s="72">
        <v>688008.59</v>
      </c>
      <c r="L48" s="73">
        <v>1.2</v>
      </c>
      <c r="M48" s="72">
        <f>ROUND(K48*L48,2)</f>
        <v>825610.31</v>
      </c>
    </row>
    <row r="50" spans="10:13" x14ac:dyDescent="0.25">
      <c r="J50" s="41"/>
      <c r="M50" s="41"/>
    </row>
  </sheetData>
  <mergeCells count="9">
    <mergeCell ref="A8:J8"/>
    <mergeCell ref="H10:J10"/>
    <mergeCell ref="K10:M10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F5BF-918D-4392-851A-C24B619B3BA6}">
  <sheetPr>
    <tabColor rgb="FF00B050"/>
  </sheetPr>
  <dimension ref="A1:K46"/>
  <sheetViews>
    <sheetView workbookViewId="0">
      <pane ySplit="1" topLeftCell="A2" activePane="bottomLeft" state="frozen"/>
      <selection pane="bottomLeft" activeCell="E47" sqref="E47"/>
    </sheetView>
  </sheetViews>
  <sheetFormatPr defaultColWidth="9.140625" defaultRowHeight="15" x14ac:dyDescent="0.25"/>
  <cols>
    <col min="1" max="1" width="9.28515625" style="51" customWidth="1"/>
    <col min="2" max="2" width="20.85546875" style="51" customWidth="1"/>
    <col min="3" max="3" width="90.42578125" style="54" customWidth="1"/>
    <col min="4" max="10" width="22" style="55" customWidth="1"/>
    <col min="11" max="11" width="28.140625" style="51" customWidth="1"/>
    <col min="12" max="16384" width="9.140625" style="51"/>
  </cols>
  <sheetData>
    <row r="1" spans="1:11" x14ac:dyDescent="0.25">
      <c r="A1" s="14" t="s">
        <v>28</v>
      </c>
      <c r="B1" s="14" t="s">
        <v>29</v>
      </c>
      <c r="C1" s="15" t="s">
        <v>30</v>
      </c>
      <c r="D1" s="43" t="s">
        <v>31</v>
      </c>
      <c r="E1" s="43" t="s">
        <v>32</v>
      </c>
      <c r="F1" s="43" t="s">
        <v>33</v>
      </c>
      <c r="G1" s="44"/>
      <c r="H1" s="44"/>
      <c r="I1" s="44" t="s">
        <v>33</v>
      </c>
      <c r="J1" s="130" t="s">
        <v>137</v>
      </c>
    </row>
    <row r="2" spans="1:11" x14ac:dyDescent="0.25">
      <c r="A2" s="56">
        <v>1</v>
      </c>
      <c r="B2" s="16" t="s">
        <v>34</v>
      </c>
      <c r="C2" s="17" t="s">
        <v>35</v>
      </c>
      <c r="D2" s="46">
        <f>'реестры кс-2'!J3</f>
        <v>65867265.950000003</v>
      </c>
      <c r="E2" s="46">
        <f>'реестр ССР2-2'!J30</f>
        <v>208912.6</v>
      </c>
      <c r="F2" s="46">
        <f>D2+E2</f>
        <v>66076178.550000004</v>
      </c>
      <c r="G2" s="47">
        <v>0</v>
      </c>
      <c r="H2" s="47">
        <f>'[35]Удаление поросли'!$L$10</f>
        <v>148688.69</v>
      </c>
      <c r="I2" s="47">
        <f>G2+H2</f>
        <v>148688.69</v>
      </c>
      <c r="J2" s="131">
        <f>E2-H2</f>
        <v>60223.91</v>
      </c>
      <c r="K2" s="134"/>
    </row>
    <row r="3" spans="1:11" x14ac:dyDescent="0.25">
      <c r="A3" s="56">
        <v>2</v>
      </c>
      <c r="B3" s="16" t="s">
        <v>36</v>
      </c>
      <c r="C3" s="17" t="s">
        <v>37</v>
      </c>
      <c r="D3" s="46">
        <f>'реестры кс-2'!J4</f>
        <v>54911594.170000002</v>
      </c>
      <c r="E3" s="46"/>
      <c r="F3" s="46">
        <f t="shared" ref="F3:F29" si="0">D3+E3</f>
        <v>54911594.170000002</v>
      </c>
      <c r="G3" s="47">
        <v>0</v>
      </c>
      <c r="H3" s="47">
        <v>0</v>
      </c>
      <c r="I3" s="47">
        <f t="shared" ref="I3:I30" si="1">G3+H3</f>
        <v>0</v>
      </c>
      <c r="J3" s="131">
        <v>0</v>
      </c>
    </row>
    <row r="4" spans="1:11" x14ac:dyDescent="0.25">
      <c r="A4" s="56">
        <v>3</v>
      </c>
      <c r="B4" s="16" t="s">
        <v>38</v>
      </c>
      <c r="C4" s="17" t="s">
        <v>39</v>
      </c>
      <c r="D4" s="46">
        <f>'реестры кс-2'!J8</f>
        <v>1646696.3</v>
      </c>
      <c r="E4" s="46"/>
      <c r="F4" s="46">
        <f t="shared" si="0"/>
        <v>1646696.3</v>
      </c>
      <c r="G4" s="47">
        <v>0</v>
      </c>
      <c r="H4" s="47">
        <v>0</v>
      </c>
      <c r="I4" s="47">
        <f t="shared" si="1"/>
        <v>0</v>
      </c>
      <c r="J4" s="131">
        <v>0</v>
      </c>
    </row>
    <row r="5" spans="1:11" x14ac:dyDescent="0.25">
      <c r="A5" s="56">
        <v>4</v>
      </c>
      <c r="B5" s="16" t="s">
        <v>40</v>
      </c>
      <c r="C5" s="17" t="s">
        <v>41</v>
      </c>
      <c r="D5" s="46">
        <f>'реестры кс-2'!J5</f>
        <v>199215880.78</v>
      </c>
      <c r="E5" s="46">
        <f>'реестр ССР2-2'!J12</f>
        <v>38046096.850000001</v>
      </c>
      <c r="F5" s="46">
        <f t="shared" si="0"/>
        <v>237261977.63</v>
      </c>
      <c r="G5" s="47">
        <v>0</v>
      </c>
      <c r="H5" s="47">
        <f>[12]ПЖ!$L$116</f>
        <v>83233416.819999993</v>
      </c>
      <c r="I5" s="47">
        <f t="shared" si="1"/>
        <v>83233416.819999993</v>
      </c>
      <c r="J5" s="140">
        <f t="shared" ref="J5:J14" si="2">F5-I5</f>
        <v>154028560.81</v>
      </c>
      <c r="K5" s="141" t="s">
        <v>139</v>
      </c>
    </row>
    <row r="6" spans="1:11" x14ac:dyDescent="0.25">
      <c r="A6" s="56">
        <v>5</v>
      </c>
      <c r="B6" s="19" t="s">
        <v>42</v>
      </c>
      <c r="C6" s="20" t="s">
        <v>43</v>
      </c>
      <c r="D6" s="48">
        <f>'реестры кс-2'!J7</f>
        <v>10775049.08</v>
      </c>
      <c r="E6" s="48">
        <f>'реестр ССР2-2'!J13+'реестр ССР2-2'!J35</f>
        <v>3665358.19</v>
      </c>
      <c r="F6" s="46">
        <f t="shared" si="0"/>
        <v>14440407.27</v>
      </c>
      <c r="G6" s="132">
        <v>0</v>
      </c>
      <c r="H6" s="49">
        <f>'[13]Свод АС1'!$H$10</f>
        <v>4766135.22</v>
      </c>
      <c r="I6" s="47">
        <f t="shared" si="1"/>
        <v>4766135.22</v>
      </c>
      <c r="J6" s="131">
        <f t="shared" si="2"/>
        <v>9674272.0500000007</v>
      </c>
    </row>
    <row r="7" spans="1:11" x14ac:dyDescent="0.25">
      <c r="A7" s="56">
        <v>6</v>
      </c>
      <c r="B7" s="19" t="s">
        <v>44</v>
      </c>
      <c r="C7" s="20" t="s">
        <v>45</v>
      </c>
      <c r="D7" s="48">
        <f>'реестры кс-2'!J9</f>
        <v>1627347.05</v>
      </c>
      <c r="E7" s="48">
        <f>'реестр ССР2-2'!J14</f>
        <v>401089.24</v>
      </c>
      <c r="F7" s="46">
        <f t="shared" si="0"/>
        <v>2028436.29</v>
      </c>
      <c r="G7" s="49">
        <f>[14]ПС!$L$31</f>
        <v>1466088.85</v>
      </c>
      <c r="H7" s="49">
        <f>'[14]Свод АС2'!$H$6-'[14]Свод АС2'!$H$3</f>
        <v>380164.81000000006</v>
      </c>
      <c r="I7" s="47">
        <f t="shared" si="1"/>
        <v>1846253.6600000001</v>
      </c>
      <c r="J7" s="131">
        <f t="shared" si="2"/>
        <v>182182.62999999989</v>
      </c>
    </row>
    <row r="8" spans="1:11" x14ac:dyDescent="0.25">
      <c r="A8" s="56">
        <v>7</v>
      </c>
      <c r="B8" s="19" t="s">
        <v>46</v>
      </c>
      <c r="C8" s="20" t="s">
        <v>47</v>
      </c>
      <c r="D8" s="48"/>
      <c r="E8" s="48">
        <f>'реестр ССР2-2'!J15+'реестр ССР2-2'!J28</f>
        <v>425113.38</v>
      </c>
      <c r="F8" s="46">
        <f t="shared" si="0"/>
        <v>425113.38</v>
      </c>
      <c r="G8" s="49">
        <v>0</v>
      </c>
      <c r="H8" s="49">
        <f>[15]ЭС1!$L$41</f>
        <v>912139.03</v>
      </c>
      <c r="I8" s="47">
        <f t="shared" si="1"/>
        <v>912139.03</v>
      </c>
      <c r="J8" s="131">
        <f t="shared" si="2"/>
        <v>-487025.65</v>
      </c>
    </row>
    <row r="9" spans="1:11" x14ac:dyDescent="0.25">
      <c r="A9" s="56">
        <v>8</v>
      </c>
      <c r="B9" s="19" t="s">
        <v>48</v>
      </c>
      <c r="C9" s="20" t="s">
        <v>49</v>
      </c>
      <c r="D9" s="48"/>
      <c r="E9" s="48">
        <f>'реестр ССР2-2'!J16+'реестр ССР2-2'!J29</f>
        <v>4769341.42</v>
      </c>
      <c r="F9" s="46">
        <f t="shared" si="0"/>
        <v>4769341.42</v>
      </c>
      <c r="G9" s="49">
        <v>0</v>
      </c>
      <c r="H9" s="49">
        <f>'[16]Свод ЭС2'!$H$8</f>
        <v>6392727.4799999995</v>
      </c>
      <c r="I9" s="47">
        <f t="shared" si="1"/>
        <v>6392727.4799999995</v>
      </c>
      <c r="J9" s="131">
        <f t="shared" si="2"/>
        <v>-1623386.0599999996</v>
      </c>
    </row>
    <row r="10" spans="1:11" x14ac:dyDescent="0.25">
      <c r="A10" s="56">
        <v>9</v>
      </c>
      <c r="B10" s="19" t="s">
        <v>50</v>
      </c>
      <c r="C10" s="20" t="s">
        <v>51</v>
      </c>
      <c r="D10" s="48"/>
      <c r="E10" s="48">
        <f>'реестр ССР2-2'!J17</f>
        <v>1526181.18</v>
      </c>
      <c r="F10" s="46">
        <f t="shared" si="0"/>
        <v>1526181.18</v>
      </c>
      <c r="G10" s="49">
        <v>0</v>
      </c>
      <c r="H10" s="49">
        <f>'[17]В1-4-до В1-4А'!$L$51</f>
        <v>1516853.62</v>
      </c>
      <c r="I10" s="47">
        <f t="shared" si="1"/>
        <v>1516853.62</v>
      </c>
      <c r="J10" s="131">
        <f t="shared" si="2"/>
        <v>9327.559999999823</v>
      </c>
    </row>
    <row r="11" spans="1:11" s="52" customFormat="1" x14ac:dyDescent="0.25">
      <c r="A11" s="56">
        <v>10</v>
      </c>
      <c r="B11" s="16" t="s">
        <v>52</v>
      </c>
      <c r="C11" s="17" t="s">
        <v>53</v>
      </c>
      <c r="D11" s="46"/>
      <c r="E11" s="48">
        <f>'реестр ССР2-2'!J18</f>
        <v>19653084.23</v>
      </c>
      <c r="F11" s="46">
        <f t="shared" si="0"/>
        <v>19653084.23</v>
      </c>
      <c r="G11" s="47">
        <v>0</v>
      </c>
      <c r="H11" s="47">
        <f>'[18]Свод НВК3'!$H$14</f>
        <v>22508536.09</v>
      </c>
      <c r="I11" s="47">
        <f t="shared" si="1"/>
        <v>22508536.09</v>
      </c>
      <c r="J11" s="131">
        <f t="shared" si="2"/>
        <v>-2855451.8599999994</v>
      </c>
    </row>
    <row r="12" spans="1:11" x14ac:dyDescent="0.25">
      <c r="A12" s="56">
        <v>11</v>
      </c>
      <c r="B12" s="19" t="s">
        <v>54</v>
      </c>
      <c r="C12" s="20" t="s">
        <v>55</v>
      </c>
      <c r="D12" s="48">
        <f>'реестры кс-2'!J14</f>
        <v>337909.86</v>
      </c>
      <c r="E12" s="48">
        <f>'реестр ССР2-2'!J19</f>
        <v>2195820.62</v>
      </c>
      <c r="F12" s="46">
        <f t="shared" si="0"/>
        <v>2533730.48</v>
      </c>
      <c r="G12" s="49">
        <f>'[19]Свод НВК4'!$H$6</f>
        <v>406094.04000000004</v>
      </c>
      <c r="H12" s="49">
        <f>'[19]Свод НВК4'!$H$7-'[19]Свод НВК4'!$H$6</f>
        <v>2716743.6100000003</v>
      </c>
      <c r="I12" s="47">
        <f t="shared" si="1"/>
        <v>3122837.6500000004</v>
      </c>
      <c r="J12" s="131">
        <f t="shared" si="2"/>
        <v>-589107.17000000039</v>
      </c>
    </row>
    <row r="13" spans="1:11" x14ac:dyDescent="0.25">
      <c r="A13" s="56">
        <v>12</v>
      </c>
      <c r="B13" s="19" t="s">
        <v>56</v>
      </c>
      <c r="C13" s="20" t="s">
        <v>57</v>
      </c>
      <c r="D13" s="48">
        <f>'реестры кс-2'!J10</f>
        <v>1211400.79</v>
      </c>
      <c r="E13" s="48">
        <f>'реестр ССР2-2'!J20+'реестр ССР2-2'!J39</f>
        <v>3792186.8899999997</v>
      </c>
      <c r="F13" s="46">
        <f t="shared" si="0"/>
        <v>5003587.68</v>
      </c>
      <c r="G13" s="49">
        <v>0</v>
      </c>
      <c r="H13" s="49">
        <f>'[20]Свод НВК5'!$H$7</f>
        <v>6968369.3100000005</v>
      </c>
      <c r="I13" s="47">
        <f t="shared" si="1"/>
        <v>6968369.3100000005</v>
      </c>
      <c r="J13" s="131">
        <f t="shared" si="2"/>
        <v>-1964781.6300000008</v>
      </c>
    </row>
    <row r="14" spans="1:11" x14ac:dyDescent="0.25">
      <c r="A14" s="56">
        <v>13</v>
      </c>
      <c r="B14" s="19" t="s">
        <v>58</v>
      </c>
      <c r="C14" s="20" t="s">
        <v>59</v>
      </c>
      <c r="D14" s="48">
        <f>'реестры кс-2'!J15</f>
        <v>3594854.48</v>
      </c>
      <c r="E14" s="48">
        <f>'реестр ССР2-2'!J21</f>
        <v>1063140.1000000001</v>
      </c>
      <c r="F14" s="46">
        <f t="shared" si="0"/>
        <v>4657994.58</v>
      </c>
      <c r="G14" s="132"/>
      <c r="H14" s="49">
        <f>[21]ТС1!$L$54</f>
        <v>2060930.35</v>
      </c>
      <c r="I14" s="47">
        <f t="shared" si="1"/>
        <v>2060930.35</v>
      </c>
      <c r="J14" s="131">
        <f t="shared" si="2"/>
        <v>2597064.23</v>
      </c>
      <c r="K14" s="134"/>
    </row>
    <row r="15" spans="1:11" x14ac:dyDescent="0.25">
      <c r="A15" s="56">
        <v>14</v>
      </c>
      <c r="B15" s="23">
        <v>37658</v>
      </c>
      <c r="C15" s="20" t="s">
        <v>60</v>
      </c>
      <c r="D15" s="48">
        <f>'реестры кс-2'!J13</f>
        <v>505496.99</v>
      </c>
      <c r="E15" s="48"/>
      <c r="F15" s="46">
        <f t="shared" si="0"/>
        <v>505496.99</v>
      </c>
      <c r="G15" s="132"/>
      <c r="H15" s="49">
        <v>0</v>
      </c>
      <c r="I15" s="47">
        <f t="shared" si="1"/>
        <v>0</v>
      </c>
      <c r="J15" s="133"/>
    </row>
    <row r="16" spans="1:11" x14ac:dyDescent="0.25">
      <c r="A16" s="126">
        <v>15</v>
      </c>
      <c r="B16" s="19" t="s">
        <v>61</v>
      </c>
      <c r="C16" s="20" t="s">
        <v>136</v>
      </c>
      <c r="D16" s="48">
        <f>'реестры кс-2'!J16</f>
        <v>562345.21</v>
      </c>
      <c r="E16" s="48">
        <f>'реестр ССР2-2'!J22</f>
        <v>3430118.1</v>
      </c>
      <c r="F16" s="46">
        <f t="shared" si="0"/>
        <v>3992463.31</v>
      </c>
      <c r="G16" s="49">
        <v>0</v>
      </c>
      <c r="H16" s="49">
        <f>[22]АС4!$L$32</f>
        <v>5564992.0300000003</v>
      </c>
      <c r="I16" s="47">
        <f t="shared" si="1"/>
        <v>5564992.0300000003</v>
      </c>
      <c r="J16" s="131">
        <f t="shared" ref="J16:J21" si="3">F16-I16</f>
        <v>-1572528.7200000002</v>
      </c>
    </row>
    <row r="17" spans="1:11" x14ac:dyDescent="0.25">
      <c r="A17" s="56">
        <v>16</v>
      </c>
      <c r="B17" s="19" t="s">
        <v>63</v>
      </c>
      <c r="C17" s="20" t="s">
        <v>64</v>
      </c>
      <c r="D17" s="48"/>
      <c r="E17" s="48">
        <f>'реестр ССР2-2'!J23</f>
        <v>2470252.58</v>
      </c>
      <c r="F17" s="46">
        <f t="shared" si="0"/>
        <v>2470252.58</v>
      </c>
      <c r="G17" s="49">
        <v>0</v>
      </c>
      <c r="H17" s="49">
        <f>[23]ТС2!$L$179</f>
        <v>3434769.77</v>
      </c>
      <c r="I17" s="47">
        <f t="shared" si="1"/>
        <v>3434769.77</v>
      </c>
      <c r="J17" s="131">
        <f t="shared" si="3"/>
        <v>-964517.19</v>
      </c>
    </row>
    <row r="18" spans="1:11" x14ac:dyDescent="0.25">
      <c r="A18" s="56">
        <v>17</v>
      </c>
      <c r="B18" s="19" t="s">
        <v>65</v>
      </c>
      <c r="C18" s="20" t="s">
        <v>66</v>
      </c>
      <c r="D18" s="48"/>
      <c r="E18" s="48">
        <f>'реестр ССР2-2'!J24</f>
        <v>4701704.12</v>
      </c>
      <c r="F18" s="46">
        <f t="shared" si="0"/>
        <v>4701704.12</v>
      </c>
      <c r="G18" s="49">
        <v>0</v>
      </c>
      <c r="H18" s="49">
        <f>[24]ТС3!$L$123</f>
        <v>5344436.47</v>
      </c>
      <c r="I18" s="47">
        <f t="shared" si="1"/>
        <v>5344436.47</v>
      </c>
      <c r="J18" s="131">
        <f t="shared" si="3"/>
        <v>-642732.34999999963</v>
      </c>
    </row>
    <row r="19" spans="1:11" s="52" customFormat="1" x14ac:dyDescent="0.25">
      <c r="A19" s="56">
        <v>18</v>
      </c>
      <c r="B19" s="24" t="s">
        <v>67</v>
      </c>
      <c r="C19" s="17" t="s">
        <v>68</v>
      </c>
      <c r="D19" s="46"/>
      <c r="E19" s="48">
        <f>'реестр ССР2-2'!J25</f>
        <v>6268360.04</v>
      </c>
      <c r="F19" s="46">
        <f t="shared" si="0"/>
        <v>6268360.04</v>
      </c>
      <c r="G19" s="47">
        <v>0</v>
      </c>
      <c r="H19" s="47">
        <f>[25]ГСН!$L$87</f>
        <v>5641179.5499999998</v>
      </c>
      <c r="I19" s="47">
        <f t="shared" si="1"/>
        <v>5641179.5499999998</v>
      </c>
      <c r="J19" s="131">
        <f t="shared" si="3"/>
        <v>627180.49000000022</v>
      </c>
    </row>
    <row r="20" spans="1:11" x14ac:dyDescent="0.25">
      <c r="A20" s="56">
        <v>19</v>
      </c>
      <c r="B20" s="19" t="s">
        <v>69</v>
      </c>
      <c r="C20" s="20" t="s">
        <v>70</v>
      </c>
      <c r="D20" s="48">
        <f>'реестры кс-2'!J6</f>
        <v>2298854.48</v>
      </c>
      <c r="E20" s="48">
        <f>'реестр ССР2-2'!J26+'реестр ССР2-2'!J40</f>
        <v>20191736.290000003</v>
      </c>
      <c r="F20" s="46">
        <f t="shared" si="0"/>
        <v>22490590.770000003</v>
      </c>
      <c r="G20" s="132"/>
      <c r="H20" s="49">
        <f>'[26]Свод ГП1'!$H$5</f>
        <v>22267853.389999997</v>
      </c>
      <c r="I20" s="47">
        <f t="shared" si="1"/>
        <v>22267853.389999997</v>
      </c>
      <c r="J20" s="131">
        <f t="shared" si="3"/>
        <v>222737.38000000641</v>
      </c>
    </row>
    <row r="21" spans="1:11" x14ac:dyDescent="0.25">
      <c r="A21" s="56">
        <v>20</v>
      </c>
      <c r="B21" s="19" t="s">
        <v>71</v>
      </c>
      <c r="C21" s="25" t="s">
        <v>72</v>
      </c>
      <c r="D21" s="48">
        <f>'реестры кс-2'!J11</f>
        <v>15325816.16</v>
      </c>
      <c r="E21" s="48">
        <f>'реестр ССР2-2'!J27</f>
        <v>69127549.370000005</v>
      </c>
      <c r="F21" s="46">
        <f t="shared" si="0"/>
        <v>84453365.530000001</v>
      </c>
      <c r="G21" s="132"/>
      <c r="H21" s="49">
        <f>'[27]ГП2 '!$L$149</f>
        <v>69911523.599999994</v>
      </c>
      <c r="I21" s="47">
        <f t="shared" si="1"/>
        <v>69911523.599999994</v>
      </c>
      <c r="J21" s="131">
        <f t="shared" si="3"/>
        <v>14541841.930000007</v>
      </c>
    </row>
    <row r="22" spans="1:11" x14ac:dyDescent="0.25">
      <c r="A22" s="56">
        <v>21</v>
      </c>
      <c r="B22" s="26" t="s">
        <v>73</v>
      </c>
      <c r="C22" s="25" t="s">
        <v>74</v>
      </c>
      <c r="D22" s="48">
        <f>'реестры кс-2'!J12</f>
        <v>5245250.92</v>
      </c>
      <c r="E22" s="48"/>
      <c r="F22" s="46">
        <f t="shared" si="0"/>
        <v>5245250.92</v>
      </c>
      <c r="G22" s="49">
        <v>0</v>
      </c>
      <c r="H22" s="49">
        <v>0</v>
      </c>
      <c r="I22" s="47">
        <f t="shared" si="1"/>
        <v>0</v>
      </c>
      <c r="J22" s="131">
        <v>0</v>
      </c>
    </row>
    <row r="23" spans="1:11" x14ac:dyDescent="0.25">
      <c r="A23" s="56">
        <v>22</v>
      </c>
      <c r="B23" s="16" t="s">
        <v>80</v>
      </c>
      <c r="C23" s="27" t="s">
        <v>81</v>
      </c>
      <c r="D23" s="46"/>
      <c r="E23" s="46">
        <f>'реестр ССР2-2'!J31</f>
        <v>27667.040000000001</v>
      </c>
      <c r="F23" s="46">
        <f t="shared" si="0"/>
        <v>27667.040000000001</v>
      </c>
      <c r="G23" s="47">
        <v>0</v>
      </c>
      <c r="H23" s="47">
        <f>'[28]Демонтаж ламп'!$L$10</f>
        <v>47174.400000000001</v>
      </c>
      <c r="I23" s="47">
        <f t="shared" si="1"/>
        <v>47174.400000000001</v>
      </c>
      <c r="J23" s="131">
        <f t="shared" ref="J23:J30" si="4">F23-I23</f>
        <v>-19507.36</v>
      </c>
    </row>
    <row r="24" spans="1:11" x14ac:dyDescent="0.25">
      <c r="A24" s="56">
        <v>23</v>
      </c>
      <c r="B24" s="16" t="s">
        <v>82</v>
      </c>
      <c r="C24" s="27" t="s">
        <v>83</v>
      </c>
      <c r="D24" s="46"/>
      <c r="E24" s="46">
        <f>'реестр ССР2-2'!J32</f>
        <v>85851.36</v>
      </c>
      <c r="F24" s="46">
        <f t="shared" si="0"/>
        <v>85851.36</v>
      </c>
      <c r="G24" s="47">
        <v>0</v>
      </c>
      <c r="H24" s="47">
        <f>'[29]Временный водопровод'!$L$12</f>
        <v>89859.26</v>
      </c>
      <c r="I24" s="47">
        <f t="shared" si="1"/>
        <v>89859.26</v>
      </c>
      <c r="J24" s="131">
        <f t="shared" si="4"/>
        <v>-4007.8999999999942</v>
      </c>
    </row>
    <row r="25" spans="1:11" x14ac:dyDescent="0.25">
      <c r="A25" s="56">
        <v>24</v>
      </c>
      <c r="B25" s="16" t="s">
        <v>84</v>
      </c>
      <c r="C25" s="27" t="s">
        <v>85</v>
      </c>
      <c r="D25" s="46"/>
      <c r="E25" s="46">
        <f>'реестр ССР2-2'!J33</f>
        <v>708000.38</v>
      </c>
      <c r="F25" s="46">
        <f t="shared" si="0"/>
        <v>708000.38</v>
      </c>
      <c r="G25" s="47">
        <v>0</v>
      </c>
      <c r="H25" s="47">
        <f>'[30]Временный переезд'!$L$15</f>
        <v>771191.87</v>
      </c>
      <c r="I25" s="47">
        <f t="shared" si="1"/>
        <v>771191.87</v>
      </c>
      <c r="J25" s="131">
        <f t="shared" si="4"/>
        <v>-63191.489999999991</v>
      </c>
    </row>
    <row r="26" spans="1:11" x14ac:dyDescent="0.25">
      <c r="A26" s="56">
        <v>25</v>
      </c>
      <c r="B26" s="16" t="s">
        <v>86</v>
      </c>
      <c r="C26" s="27" t="s">
        <v>87</v>
      </c>
      <c r="D26" s="46"/>
      <c r="E26" s="46">
        <f>'реестр ССР2-2'!J34</f>
        <v>5703505.3300000001</v>
      </c>
      <c r="F26" s="46">
        <f t="shared" si="0"/>
        <v>5703505.3300000001</v>
      </c>
      <c r="G26" s="47">
        <v>0</v>
      </c>
      <c r="H26" s="47">
        <f>[31]КС!$L$76</f>
        <v>8903413.1300000008</v>
      </c>
      <c r="I26" s="47">
        <f t="shared" si="1"/>
        <v>8903413.1300000008</v>
      </c>
      <c r="J26" s="131">
        <f t="shared" si="4"/>
        <v>-3199907.8000000007</v>
      </c>
    </row>
    <row r="27" spans="1:11" x14ac:dyDescent="0.25">
      <c r="A27" s="56">
        <v>26</v>
      </c>
      <c r="B27" s="16" t="s">
        <v>90</v>
      </c>
      <c r="C27" s="27" t="s">
        <v>91</v>
      </c>
      <c r="D27" s="46"/>
      <c r="E27" s="46">
        <f>'реестр ССР2-2'!J36</f>
        <v>299526.31</v>
      </c>
      <c r="F27" s="46">
        <f t="shared" si="0"/>
        <v>299526.31</v>
      </c>
      <c r="G27" s="47">
        <v>0</v>
      </c>
      <c r="H27" s="47">
        <f>[32]КС_Трансбордер!$L$28</f>
        <v>554638.52</v>
      </c>
      <c r="I27" s="47">
        <f t="shared" si="1"/>
        <v>554638.52</v>
      </c>
      <c r="J27" s="131">
        <f t="shared" si="4"/>
        <v>-255112.21000000002</v>
      </c>
    </row>
    <row r="28" spans="1:11" x14ac:dyDescent="0.25">
      <c r="A28" s="56">
        <v>27</v>
      </c>
      <c r="B28" s="16" t="s">
        <v>92</v>
      </c>
      <c r="C28" s="27" t="s">
        <v>138</v>
      </c>
      <c r="D28" s="46"/>
      <c r="E28" s="46">
        <f>'реестр ССР2-2'!J37</f>
        <v>2040575.68</v>
      </c>
      <c r="F28" s="46">
        <f t="shared" si="0"/>
        <v>2040575.68</v>
      </c>
      <c r="G28" s="47"/>
      <c r="H28" s="47">
        <f>'[33]+АС1 ограждение изм'!$L$56</f>
        <v>2140860.2799999998</v>
      </c>
      <c r="I28" s="47">
        <f t="shared" si="1"/>
        <v>2140860.2799999998</v>
      </c>
      <c r="J28" s="131">
        <f t="shared" si="4"/>
        <v>-100284.59999999986</v>
      </c>
    </row>
    <row r="29" spans="1:11" x14ac:dyDescent="0.25">
      <c r="A29" s="56">
        <v>28</v>
      </c>
      <c r="B29" s="16" t="s">
        <v>94</v>
      </c>
      <c r="C29" s="27" t="s">
        <v>95</v>
      </c>
      <c r="D29" s="46"/>
      <c r="E29" s="46">
        <f>'реестр ССР2-2'!J38</f>
        <v>556614.54</v>
      </c>
      <c r="F29" s="46">
        <f t="shared" si="0"/>
        <v>556614.54</v>
      </c>
      <c r="G29" s="47">
        <v>0</v>
      </c>
      <c r="H29" s="47">
        <f>[34]СС!$L$31</f>
        <v>557534.86</v>
      </c>
      <c r="I29" s="47">
        <f t="shared" si="1"/>
        <v>557534.86</v>
      </c>
      <c r="J29" s="131">
        <f t="shared" si="4"/>
        <v>-920.31999999994878</v>
      </c>
    </row>
    <row r="30" spans="1:11" s="139" customFormat="1" x14ac:dyDescent="0.25">
      <c r="A30" s="135">
        <v>29</v>
      </c>
      <c r="B30" s="16">
        <v>2</v>
      </c>
      <c r="C30" s="27" t="s">
        <v>100</v>
      </c>
      <c r="D30" s="136"/>
      <c r="E30" s="136">
        <f>'реестр ССР2-2'!J44</f>
        <v>2384094.02</v>
      </c>
      <c r="F30" s="136">
        <f>D30+E30</f>
        <v>2384094.02</v>
      </c>
      <c r="G30" s="137">
        <v>0</v>
      </c>
      <c r="H30" s="137">
        <f>'[12]ПЖ_послеосад ремонт'!$L$12</f>
        <v>11575527.07</v>
      </c>
      <c r="I30" s="47">
        <f t="shared" si="1"/>
        <v>11575527.07</v>
      </c>
      <c r="J30" s="131">
        <f t="shared" si="4"/>
        <v>-9191433.0500000007</v>
      </c>
      <c r="K30" s="138"/>
    </row>
    <row r="31" spans="1:11" ht="20.25" x14ac:dyDescent="0.25">
      <c r="A31" s="53"/>
      <c r="B31" s="14" t="s">
        <v>99</v>
      </c>
      <c r="C31" s="25"/>
      <c r="D31" s="50">
        <f t="shared" ref="D31:J31" si="5">SUM(D2:D30)</f>
        <v>363125762.22000009</v>
      </c>
      <c r="E31" s="50">
        <f t="shared" si="5"/>
        <v>193741879.86000004</v>
      </c>
      <c r="F31" s="50">
        <f t="shared" si="5"/>
        <v>556867642.0799998</v>
      </c>
      <c r="G31" s="50">
        <f t="shared" si="5"/>
        <v>1872182.8900000001</v>
      </c>
      <c r="H31" s="50">
        <f t="shared" si="5"/>
        <v>268409659.23000002</v>
      </c>
      <c r="I31" s="50">
        <f t="shared" si="5"/>
        <v>270281842.12</v>
      </c>
      <c r="J31" s="50">
        <f t="shared" si="5"/>
        <v>158409495.62999997</v>
      </c>
    </row>
    <row r="46" spans="5:5" x14ac:dyDescent="0.25">
      <c r="E46" s="55">
        <f>E31/1.2/1.0514</f>
        <v>153558651.8451589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3B23-3B80-40F3-A0E4-A39DC291AF91}">
  <dimension ref="C4:J45"/>
  <sheetViews>
    <sheetView workbookViewId="0">
      <selection activeCell="M20" sqref="M20"/>
    </sheetView>
  </sheetViews>
  <sheetFormatPr defaultRowHeight="15" x14ac:dyDescent="0.25"/>
  <cols>
    <col min="1" max="4" width="9.140625" style="149"/>
    <col min="5" max="5" width="48.28515625" style="149" customWidth="1"/>
    <col min="6" max="6" width="15.28515625" style="155" customWidth="1"/>
    <col min="7" max="7" width="14.42578125" style="149" customWidth="1"/>
    <col min="8" max="8" width="14.85546875" style="149" customWidth="1"/>
    <col min="9" max="9" width="13.5703125" style="149" bestFit="1" customWidth="1"/>
    <col min="10" max="10" width="15.42578125" style="149" bestFit="1" customWidth="1"/>
    <col min="11" max="11" width="9.140625" style="149"/>
    <col min="12" max="12" width="29.7109375" style="149" customWidth="1"/>
    <col min="13" max="16384" width="9.140625" style="149"/>
  </cols>
  <sheetData>
    <row r="4" spans="3:7" x14ac:dyDescent="0.25">
      <c r="D4" s="147" t="s">
        <v>14</v>
      </c>
      <c r="E4" s="147" t="s">
        <v>145</v>
      </c>
      <c r="F4" s="148" t="s">
        <v>146</v>
      </c>
      <c r="G4" s="147" t="s">
        <v>147</v>
      </c>
    </row>
    <row r="5" spans="3:7" x14ac:dyDescent="0.25">
      <c r="D5" s="156"/>
      <c r="E5" s="156" t="s">
        <v>141</v>
      </c>
      <c r="F5" s="157"/>
      <c r="G5" s="156"/>
    </row>
    <row r="6" spans="3:7" x14ac:dyDescent="0.25">
      <c r="C6" s="176"/>
      <c r="D6" s="150">
        <v>1</v>
      </c>
      <c r="E6" s="158" t="s">
        <v>148</v>
      </c>
      <c r="F6" s="152">
        <v>38417599.539999999</v>
      </c>
      <c r="G6" s="152">
        <f>F6*1.2</f>
        <v>46101119.447999999</v>
      </c>
    </row>
    <row r="7" spans="3:7" x14ac:dyDescent="0.25">
      <c r="D7" s="150">
        <v>2</v>
      </c>
      <c r="E7" s="158" t="s">
        <v>149</v>
      </c>
      <c r="F7" s="152">
        <v>10066485.630000001</v>
      </c>
      <c r="G7" s="152">
        <f t="shared" ref="G7:G12" si="0">F7*1.2</f>
        <v>12079782.756000001</v>
      </c>
    </row>
    <row r="8" spans="3:7" x14ac:dyDescent="0.25">
      <c r="D8" s="150">
        <v>3</v>
      </c>
      <c r="E8" s="158" t="s">
        <v>150</v>
      </c>
      <c r="F8" s="152">
        <v>13250655.210000001</v>
      </c>
      <c r="G8" s="152">
        <f t="shared" si="0"/>
        <v>15900786.252</v>
      </c>
    </row>
    <row r="9" spans="3:7" x14ac:dyDescent="0.25">
      <c r="D9" s="150">
        <v>4</v>
      </c>
      <c r="E9" s="158" t="s">
        <v>151</v>
      </c>
      <c r="F9" s="152">
        <v>4403448.0599999996</v>
      </c>
      <c r="G9" s="152">
        <f t="shared" si="0"/>
        <v>5284137.6719999993</v>
      </c>
    </row>
    <row r="10" spans="3:7" x14ac:dyDescent="0.25">
      <c r="D10" s="150">
        <v>5</v>
      </c>
      <c r="E10" s="158" t="s">
        <v>152</v>
      </c>
      <c r="F10" s="152">
        <v>7706452.1699999999</v>
      </c>
      <c r="G10" s="152">
        <f t="shared" si="0"/>
        <v>9247742.6040000003</v>
      </c>
    </row>
    <row r="11" spans="3:7" x14ac:dyDescent="0.25">
      <c r="D11" s="150">
        <v>6</v>
      </c>
      <c r="E11" s="158" t="s">
        <v>153</v>
      </c>
      <c r="F11" s="152">
        <v>2403847.11</v>
      </c>
      <c r="G11" s="152">
        <f t="shared" si="0"/>
        <v>2884616.5319999997</v>
      </c>
    </row>
    <row r="12" spans="3:7" x14ac:dyDescent="0.25">
      <c r="D12" s="150">
        <v>7</v>
      </c>
      <c r="E12" s="158" t="s">
        <v>154</v>
      </c>
      <c r="F12" s="152">
        <v>3988929.36</v>
      </c>
      <c r="G12" s="152">
        <f t="shared" si="0"/>
        <v>4786715.2319999998</v>
      </c>
    </row>
    <row r="13" spans="3:7" x14ac:dyDescent="0.25">
      <c r="D13" s="150">
        <v>8</v>
      </c>
      <c r="E13" s="153" t="s">
        <v>155</v>
      </c>
      <c r="F13" s="159">
        <f>SUM(F6:F12)</f>
        <v>80237417.079999998</v>
      </c>
      <c r="G13" s="159">
        <f>SUM(G6:G12)</f>
        <v>96284900.496000007</v>
      </c>
    </row>
    <row r="14" spans="3:7" x14ac:dyDescent="0.25">
      <c r="D14" s="160">
        <v>9</v>
      </c>
      <c r="E14" s="156" t="s">
        <v>142</v>
      </c>
      <c r="F14" s="161"/>
      <c r="G14" s="162"/>
    </row>
    <row r="15" spans="3:7" x14ac:dyDescent="0.25">
      <c r="D15" s="150">
        <v>10</v>
      </c>
      <c r="E15" s="158" t="s">
        <v>156</v>
      </c>
      <c r="F15" s="148">
        <v>71932783.799999997</v>
      </c>
      <c r="G15" s="148">
        <f>F15*1.2</f>
        <v>86319340.559999987</v>
      </c>
    </row>
    <row r="16" spans="3:7" x14ac:dyDescent="0.25">
      <c r="D16" s="160">
        <v>11</v>
      </c>
      <c r="E16" s="156" t="s">
        <v>143</v>
      </c>
      <c r="F16" s="161"/>
      <c r="G16" s="162"/>
    </row>
    <row r="17" spans="3:10" x14ac:dyDescent="0.25">
      <c r="D17" s="150">
        <v>12</v>
      </c>
      <c r="E17" s="151" t="s">
        <v>157</v>
      </c>
      <c r="F17" s="148">
        <v>27178663.920000002</v>
      </c>
      <c r="G17" s="148">
        <f>F17*1.2</f>
        <v>32614396.704</v>
      </c>
    </row>
    <row r="18" spans="3:10" x14ac:dyDescent="0.25">
      <c r="D18" s="160">
        <v>13</v>
      </c>
      <c r="E18" s="156" t="s">
        <v>144</v>
      </c>
      <c r="F18" s="161"/>
      <c r="G18" s="162"/>
    </row>
    <row r="19" spans="3:10" ht="30" x14ac:dyDescent="0.25">
      <c r="C19" s="175"/>
      <c r="D19" s="150">
        <v>14</v>
      </c>
      <c r="E19" s="163" t="s">
        <v>158</v>
      </c>
      <c r="F19" s="152">
        <v>19893154.73</v>
      </c>
      <c r="G19" s="164">
        <f>F19*1.2</f>
        <v>23871785.675999999</v>
      </c>
    </row>
    <row r="20" spans="3:10" ht="30" x14ac:dyDescent="0.25">
      <c r="C20" s="175"/>
      <c r="D20" s="150">
        <v>15</v>
      </c>
      <c r="E20" s="165" t="s">
        <v>37</v>
      </c>
      <c r="F20" s="152">
        <v>16340659.35</v>
      </c>
      <c r="G20" s="164">
        <f t="shared" ref="G20:G21" si="1">F20*1.2</f>
        <v>19608791.219999999</v>
      </c>
    </row>
    <row r="21" spans="3:10" x14ac:dyDescent="0.25">
      <c r="C21" s="175"/>
      <c r="D21" s="150">
        <v>16</v>
      </c>
      <c r="E21" s="165" t="s">
        <v>74</v>
      </c>
      <c r="F21" s="152">
        <v>931407.26</v>
      </c>
      <c r="G21" s="164">
        <f t="shared" si="1"/>
        <v>1117688.7120000001</v>
      </c>
    </row>
    <row r="22" spans="3:10" x14ac:dyDescent="0.25">
      <c r="D22" s="166"/>
      <c r="E22" s="153" t="s">
        <v>159</v>
      </c>
      <c r="F22" s="159">
        <f>SUM(F19:F21)</f>
        <v>37165221.339999996</v>
      </c>
      <c r="G22" s="159">
        <f>SUM(G19:G21)</f>
        <v>44598265.607999995</v>
      </c>
    </row>
    <row r="23" spans="3:10" ht="15.75" thickBot="1" x14ac:dyDescent="0.3">
      <c r="I23" s="167">
        <v>4000000</v>
      </c>
    </row>
    <row r="24" spans="3:10" ht="16.5" thickBot="1" x14ac:dyDescent="0.3">
      <c r="G24" s="168">
        <f>G13+G15+G17+G22</f>
        <v>259816903.36799997</v>
      </c>
      <c r="I24" s="169">
        <v>224629000</v>
      </c>
      <c r="J24" s="170">
        <f>I23+I24</f>
        <v>228629000</v>
      </c>
    </row>
    <row r="25" spans="3:10" x14ac:dyDescent="0.25">
      <c r="G25" s="171"/>
    </row>
    <row r="26" spans="3:10" x14ac:dyDescent="0.25">
      <c r="D26" s="147" t="s">
        <v>14</v>
      </c>
      <c r="E26" s="147" t="s">
        <v>145</v>
      </c>
      <c r="F26" s="148" t="s">
        <v>160</v>
      </c>
    </row>
    <row r="27" spans="3:10" x14ac:dyDescent="0.25">
      <c r="D27" s="160">
        <v>1</v>
      </c>
      <c r="E27" s="172" t="s">
        <v>141</v>
      </c>
      <c r="F27" s="161"/>
      <c r="H27" s="155">
        <f>G13+G15+G17+G21</f>
        <v>216336326.472</v>
      </c>
    </row>
    <row r="28" spans="3:10" x14ac:dyDescent="0.25">
      <c r="C28" s="176"/>
      <c r="D28" s="150">
        <v>2</v>
      </c>
      <c r="E28" s="151" t="s">
        <v>161</v>
      </c>
      <c r="F28" s="173">
        <v>6524900.0099999998</v>
      </c>
    </row>
    <row r="29" spans="3:10" x14ac:dyDescent="0.25">
      <c r="D29" s="150">
        <v>3</v>
      </c>
      <c r="E29" s="151" t="s">
        <v>162</v>
      </c>
      <c r="F29" s="173">
        <v>11468140.01</v>
      </c>
    </row>
    <row r="30" spans="3:10" x14ac:dyDescent="0.25">
      <c r="D30" s="150">
        <v>4</v>
      </c>
      <c r="E30" s="151" t="s">
        <v>163</v>
      </c>
      <c r="F30" s="173">
        <v>10151103.84</v>
      </c>
    </row>
    <row r="31" spans="3:10" x14ac:dyDescent="0.25">
      <c r="D31" s="150">
        <v>5</v>
      </c>
      <c r="E31" s="151" t="s">
        <v>164</v>
      </c>
      <c r="F31" s="173">
        <v>4416449.8</v>
      </c>
    </row>
    <row r="32" spans="3:10" x14ac:dyDescent="0.25">
      <c r="D32" s="150">
        <v>6</v>
      </c>
      <c r="E32" s="153" t="s">
        <v>99</v>
      </c>
      <c r="F32" s="159">
        <f>SUM(F28:F31)</f>
        <v>32560593.66</v>
      </c>
    </row>
    <row r="33" spans="3:6" x14ac:dyDescent="0.25">
      <c r="C33" s="175"/>
      <c r="D33" s="160">
        <v>7</v>
      </c>
      <c r="E33" s="172" t="s">
        <v>144</v>
      </c>
      <c r="F33" s="161"/>
    </row>
    <row r="34" spans="3:6" x14ac:dyDescent="0.25">
      <c r="C34" s="175"/>
      <c r="D34" s="150">
        <v>8</v>
      </c>
      <c r="E34" s="151" t="s">
        <v>161</v>
      </c>
      <c r="F34" s="173">
        <v>43480576.899999999</v>
      </c>
    </row>
    <row r="35" spans="3:6" x14ac:dyDescent="0.25">
      <c r="C35" s="175"/>
      <c r="D35" s="150">
        <v>9</v>
      </c>
      <c r="E35" s="151" t="s">
        <v>165</v>
      </c>
      <c r="F35" s="173">
        <v>1117688.71</v>
      </c>
    </row>
    <row r="36" spans="3:6" x14ac:dyDescent="0.25">
      <c r="D36" s="150">
        <v>10</v>
      </c>
      <c r="E36" s="153" t="s">
        <v>99</v>
      </c>
      <c r="F36" s="159">
        <f>SUM(F34:F35)</f>
        <v>44598265.609999999</v>
      </c>
    </row>
    <row r="37" spans="3:6" x14ac:dyDescent="0.25">
      <c r="D37" s="174"/>
      <c r="E37" s="153" t="s">
        <v>166</v>
      </c>
      <c r="F37" s="159">
        <f>F32+F36</f>
        <v>77158859.269999996</v>
      </c>
    </row>
    <row r="40" spans="3:6" x14ac:dyDescent="0.25">
      <c r="F40" s="155">
        <f>I24-F37</f>
        <v>147470140.73000002</v>
      </c>
    </row>
    <row r="41" spans="3:6" x14ac:dyDescent="0.25">
      <c r="E41" s="155">
        <f>F37+F42</f>
        <v>212453188.88</v>
      </c>
    </row>
    <row r="42" spans="3:6" x14ac:dyDescent="0.25">
      <c r="F42" s="155">
        <f>[36]ЭЭ!$J$41</f>
        <v>135294329.61000001</v>
      </c>
    </row>
    <row r="45" spans="3:6" x14ac:dyDescent="0.25">
      <c r="F45" s="155">
        <f>I24-F37-F42</f>
        <v>12175811.120000005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5F04-0505-4CA3-8690-37A0B3D72665}">
  <sheetPr>
    <tabColor rgb="FFFFC000"/>
  </sheetPr>
  <dimension ref="A4:G47"/>
  <sheetViews>
    <sheetView tabSelected="1" workbookViewId="0">
      <selection activeCell="M28" sqref="M28"/>
    </sheetView>
  </sheetViews>
  <sheetFormatPr defaultColWidth="9.140625" defaultRowHeight="15" x14ac:dyDescent="0.25"/>
  <cols>
    <col min="1" max="1" width="17" style="13" customWidth="1"/>
    <col min="2" max="2" width="20.85546875" style="13" hidden="1" customWidth="1"/>
    <col min="3" max="3" width="63.28515625" style="40" customWidth="1"/>
    <col min="4" max="6" width="26.5703125" style="13" bestFit="1" customWidth="1"/>
    <col min="7" max="7" width="49.28515625" style="177" customWidth="1"/>
    <col min="8" max="8" width="26.5703125" style="13" customWidth="1"/>
    <col min="9" max="16384" width="9.140625" style="13"/>
  </cols>
  <sheetData>
    <row r="4" spans="1:7" x14ac:dyDescent="0.25">
      <c r="A4" s="10"/>
      <c r="B4" s="10"/>
      <c r="C4" s="11"/>
      <c r="D4" s="12"/>
      <c r="E4" s="12"/>
      <c r="F4" s="12"/>
    </row>
    <row r="5" spans="1:7" x14ac:dyDescent="0.25">
      <c r="A5" s="14" t="s">
        <v>28</v>
      </c>
      <c r="B5" s="14" t="s">
        <v>29</v>
      </c>
      <c r="C5" s="15" t="s">
        <v>30</v>
      </c>
      <c r="D5" s="15" t="s">
        <v>31</v>
      </c>
      <c r="E5" s="15" t="s">
        <v>32</v>
      </c>
      <c r="F5" s="15" t="s">
        <v>33</v>
      </c>
      <c r="G5" s="178" t="s">
        <v>170</v>
      </c>
    </row>
    <row r="6" spans="1:7" ht="30" x14ac:dyDescent="0.25">
      <c r="A6" s="16">
        <v>1</v>
      </c>
      <c r="B6" s="16" t="s">
        <v>34</v>
      </c>
      <c r="C6" s="17" t="s">
        <v>35</v>
      </c>
      <c r="D6" s="18">
        <v>65867265.950000003</v>
      </c>
      <c r="E6" s="18"/>
      <c r="F6" s="18">
        <f>D6+E6</f>
        <v>65867265.950000003</v>
      </c>
      <c r="G6" s="178"/>
    </row>
    <row r="7" spans="1:7" ht="30" x14ac:dyDescent="0.25">
      <c r="A7" s="16">
        <v>2</v>
      </c>
      <c r="B7" s="16" t="s">
        <v>36</v>
      </c>
      <c r="C7" s="17" t="s">
        <v>37</v>
      </c>
      <c r="D7" s="18">
        <v>54911594.170000002</v>
      </c>
      <c r="E7" s="18"/>
      <c r="F7" s="18">
        <f t="shared" ref="F7:F39" si="0">D7+E7</f>
        <v>54911594.170000002</v>
      </c>
      <c r="G7" s="178"/>
    </row>
    <row r="8" spans="1:7" x14ac:dyDescent="0.25">
      <c r="A8" s="16">
        <v>3</v>
      </c>
      <c r="B8" s="16" t="s">
        <v>38</v>
      </c>
      <c r="C8" s="17" t="s">
        <v>39</v>
      </c>
      <c r="D8" s="18">
        <v>1646696.3</v>
      </c>
      <c r="E8" s="127"/>
      <c r="F8" s="18">
        <f t="shared" si="0"/>
        <v>1646696.3</v>
      </c>
      <c r="G8" s="178"/>
    </row>
    <row r="9" spans="1:7" x14ac:dyDescent="0.25">
      <c r="A9" s="16">
        <v>4</v>
      </c>
      <c r="B9" s="16" t="s">
        <v>40</v>
      </c>
      <c r="C9" s="17" t="s">
        <v>41</v>
      </c>
      <c r="D9" s="18">
        <v>199215880.78</v>
      </c>
      <c r="E9" s="179">
        <v>38046096.850000001</v>
      </c>
      <c r="F9" s="18">
        <f t="shared" si="0"/>
        <v>237261977.63</v>
      </c>
      <c r="G9" s="180" t="s">
        <v>168</v>
      </c>
    </row>
    <row r="10" spans="1:7" x14ac:dyDescent="0.25">
      <c r="A10" s="16">
        <v>5</v>
      </c>
      <c r="B10" s="19" t="s">
        <v>42</v>
      </c>
      <c r="C10" s="20" t="s">
        <v>43</v>
      </c>
      <c r="D10" s="21">
        <v>10775049.08</v>
      </c>
      <c r="E10" s="181">
        <v>3607621.98</v>
      </c>
      <c r="F10" s="18">
        <f t="shared" si="0"/>
        <v>14382671.060000001</v>
      </c>
      <c r="G10" s="180" t="s">
        <v>167</v>
      </c>
    </row>
    <row r="11" spans="1:7" ht="30" x14ac:dyDescent="0.25">
      <c r="A11" s="16">
        <v>6</v>
      </c>
      <c r="B11" s="19" t="s">
        <v>44</v>
      </c>
      <c r="C11" s="20" t="s">
        <v>45</v>
      </c>
      <c r="D11" s="21">
        <v>1627347.05</v>
      </c>
      <c r="E11" s="181">
        <v>401089.24</v>
      </c>
      <c r="F11" s="18">
        <f t="shared" si="0"/>
        <v>2028436.29</v>
      </c>
      <c r="G11" s="180" t="s">
        <v>167</v>
      </c>
    </row>
    <row r="12" spans="1:7" x14ac:dyDescent="0.25">
      <c r="A12" s="16">
        <v>7</v>
      </c>
      <c r="B12" s="19" t="s">
        <v>46</v>
      </c>
      <c r="C12" s="20" t="s">
        <v>47</v>
      </c>
      <c r="D12" s="21"/>
      <c r="E12" s="181">
        <v>345813.96</v>
      </c>
      <c r="F12" s="18">
        <f t="shared" si="0"/>
        <v>345813.96</v>
      </c>
      <c r="G12" s="180" t="s">
        <v>172</v>
      </c>
    </row>
    <row r="13" spans="1:7" x14ac:dyDescent="0.25">
      <c r="A13" s="16">
        <v>8</v>
      </c>
      <c r="B13" s="19" t="s">
        <v>48</v>
      </c>
      <c r="C13" s="20" t="s">
        <v>49</v>
      </c>
      <c r="D13" s="21"/>
      <c r="E13" s="181">
        <v>4524834.8600000003</v>
      </c>
      <c r="F13" s="18">
        <f t="shared" si="0"/>
        <v>4524834.8600000003</v>
      </c>
      <c r="G13" s="180" t="s">
        <v>172</v>
      </c>
    </row>
    <row r="14" spans="1:7" x14ac:dyDescent="0.25">
      <c r="A14" s="16">
        <v>9</v>
      </c>
      <c r="B14" s="19" t="s">
        <v>50</v>
      </c>
      <c r="C14" s="20" t="s">
        <v>51</v>
      </c>
      <c r="D14" s="21"/>
      <c r="E14" s="181">
        <v>1526181.18</v>
      </c>
      <c r="F14" s="18">
        <f t="shared" si="0"/>
        <v>1526181.18</v>
      </c>
      <c r="G14" s="180" t="s">
        <v>172</v>
      </c>
    </row>
    <row r="15" spans="1:7" s="22" customFormat="1" x14ac:dyDescent="0.25">
      <c r="A15" s="16">
        <v>10</v>
      </c>
      <c r="B15" s="16" t="s">
        <v>52</v>
      </c>
      <c r="C15" s="17" t="s">
        <v>53</v>
      </c>
      <c r="D15" s="18"/>
      <c r="E15" s="179">
        <v>19653084.23</v>
      </c>
      <c r="F15" s="18">
        <f t="shared" si="0"/>
        <v>19653084.23</v>
      </c>
      <c r="G15" s="180" t="s">
        <v>172</v>
      </c>
    </row>
    <row r="16" spans="1:7" x14ac:dyDescent="0.25">
      <c r="A16" s="16">
        <v>11</v>
      </c>
      <c r="B16" s="19" t="s">
        <v>54</v>
      </c>
      <c r="C16" s="20" t="s">
        <v>55</v>
      </c>
      <c r="D16" s="21">
        <v>337909.86</v>
      </c>
      <c r="E16" s="181">
        <v>2195820.62</v>
      </c>
      <c r="F16" s="18">
        <f t="shared" si="0"/>
        <v>2533730.48</v>
      </c>
      <c r="G16" s="180" t="s">
        <v>168</v>
      </c>
    </row>
    <row r="17" spans="1:7" x14ac:dyDescent="0.25">
      <c r="A17" s="16">
        <v>12</v>
      </c>
      <c r="B17" s="19" t="s">
        <v>56</v>
      </c>
      <c r="C17" s="20" t="s">
        <v>57</v>
      </c>
      <c r="D17" s="21">
        <v>1211400.79</v>
      </c>
      <c r="E17" s="181">
        <v>3004113.55</v>
      </c>
      <c r="F17" s="18">
        <f t="shared" si="0"/>
        <v>4215514.34</v>
      </c>
      <c r="G17" s="180" t="s">
        <v>172</v>
      </c>
    </row>
    <row r="18" spans="1:7" x14ac:dyDescent="0.25">
      <c r="A18" s="16">
        <v>13</v>
      </c>
      <c r="B18" s="19" t="s">
        <v>58</v>
      </c>
      <c r="C18" s="20" t="s">
        <v>59</v>
      </c>
      <c r="D18" s="21">
        <v>3594854.48</v>
      </c>
      <c r="E18" s="181">
        <v>1063140.1000000001</v>
      </c>
      <c r="F18" s="18">
        <f t="shared" si="0"/>
        <v>4657994.58</v>
      </c>
      <c r="G18" s="180" t="s">
        <v>168</v>
      </c>
    </row>
    <row r="19" spans="1:7" x14ac:dyDescent="0.25">
      <c r="A19" s="16">
        <v>14</v>
      </c>
      <c r="B19" s="23">
        <v>37658</v>
      </c>
      <c r="C19" s="20" t="s">
        <v>60</v>
      </c>
      <c r="D19" s="21">
        <v>505496.99</v>
      </c>
      <c r="E19" s="128"/>
      <c r="F19" s="18">
        <f t="shared" si="0"/>
        <v>505496.99</v>
      </c>
      <c r="G19" s="178"/>
    </row>
    <row r="20" spans="1:7" x14ac:dyDescent="0.25">
      <c r="A20" s="16">
        <v>15</v>
      </c>
      <c r="B20" s="19" t="s">
        <v>61</v>
      </c>
      <c r="C20" s="20" t="s">
        <v>62</v>
      </c>
      <c r="D20" s="21">
        <v>562345.21</v>
      </c>
      <c r="E20" s="181">
        <v>3430118.1</v>
      </c>
      <c r="F20" s="18">
        <f t="shared" si="0"/>
        <v>3992463.31</v>
      </c>
      <c r="G20" s="180" t="s">
        <v>168</v>
      </c>
    </row>
    <row r="21" spans="1:7" x14ac:dyDescent="0.25">
      <c r="A21" s="16">
        <v>16</v>
      </c>
      <c r="B21" s="19" t="s">
        <v>63</v>
      </c>
      <c r="C21" s="20" t="s">
        <v>64</v>
      </c>
      <c r="D21" s="21"/>
      <c r="E21" s="181">
        <v>2470252.58</v>
      </c>
      <c r="F21" s="18">
        <f t="shared" si="0"/>
        <v>2470252.58</v>
      </c>
      <c r="G21" s="180" t="s">
        <v>168</v>
      </c>
    </row>
    <row r="22" spans="1:7" x14ac:dyDescent="0.25">
      <c r="A22" s="16">
        <v>17</v>
      </c>
      <c r="B22" s="19" t="s">
        <v>65</v>
      </c>
      <c r="C22" s="20" t="s">
        <v>66</v>
      </c>
      <c r="D22" s="21"/>
      <c r="E22" s="181">
        <v>4701704.12</v>
      </c>
      <c r="F22" s="18">
        <f t="shared" si="0"/>
        <v>4701704.12</v>
      </c>
      <c r="G22" s="180" t="s">
        <v>168</v>
      </c>
    </row>
    <row r="23" spans="1:7" s="22" customFormat="1" x14ac:dyDescent="0.25">
      <c r="A23" s="16">
        <v>18</v>
      </c>
      <c r="B23" s="24" t="s">
        <v>67</v>
      </c>
      <c r="C23" s="17" t="s">
        <v>68</v>
      </c>
      <c r="D23" s="18"/>
      <c r="E23" s="179">
        <v>6268360.04</v>
      </c>
      <c r="F23" s="18">
        <f t="shared" si="0"/>
        <v>6268360.04</v>
      </c>
      <c r="G23" s="180" t="s">
        <v>168</v>
      </c>
    </row>
    <row r="24" spans="1:7" x14ac:dyDescent="0.25">
      <c r="A24" s="16">
        <v>19</v>
      </c>
      <c r="B24" s="19" t="s">
        <v>69</v>
      </c>
      <c r="C24" s="20" t="s">
        <v>70</v>
      </c>
      <c r="D24" s="21">
        <v>2298854.48</v>
      </c>
      <c r="E24" s="181">
        <v>19052122.100000001</v>
      </c>
      <c r="F24" s="18">
        <f t="shared" si="0"/>
        <v>21350976.580000002</v>
      </c>
      <c r="G24" s="180" t="s">
        <v>168</v>
      </c>
    </row>
    <row r="25" spans="1:7" x14ac:dyDescent="0.25">
      <c r="A25" s="16">
        <v>20</v>
      </c>
      <c r="B25" s="19" t="s">
        <v>71</v>
      </c>
      <c r="C25" s="25" t="s">
        <v>72</v>
      </c>
      <c r="D25" s="21">
        <v>15325816.16</v>
      </c>
      <c r="E25" s="181">
        <v>69127549.370000005</v>
      </c>
      <c r="F25" s="18">
        <f t="shared" si="0"/>
        <v>84453365.530000001</v>
      </c>
      <c r="G25" s="180" t="s">
        <v>169</v>
      </c>
    </row>
    <row r="26" spans="1:7" x14ac:dyDescent="0.25">
      <c r="A26" s="16">
        <v>21</v>
      </c>
      <c r="B26" s="26" t="s">
        <v>73</v>
      </c>
      <c r="C26" s="25" t="s">
        <v>74</v>
      </c>
      <c r="D26" s="21">
        <v>5245250.92</v>
      </c>
      <c r="E26" s="128"/>
      <c r="F26" s="18">
        <f t="shared" si="0"/>
        <v>5245250.92</v>
      </c>
      <c r="G26" s="178"/>
    </row>
    <row r="27" spans="1:7" x14ac:dyDescent="0.25">
      <c r="A27" s="16">
        <v>22</v>
      </c>
      <c r="B27" s="26" t="s">
        <v>75</v>
      </c>
      <c r="C27" s="25" t="s">
        <v>76</v>
      </c>
      <c r="D27" s="21"/>
      <c r="E27" s="181">
        <v>79299.42</v>
      </c>
      <c r="F27" s="18">
        <f t="shared" si="0"/>
        <v>79299.42</v>
      </c>
      <c r="G27" s="180" t="s">
        <v>172</v>
      </c>
    </row>
    <row r="28" spans="1:7" ht="30" x14ac:dyDescent="0.25">
      <c r="A28" s="16">
        <v>23</v>
      </c>
      <c r="B28" s="26" t="s">
        <v>77</v>
      </c>
      <c r="C28" s="25" t="s">
        <v>78</v>
      </c>
      <c r="D28" s="21"/>
      <c r="E28" s="181">
        <v>244506.56</v>
      </c>
      <c r="F28" s="18">
        <f t="shared" si="0"/>
        <v>244506.56</v>
      </c>
      <c r="G28" s="180" t="s">
        <v>172</v>
      </c>
    </row>
    <row r="29" spans="1:7" ht="30" x14ac:dyDescent="0.25">
      <c r="A29" s="16">
        <v>24</v>
      </c>
      <c r="B29" s="16" t="s">
        <v>79</v>
      </c>
      <c r="C29" s="27" t="s">
        <v>35</v>
      </c>
      <c r="D29" s="28"/>
      <c r="E29" s="179">
        <v>208912.6</v>
      </c>
      <c r="F29" s="18">
        <f t="shared" si="0"/>
        <v>208912.6</v>
      </c>
      <c r="G29" s="180" t="s">
        <v>171</v>
      </c>
    </row>
    <row r="30" spans="1:7" x14ac:dyDescent="0.25">
      <c r="A30" s="16">
        <v>25</v>
      </c>
      <c r="B30" s="16" t="s">
        <v>80</v>
      </c>
      <c r="C30" s="27" t="s">
        <v>81</v>
      </c>
      <c r="D30" s="28"/>
      <c r="E30" s="179">
        <v>27667.040000000001</v>
      </c>
      <c r="F30" s="18">
        <f t="shared" si="0"/>
        <v>27667.040000000001</v>
      </c>
      <c r="G30" s="180" t="s">
        <v>171</v>
      </c>
    </row>
    <row r="31" spans="1:7" ht="30" x14ac:dyDescent="0.25">
      <c r="A31" s="16">
        <v>26</v>
      </c>
      <c r="B31" s="16" t="s">
        <v>82</v>
      </c>
      <c r="C31" s="27" t="s">
        <v>83</v>
      </c>
      <c r="D31" s="28"/>
      <c r="E31" s="179">
        <v>85851.36</v>
      </c>
      <c r="F31" s="18">
        <f t="shared" si="0"/>
        <v>85851.36</v>
      </c>
      <c r="G31" s="180" t="s">
        <v>175</v>
      </c>
    </row>
    <row r="32" spans="1:7" ht="30" x14ac:dyDescent="0.25">
      <c r="A32" s="16">
        <v>27</v>
      </c>
      <c r="B32" s="16" t="s">
        <v>84</v>
      </c>
      <c r="C32" s="27" t="s">
        <v>85</v>
      </c>
      <c r="D32" s="28"/>
      <c r="E32" s="179">
        <v>708000.38</v>
      </c>
      <c r="F32" s="18">
        <f t="shared" si="0"/>
        <v>708000.38</v>
      </c>
      <c r="G32" s="180" t="s">
        <v>171</v>
      </c>
    </row>
    <row r="33" spans="1:7" x14ac:dyDescent="0.25">
      <c r="A33" s="16">
        <v>28</v>
      </c>
      <c r="B33" s="16" t="s">
        <v>86</v>
      </c>
      <c r="C33" s="27" t="s">
        <v>87</v>
      </c>
      <c r="D33" s="28"/>
      <c r="E33" s="179">
        <v>5703505.3300000001</v>
      </c>
      <c r="F33" s="18">
        <f t="shared" si="0"/>
        <v>5703505.3300000001</v>
      </c>
      <c r="G33" s="180" t="s">
        <v>171</v>
      </c>
    </row>
    <row r="34" spans="1:7" x14ac:dyDescent="0.25">
      <c r="A34" s="16">
        <v>29</v>
      </c>
      <c r="B34" s="16" t="s">
        <v>88</v>
      </c>
      <c r="C34" s="27" t="s">
        <v>89</v>
      </c>
      <c r="D34" s="28"/>
      <c r="E34" s="179">
        <v>57736.21</v>
      </c>
      <c r="F34" s="18">
        <f t="shared" si="0"/>
        <v>57736.21</v>
      </c>
      <c r="G34" s="180" t="s">
        <v>173</v>
      </c>
    </row>
    <row r="35" spans="1:7" x14ac:dyDescent="0.25">
      <c r="A35" s="16">
        <v>30</v>
      </c>
      <c r="B35" s="16" t="s">
        <v>90</v>
      </c>
      <c r="C35" s="27" t="s">
        <v>91</v>
      </c>
      <c r="D35" s="28"/>
      <c r="E35" s="179">
        <v>299526.31</v>
      </c>
      <c r="F35" s="18">
        <f t="shared" si="0"/>
        <v>299526.31</v>
      </c>
      <c r="G35" s="180" t="s">
        <v>173</v>
      </c>
    </row>
    <row r="36" spans="1:7" x14ac:dyDescent="0.25">
      <c r="A36" s="16">
        <v>31</v>
      </c>
      <c r="B36" s="16" t="s">
        <v>92</v>
      </c>
      <c r="C36" s="27" t="s">
        <v>93</v>
      </c>
      <c r="D36" s="28"/>
      <c r="E36" s="179">
        <v>2040575.68</v>
      </c>
      <c r="F36" s="18">
        <f t="shared" si="0"/>
        <v>2040575.68</v>
      </c>
      <c r="G36" s="180" t="s">
        <v>176</v>
      </c>
    </row>
    <row r="37" spans="1:7" x14ac:dyDescent="0.25">
      <c r="A37" s="16">
        <v>32</v>
      </c>
      <c r="B37" s="16" t="s">
        <v>94</v>
      </c>
      <c r="C37" s="27" t="s">
        <v>95</v>
      </c>
      <c r="D37" s="28"/>
      <c r="E37" s="179">
        <v>556614.54</v>
      </c>
      <c r="F37" s="18">
        <f t="shared" si="0"/>
        <v>556614.54</v>
      </c>
      <c r="G37" s="180" t="s">
        <v>175</v>
      </c>
    </row>
    <row r="38" spans="1:7" x14ac:dyDescent="0.25">
      <c r="A38" s="16">
        <v>33</v>
      </c>
      <c r="B38" s="16" t="s">
        <v>56</v>
      </c>
      <c r="C38" s="27" t="s">
        <v>96</v>
      </c>
      <c r="D38" s="28"/>
      <c r="E38" s="179">
        <v>788073.34</v>
      </c>
      <c r="F38" s="18">
        <f t="shared" si="0"/>
        <v>788073.34</v>
      </c>
      <c r="G38" s="180" t="s">
        <v>175</v>
      </c>
    </row>
    <row r="39" spans="1:7" x14ac:dyDescent="0.25">
      <c r="A39" s="16">
        <v>34</v>
      </c>
      <c r="B39" s="16" t="s">
        <v>97</v>
      </c>
      <c r="C39" s="27" t="s">
        <v>98</v>
      </c>
      <c r="D39" s="28"/>
      <c r="E39" s="179">
        <v>1139614.19</v>
      </c>
      <c r="F39" s="18">
        <f t="shared" si="0"/>
        <v>1139614.19</v>
      </c>
      <c r="G39" s="180" t="s">
        <v>174</v>
      </c>
    </row>
    <row r="40" spans="1:7" x14ac:dyDescent="0.25">
      <c r="A40" s="16"/>
      <c r="B40" s="29"/>
      <c r="C40" s="17"/>
      <c r="D40" s="30"/>
      <c r="E40" s="129"/>
      <c r="F40" s="30"/>
    </row>
    <row r="41" spans="1:7" ht="20.25" x14ac:dyDescent="0.25">
      <c r="A41" s="31"/>
      <c r="B41" s="14" t="s">
        <v>99</v>
      </c>
      <c r="C41" s="32"/>
      <c r="D41" s="33">
        <f>SUM(D6:D40)</f>
        <v>363125762.22000009</v>
      </c>
      <c r="E41" s="33">
        <f t="shared" ref="E41:F41" si="1">SUM(E6:E40)</f>
        <v>191357785.84</v>
      </c>
      <c r="F41" s="33">
        <f t="shared" si="1"/>
        <v>554483548.05999994</v>
      </c>
    </row>
    <row r="42" spans="1:7" x14ac:dyDescent="0.25">
      <c r="A42" s="34"/>
      <c r="B42" s="34"/>
      <c r="C42" s="35"/>
      <c r="D42" s="34"/>
      <c r="E42" s="34"/>
      <c r="F42" s="34"/>
    </row>
    <row r="43" spans="1:7" ht="20.25" x14ac:dyDescent="0.25">
      <c r="A43" s="19">
        <v>30</v>
      </c>
      <c r="B43" s="16">
        <v>2</v>
      </c>
      <c r="C43" s="27" t="s">
        <v>100</v>
      </c>
      <c r="D43" s="33"/>
      <c r="E43" s="33">
        <v>2384094.02</v>
      </c>
      <c r="F43" s="33">
        <v>2384094.02</v>
      </c>
    </row>
    <row r="44" spans="1:7" x14ac:dyDescent="0.25">
      <c r="A44" s="36"/>
      <c r="B44" s="36"/>
      <c r="C44" s="37"/>
      <c r="D44" s="38"/>
      <c r="E44" s="38"/>
      <c r="F44" s="38"/>
    </row>
    <row r="45" spans="1:7" x14ac:dyDescent="0.25">
      <c r="A45" s="36"/>
      <c r="B45" s="36"/>
      <c r="C45" s="37"/>
      <c r="D45" s="39">
        <f>D41+E41</f>
        <v>554483548.06000006</v>
      </c>
      <c r="E45" s="38">
        <f>E41+E43</f>
        <v>193741879.86000001</v>
      </c>
      <c r="F45" s="39">
        <f>F41+F43</f>
        <v>556867642.07999992</v>
      </c>
    </row>
    <row r="46" spans="1:7" x14ac:dyDescent="0.25">
      <c r="D46" s="41"/>
      <c r="E46" s="41"/>
      <c r="F46" s="41"/>
    </row>
    <row r="47" spans="1:7" x14ac:dyDescent="0.25">
      <c r="E47" s="13">
        <v>147470140.73000002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7"/>
  <sheetViews>
    <sheetView zoomScaleNormal="100" workbookViewId="0">
      <pane ySplit="1" topLeftCell="A2" activePane="bottomLeft" state="frozen"/>
      <selection pane="bottomLeft" activeCell="G35" sqref="G35"/>
    </sheetView>
  </sheetViews>
  <sheetFormatPr defaultRowHeight="15" x14ac:dyDescent="0.25"/>
  <cols>
    <col min="3" max="3" width="63.28515625" bestFit="1" customWidth="1"/>
    <col min="4" max="4" width="16.28515625" customWidth="1"/>
  </cols>
  <sheetData>
    <row r="1" spans="2:4" x14ac:dyDescent="0.25">
      <c r="B1" s="4" t="s">
        <v>14</v>
      </c>
      <c r="C1" s="4" t="s">
        <v>15</v>
      </c>
      <c r="D1" s="4" t="s">
        <v>16</v>
      </c>
    </row>
    <row r="2" spans="2:4" x14ac:dyDescent="0.25">
      <c r="B2" s="3">
        <v>1</v>
      </c>
      <c r="C2" s="9" t="s">
        <v>2</v>
      </c>
      <c r="D2" s="2">
        <v>4656746.26</v>
      </c>
    </row>
    <row r="3" spans="2:4" x14ac:dyDescent="0.25">
      <c r="B3" s="3">
        <v>2</v>
      </c>
      <c r="C3" s="9" t="s">
        <v>0</v>
      </c>
      <c r="D3" s="2">
        <v>89859.26</v>
      </c>
    </row>
    <row r="4" spans="2:4" x14ac:dyDescent="0.25">
      <c r="B4" s="3">
        <v>3</v>
      </c>
      <c r="C4" s="9" t="s">
        <v>1</v>
      </c>
      <c r="D4" s="2">
        <v>5641179.5499999998</v>
      </c>
    </row>
    <row r="5" spans="2:4" x14ac:dyDescent="0.25">
      <c r="B5" s="3">
        <v>4</v>
      </c>
      <c r="C5" s="9" t="s">
        <v>3</v>
      </c>
      <c r="D5" s="2">
        <v>47174.400000000001</v>
      </c>
    </row>
    <row r="6" spans="2:4" x14ac:dyDescent="0.25">
      <c r="B6" s="3">
        <v>5</v>
      </c>
      <c r="C6" s="9" t="s">
        <v>4</v>
      </c>
      <c r="D6" s="2">
        <v>8903413.1300000008</v>
      </c>
    </row>
    <row r="7" spans="2:4" x14ac:dyDescent="0.25">
      <c r="B7" s="3">
        <v>6</v>
      </c>
      <c r="C7" s="9" t="s">
        <v>5</v>
      </c>
      <c r="D7" s="2">
        <v>1516853.62</v>
      </c>
    </row>
    <row r="8" spans="2:4" x14ac:dyDescent="0.25">
      <c r="B8" s="3">
        <v>7</v>
      </c>
      <c r="C8" s="9" t="s">
        <v>6</v>
      </c>
      <c r="D8" s="2">
        <v>22508536.09</v>
      </c>
    </row>
    <row r="9" spans="2:4" x14ac:dyDescent="0.25">
      <c r="B9" s="3">
        <v>8</v>
      </c>
      <c r="C9" s="9" t="s">
        <v>7</v>
      </c>
      <c r="D9" s="2">
        <v>6968369.3099999996</v>
      </c>
    </row>
    <row r="10" spans="2:4" x14ac:dyDescent="0.25">
      <c r="B10" s="3">
        <v>9</v>
      </c>
      <c r="C10" s="9" t="s">
        <v>8</v>
      </c>
      <c r="D10" s="2">
        <v>83233416.819999993</v>
      </c>
    </row>
    <row r="11" spans="2:4" x14ac:dyDescent="0.25">
      <c r="B11" s="3">
        <v>10</v>
      </c>
      <c r="C11" s="9" t="s">
        <v>9</v>
      </c>
      <c r="D11" s="2">
        <v>3434769.77</v>
      </c>
    </row>
    <row r="12" spans="2:4" x14ac:dyDescent="0.25">
      <c r="B12" s="3">
        <v>11</v>
      </c>
      <c r="C12" s="9" t="s">
        <v>10</v>
      </c>
      <c r="D12" s="2">
        <v>5344436.47</v>
      </c>
    </row>
    <row r="13" spans="2:4" x14ac:dyDescent="0.25">
      <c r="B13" s="3">
        <v>12</v>
      </c>
      <c r="C13" s="1" t="s">
        <v>11</v>
      </c>
      <c r="D13" s="2">
        <v>2140860.2799999998</v>
      </c>
    </row>
    <row r="14" spans="2:4" x14ac:dyDescent="0.25">
      <c r="B14" s="3">
        <v>13</v>
      </c>
      <c r="C14" s="9" t="s">
        <v>12</v>
      </c>
      <c r="D14" s="2">
        <v>912139.03</v>
      </c>
    </row>
    <row r="15" spans="2:4" x14ac:dyDescent="0.25">
      <c r="B15" s="3">
        <v>14</v>
      </c>
      <c r="C15" s="9" t="s">
        <v>13</v>
      </c>
      <c r="D15" s="2">
        <v>6392727.4800000004</v>
      </c>
    </row>
    <row r="16" spans="2:4" x14ac:dyDescent="0.25">
      <c r="B16" s="3">
        <v>15</v>
      </c>
      <c r="C16" s="9" t="s">
        <v>17</v>
      </c>
      <c r="D16" s="8">
        <v>2060930.35</v>
      </c>
    </row>
    <row r="17" spans="2:4" x14ac:dyDescent="0.25">
      <c r="B17" s="3">
        <v>16</v>
      </c>
      <c r="C17" s="9" t="s">
        <v>18</v>
      </c>
      <c r="D17" s="8">
        <v>1356682.99</v>
      </c>
    </row>
    <row r="18" spans="2:4" x14ac:dyDescent="0.25">
      <c r="B18" s="3">
        <v>17</v>
      </c>
      <c r="C18" s="9" t="s">
        <v>19</v>
      </c>
      <c r="D18" s="8">
        <v>69911523.599999994</v>
      </c>
    </row>
    <row r="19" spans="2:4" x14ac:dyDescent="0.25">
      <c r="B19" s="3">
        <v>18</v>
      </c>
      <c r="C19" s="9" t="s">
        <v>20</v>
      </c>
      <c r="D19" s="8">
        <v>5564992.0300000003</v>
      </c>
    </row>
    <row r="20" spans="2:4" x14ac:dyDescent="0.25">
      <c r="B20" s="3">
        <v>19</v>
      </c>
      <c r="C20" s="9" t="s">
        <v>24</v>
      </c>
      <c r="D20" s="8">
        <v>3122837.65</v>
      </c>
    </row>
    <row r="21" spans="2:4" x14ac:dyDescent="0.25">
      <c r="B21" s="3">
        <v>20</v>
      </c>
      <c r="C21" s="9" t="s">
        <v>25</v>
      </c>
      <c r="D21" s="8">
        <v>174538.53</v>
      </c>
    </row>
    <row r="22" spans="2:4" x14ac:dyDescent="0.25">
      <c r="B22" s="3">
        <v>21</v>
      </c>
      <c r="C22" s="9" t="s">
        <v>21</v>
      </c>
      <c r="D22" s="8">
        <v>771191.87</v>
      </c>
    </row>
    <row r="23" spans="2:4" x14ac:dyDescent="0.25">
      <c r="B23" s="3">
        <v>22</v>
      </c>
      <c r="C23" s="7" t="s">
        <v>26</v>
      </c>
      <c r="D23" s="8">
        <v>109388.95</v>
      </c>
    </row>
    <row r="24" spans="2:4" x14ac:dyDescent="0.25">
      <c r="B24" s="3">
        <v>23</v>
      </c>
      <c r="C24" s="7" t="s">
        <v>27</v>
      </c>
      <c r="D24" s="8">
        <v>1466088.86</v>
      </c>
    </row>
    <row r="25" spans="2:4" x14ac:dyDescent="0.25">
      <c r="B25" s="3">
        <v>24</v>
      </c>
      <c r="C25" s="7" t="s">
        <v>22</v>
      </c>
      <c r="D25" s="8">
        <v>205626.28</v>
      </c>
    </row>
    <row r="26" spans="2:4" x14ac:dyDescent="0.25">
      <c r="B26" s="3">
        <v>25</v>
      </c>
      <c r="C26" s="7" t="s">
        <v>23</v>
      </c>
      <c r="D26" s="8">
        <v>148688.69</v>
      </c>
    </row>
    <row r="27" spans="2:4" x14ac:dyDescent="0.25">
      <c r="B27" s="5"/>
      <c r="C27" s="5"/>
      <c r="D27" s="6">
        <f>SUM(D2:D26)</f>
        <v>236682971.27000001</v>
      </c>
    </row>
  </sheetData>
  <autoFilter ref="B1:D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Договора ЭЭ</vt:lpstr>
      <vt:lpstr>реестры кс-2</vt:lpstr>
      <vt:lpstr>реестр ССР2-2</vt:lpstr>
      <vt:lpstr>КиК VS ЭЭ</vt:lpstr>
      <vt:lpstr>Разбивка по договорам ЭЭ</vt:lpstr>
      <vt:lpstr>КиК с заказчиком</vt:lpstr>
      <vt:lpstr>ЭЭ</vt:lpstr>
      <vt:lpstr>'реестр ССР2-2'!Область_печати</vt:lpstr>
      <vt:lpstr>'реестры кс-2'!Область_печати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2024-10-09T09:00:46Z</cp:lastPrinted>
  <dcterms:created xsi:type="dcterms:W3CDTF">2024-06-14T08:57:05Z</dcterms:created>
  <dcterms:modified xsi:type="dcterms:W3CDTF">2024-10-20T12:37:23Z</dcterms:modified>
</cp:coreProperties>
</file>