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КП_417 путь\КП по согл ВОР\Анализ ВДЦ Мытищи\добавлены работы по КС-6\"/>
    </mc:Choice>
  </mc:AlternateContent>
  <xr:revisionPtr revIDLastSave="0" documentId="13_ncr:1_{BDB01436-5575-471A-828A-2023813A7233}" xr6:coauthVersionLast="47" xr6:coauthVersionMax="47" xr10:uidLastSave="{00000000-0000-0000-0000-000000000000}"/>
  <bookViews>
    <workbookView xWindow="-28920" yWindow="-120" windowWidth="29040" windowHeight="15840" xr2:uid="{28CE9479-6801-410A-8DB4-B4AD99C31BA5}"/>
  </bookViews>
  <sheets>
    <sheet name="АС4" sheetId="1" r:id="rId1"/>
    <sheet name="АС4 (2)" sheetId="2" state="hidden" r:id="rId2"/>
  </sheets>
  <definedNames>
    <definedName name="_xlnm.Print_Area" localSheetId="0">АС4!$A$1:$L$64</definedName>
    <definedName name="_xlnm.Print_Area" localSheetId="1">'АС4 (2)'!$A$1:$L$155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61" i="1"/>
  <c r="I61" i="1"/>
  <c r="D32" i="1"/>
  <c r="F30" i="1"/>
  <c r="K30" i="1" s="1"/>
  <c r="D24" i="1"/>
  <c r="I29" i="1"/>
  <c r="I28" i="1"/>
  <c r="I27" i="1"/>
  <c r="K27" i="1" s="1"/>
  <c r="I26" i="1"/>
  <c r="I25" i="1"/>
  <c r="I24" i="1"/>
  <c r="F23" i="1"/>
  <c r="G23" i="1" s="1"/>
  <c r="L23" i="1" s="1"/>
  <c r="I34" i="1"/>
  <c r="F33" i="1"/>
  <c r="K33" i="1" s="1"/>
  <c r="I32" i="1"/>
  <c r="J32" i="1" s="1"/>
  <c r="L32" i="1" s="1"/>
  <c r="F31" i="1"/>
  <c r="K31" i="1" s="1"/>
  <c r="I22" i="1"/>
  <c r="D19" i="1"/>
  <c r="F19" i="1"/>
  <c r="K19" i="1" s="1"/>
  <c r="D18" i="1"/>
  <c r="F18" i="1" s="1"/>
  <c r="K18" i="1" s="1"/>
  <c r="D17" i="1"/>
  <c r="F17" i="1"/>
  <c r="K17" i="1" s="1"/>
  <c r="F16" i="1"/>
  <c r="K16" i="1" s="1"/>
  <c r="F14" i="1"/>
  <c r="K14" i="1" s="1"/>
  <c r="F15" i="1"/>
  <c r="K15" i="1" s="1"/>
  <c r="F13" i="1"/>
  <c r="K13" i="1" s="1"/>
  <c r="D11" i="1"/>
  <c r="G33" i="1" l="1"/>
  <c r="L33" i="1" s="1"/>
  <c r="G30" i="1"/>
  <c r="L30" i="1" s="1"/>
  <c r="K23" i="1"/>
  <c r="J34" i="1"/>
  <c r="L34" i="1" s="1"/>
  <c r="K34" i="1"/>
  <c r="K22" i="1"/>
  <c r="J22" i="1"/>
  <c r="L22" i="1" s="1"/>
  <c r="K25" i="1"/>
  <c r="J25" i="1"/>
  <c r="L25" i="1" s="1"/>
  <c r="K26" i="1"/>
  <c r="J26" i="1"/>
  <c r="L26" i="1" s="1"/>
  <c r="K24" i="1"/>
  <c r="J24" i="1"/>
  <c r="L24" i="1" s="1"/>
  <c r="K28" i="1"/>
  <c r="J28" i="1"/>
  <c r="L28" i="1" s="1"/>
  <c r="J29" i="1"/>
  <c r="L29" i="1" s="1"/>
  <c r="K29" i="1"/>
  <c r="J27" i="1"/>
  <c r="L27" i="1" s="1"/>
  <c r="G31" i="1"/>
  <c r="L31" i="1" s="1"/>
  <c r="K32" i="1"/>
  <c r="G19" i="1"/>
  <c r="L19" i="1" s="1"/>
  <c r="G18" i="1"/>
  <c r="L18" i="1" s="1"/>
  <c r="G17" i="1"/>
  <c r="L17" i="1" s="1"/>
  <c r="G16" i="1"/>
  <c r="L16" i="1" s="1"/>
  <c r="G14" i="1"/>
  <c r="L14" i="1" s="1"/>
  <c r="G13" i="1"/>
  <c r="L13" i="1" s="1"/>
  <c r="G15" i="1"/>
  <c r="L15" i="1" s="1"/>
  <c r="F11" i="1" l="1"/>
  <c r="K11" i="1" s="1"/>
  <c r="F9" i="1"/>
  <c r="K9" i="1" s="1"/>
  <c r="E8" i="1"/>
  <c r="F8" i="1" s="1"/>
  <c r="G8" i="1" l="1"/>
  <c r="L8" i="1" s="1"/>
  <c r="K8" i="1"/>
  <c r="G11" i="1"/>
  <c r="L11" i="1" s="1"/>
  <c r="G9" i="1"/>
  <c r="L9" i="1" s="1"/>
  <c r="E37" i="1"/>
  <c r="E46" i="1"/>
  <c r="D46" i="1"/>
  <c r="E41" i="1"/>
  <c r="D54" i="1" l="1"/>
  <c r="I54" i="1" s="1"/>
  <c r="F53" i="1"/>
  <c r="D52" i="1"/>
  <c r="I52" i="1" s="1"/>
  <c r="F51" i="1"/>
  <c r="K51" i="1" s="1"/>
  <c r="G51" i="1" l="1"/>
  <c r="L51" i="1" s="1"/>
  <c r="J52" i="1"/>
  <c r="L52" i="1" s="1"/>
  <c r="K52" i="1"/>
  <c r="K53" i="1"/>
  <c r="G53" i="1"/>
  <c r="L53" i="1" s="1"/>
  <c r="K54" i="1"/>
  <c r="J54" i="1"/>
  <c r="L54" i="1" s="1"/>
  <c r="D56" i="1" l="1"/>
  <c r="I56" i="1" s="1"/>
  <c r="K56" i="1" s="1"/>
  <c r="D60" i="1"/>
  <c r="I60" i="1" s="1"/>
  <c r="F59" i="1"/>
  <c r="G59" i="1" s="1"/>
  <c r="L59" i="1" s="1"/>
  <c r="D58" i="1"/>
  <c r="I58" i="1" s="1"/>
  <c r="F57" i="1"/>
  <c r="K57" i="1" s="1"/>
  <c r="F55" i="1"/>
  <c r="K55" i="1" s="1"/>
  <c r="F50" i="1"/>
  <c r="K50" i="1" s="1"/>
  <c r="F49" i="1"/>
  <c r="K49" i="1" s="1"/>
  <c r="I45" i="1"/>
  <c r="K45" i="1" s="1"/>
  <c r="I44" i="1"/>
  <c r="J44" i="1" s="1"/>
  <c r="L44" i="1" s="1"/>
  <c r="I43" i="1"/>
  <c r="K43" i="1" s="1"/>
  <c r="I42" i="1"/>
  <c r="F46" i="1"/>
  <c r="G46" i="1" s="1"/>
  <c r="L46" i="1" s="1"/>
  <c r="I47" i="1"/>
  <c r="F41" i="1"/>
  <c r="G41" i="1" s="1"/>
  <c r="L41" i="1" s="1"/>
  <c r="A38" i="1"/>
  <c r="A39" i="1" s="1"/>
  <c r="A41" i="1" s="1"/>
  <c r="A46" i="1" s="1"/>
  <c r="A49" i="1" s="1"/>
  <c r="D39" i="1"/>
  <c r="F39" i="1" s="1"/>
  <c r="K39" i="1" s="1"/>
  <c r="D38" i="1"/>
  <c r="F38" i="1" s="1"/>
  <c r="D154" i="2"/>
  <c r="I154" i="2" s="1"/>
  <c r="K154" i="2" s="1"/>
  <c r="F153" i="2"/>
  <c r="D152" i="2"/>
  <c r="I152" i="2" s="1"/>
  <c r="J152" i="2" s="1"/>
  <c r="L152" i="2" s="1"/>
  <c r="G151" i="2"/>
  <c r="L151" i="2" s="1"/>
  <c r="F151" i="2"/>
  <c r="K151" i="2" s="1"/>
  <c r="I150" i="2"/>
  <c r="J150" i="2" s="1"/>
  <c r="L150" i="2" s="1"/>
  <c r="G149" i="2"/>
  <c r="L149" i="2" s="1"/>
  <c r="F149" i="2"/>
  <c r="K149" i="2" s="1"/>
  <c r="F148" i="2"/>
  <c r="G147" i="2"/>
  <c r="L147" i="2" s="1"/>
  <c r="F147" i="2"/>
  <c r="K147" i="2" s="1"/>
  <c r="F146" i="2"/>
  <c r="K146" i="2" s="1"/>
  <c r="D145" i="2"/>
  <c r="I145" i="2" s="1"/>
  <c r="F144" i="2"/>
  <c r="K144" i="2" s="1"/>
  <c r="I143" i="2"/>
  <c r="K143" i="2" s="1"/>
  <c r="D143" i="2"/>
  <c r="I142" i="2"/>
  <c r="J141" i="2"/>
  <c r="L141" i="2" s="1"/>
  <c r="I141" i="2"/>
  <c r="K141" i="2" s="1"/>
  <c r="D140" i="2"/>
  <c r="F140" i="2" s="1"/>
  <c r="K140" i="2" s="1"/>
  <c r="D139" i="2"/>
  <c r="I139" i="2" s="1"/>
  <c r="K139" i="2" s="1"/>
  <c r="I138" i="2"/>
  <c r="K138" i="2" s="1"/>
  <c r="I137" i="2"/>
  <c r="K137" i="2" s="1"/>
  <c r="D136" i="2"/>
  <c r="I136" i="2" s="1"/>
  <c r="J136" i="2" s="1"/>
  <c r="L136" i="2" s="1"/>
  <c r="D135" i="2"/>
  <c r="F135" i="2" s="1"/>
  <c r="K135" i="2" s="1"/>
  <c r="K134" i="2"/>
  <c r="I134" i="2"/>
  <c r="J134" i="2" s="1"/>
  <c r="L134" i="2" s="1"/>
  <c r="I133" i="2"/>
  <c r="I132" i="2"/>
  <c r="K132" i="2" s="1"/>
  <c r="K131" i="2"/>
  <c r="J131" i="2"/>
  <c r="L131" i="2" s="1"/>
  <c r="I131" i="2"/>
  <c r="I130" i="2"/>
  <c r="I129" i="2"/>
  <c r="K129" i="2" s="1"/>
  <c r="D128" i="2"/>
  <c r="I128" i="2" s="1"/>
  <c r="K128" i="2" s="1"/>
  <c r="D127" i="2"/>
  <c r="I127" i="2" s="1"/>
  <c r="K127" i="2" s="1"/>
  <c r="D126" i="2"/>
  <c r="I126" i="2" s="1"/>
  <c r="D125" i="2"/>
  <c r="I125" i="2" s="1"/>
  <c r="J125" i="2" s="1"/>
  <c r="L125" i="2" s="1"/>
  <c r="D124" i="2"/>
  <c r="I124" i="2" s="1"/>
  <c r="D123" i="2"/>
  <c r="I123" i="2" s="1"/>
  <c r="K122" i="2"/>
  <c r="D122" i="2"/>
  <c r="I122" i="2" s="1"/>
  <c r="J122" i="2" s="1"/>
  <c r="L122" i="2" s="1"/>
  <c r="D121" i="2"/>
  <c r="I121" i="2" s="1"/>
  <c r="F120" i="2"/>
  <c r="D118" i="2"/>
  <c r="I118" i="2" s="1"/>
  <c r="J118" i="2" s="1"/>
  <c r="L118" i="2" s="1"/>
  <c r="D117" i="2"/>
  <c r="I117" i="2" s="1"/>
  <c r="L116" i="2"/>
  <c r="K116" i="2"/>
  <c r="I116" i="2"/>
  <c r="J116" i="2" s="1"/>
  <c r="D116" i="2"/>
  <c r="D115" i="2"/>
  <c r="F115" i="2" s="1"/>
  <c r="K115" i="2" s="1"/>
  <c r="D114" i="2"/>
  <c r="I114" i="2" s="1"/>
  <c r="K114" i="2" s="1"/>
  <c r="I113" i="2"/>
  <c r="K113" i="2" s="1"/>
  <c r="D113" i="2"/>
  <c r="D112" i="2"/>
  <c r="I112" i="2" s="1"/>
  <c r="D111" i="2"/>
  <c r="F111" i="2" s="1"/>
  <c r="G111" i="2" s="1"/>
  <c r="L111" i="2" s="1"/>
  <c r="I110" i="2"/>
  <c r="K110" i="2" s="1"/>
  <c r="I109" i="2"/>
  <c r="J109" i="2" s="1"/>
  <c r="L109" i="2" s="1"/>
  <c r="J108" i="2"/>
  <c r="L108" i="2" s="1"/>
  <c r="I108" i="2"/>
  <c r="K108" i="2" s="1"/>
  <c r="K107" i="2"/>
  <c r="J107" i="2"/>
  <c r="L107" i="2" s="1"/>
  <c r="I107" i="2"/>
  <c r="I106" i="2"/>
  <c r="J106" i="2" s="1"/>
  <c r="L106" i="2" s="1"/>
  <c r="J105" i="2"/>
  <c r="L105" i="2" s="1"/>
  <c r="I105" i="2"/>
  <c r="K105" i="2" s="1"/>
  <c r="D104" i="2"/>
  <c r="I104" i="2" s="1"/>
  <c r="J104" i="2" s="1"/>
  <c r="L104" i="2" s="1"/>
  <c r="D103" i="2"/>
  <c r="I103" i="2" s="1"/>
  <c r="D102" i="2"/>
  <c r="I102" i="2" s="1"/>
  <c r="K101" i="2"/>
  <c r="D101" i="2"/>
  <c r="I101" i="2" s="1"/>
  <c r="J101" i="2" s="1"/>
  <c r="L101" i="2" s="1"/>
  <c r="D100" i="2"/>
  <c r="I100" i="2" s="1"/>
  <c r="D99" i="2"/>
  <c r="I99" i="2" s="1"/>
  <c r="D98" i="2"/>
  <c r="I98" i="2" s="1"/>
  <c r="J98" i="2" s="1"/>
  <c r="L98" i="2" s="1"/>
  <c r="G97" i="2"/>
  <c r="L97" i="2" s="1"/>
  <c r="F97" i="2"/>
  <c r="K97" i="2" s="1"/>
  <c r="I96" i="2"/>
  <c r="J96" i="2" s="1"/>
  <c r="L96" i="2" s="1"/>
  <c r="I95" i="2"/>
  <c r="K95" i="2" s="1"/>
  <c r="I94" i="2"/>
  <c r="K94" i="2" s="1"/>
  <c r="I93" i="2"/>
  <c r="J93" i="2" s="1"/>
  <c r="L93" i="2" s="1"/>
  <c r="I92" i="2"/>
  <c r="K92" i="2" s="1"/>
  <c r="D92" i="2"/>
  <c r="D91" i="2"/>
  <c r="I91" i="2" s="1"/>
  <c r="D90" i="2"/>
  <c r="I90" i="2" s="1"/>
  <c r="J90" i="2" s="1"/>
  <c r="L90" i="2" s="1"/>
  <c r="D89" i="2"/>
  <c r="I89" i="2" s="1"/>
  <c r="F88" i="2"/>
  <c r="G88" i="2" s="1"/>
  <c r="L88" i="2" s="1"/>
  <c r="D86" i="2"/>
  <c r="I86" i="2" s="1"/>
  <c r="K86" i="2" s="1"/>
  <c r="D85" i="2"/>
  <c r="I85" i="2" s="1"/>
  <c r="K85" i="2" s="1"/>
  <c r="D84" i="2"/>
  <c r="I84" i="2" s="1"/>
  <c r="D83" i="2"/>
  <c r="F83" i="2" s="1"/>
  <c r="G83" i="2" s="1"/>
  <c r="L83" i="2" s="1"/>
  <c r="D82" i="2"/>
  <c r="I82" i="2" s="1"/>
  <c r="J82" i="2" s="1"/>
  <c r="L82" i="2" s="1"/>
  <c r="I81" i="2"/>
  <c r="K81" i="2" s="1"/>
  <c r="K80" i="2"/>
  <c r="J80" i="2"/>
  <c r="L80" i="2" s="1"/>
  <c r="I80" i="2"/>
  <c r="D79" i="2"/>
  <c r="I79" i="2" s="1"/>
  <c r="K78" i="2"/>
  <c r="D78" i="2"/>
  <c r="F78" i="2" s="1"/>
  <c r="G78" i="2" s="1"/>
  <c r="L78" i="2" s="1"/>
  <c r="I77" i="2"/>
  <c r="K77" i="2" s="1"/>
  <c r="L76" i="2"/>
  <c r="I76" i="2"/>
  <c r="J76" i="2" s="1"/>
  <c r="J75" i="2"/>
  <c r="L75" i="2" s="1"/>
  <c r="I75" i="2"/>
  <c r="K75" i="2" s="1"/>
  <c r="D74" i="2"/>
  <c r="I74" i="2" s="1"/>
  <c r="J74" i="2" s="1"/>
  <c r="L74" i="2" s="1"/>
  <c r="J73" i="2"/>
  <c r="L73" i="2" s="1"/>
  <c r="I73" i="2"/>
  <c r="K73" i="2" s="1"/>
  <c r="D73" i="2"/>
  <c r="I72" i="2"/>
  <c r="J72" i="2" s="1"/>
  <c r="L72" i="2" s="1"/>
  <c r="D72" i="2"/>
  <c r="D71" i="2"/>
  <c r="I71" i="2" s="1"/>
  <c r="J71" i="2" s="1"/>
  <c r="L71" i="2" s="1"/>
  <c r="J70" i="2"/>
  <c r="L70" i="2" s="1"/>
  <c r="I70" i="2"/>
  <c r="K70" i="2" s="1"/>
  <c r="D70" i="2"/>
  <c r="D69" i="2"/>
  <c r="I69" i="2" s="1"/>
  <c r="K68" i="2"/>
  <c r="D68" i="2"/>
  <c r="I68" i="2" s="1"/>
  <c r="J68" i="2" s="1"/>
  <c r="L68" i="2" s="1"/>
  <c r="F67" i="2"/>
  <c r="K67" i="2" s="1"/>
  <c r="K66" i="2"/>
  <c r="I66" i="2"/>
  <c r="J66" i="2" s="1"/>
  <c r="L66" i="2" s="1"/>
  <c r="D65" i="2"/>
  <c r="I65" i="2" s="1"/>
  <c r="K65" i="2" s="1"/>
  <c r="I64" i="2"/>
  <c r="D64" i="2"/>
  <c r="D63" i="2"/>
  <c r="I63" i="2" s="1"/>
  <c r="J63" i="2" s="1"/>
  <c r="L63" i="2" s="1"/>
  <c r="I62" i="2"/>
  <c r="K62" i="2" s="1"/>
  <c r="D62" i="2"/>
  <c r="F61" i="2"/>
  <c r="G61" i="2" s="1"/>
  <c r="L61" i="2" s="1"/>
  <c r="K58" i="2"/>
  <c r="G58" i="2"/>
  <c r="L58" i="2" s="1"/>
  <c r="F58" i="2"/>
  <c r="F56" i="2"/>
  <c r="K56" i="2" s="1"/>
  <c r="F54" i="2"/>
  <c r="F52" i="2"/>
  <c r="K52" i="2" s="1"/>
  <c r="I51" i="2"/>
  <c r="K51" i="2" s="1"/>
  <c r="K50" i="2"/>
  <c r="J50" i="2"/>
  <c r="L50" i="2" s="1"/>
  <c r="I50" i="2"/>
  <c r="I49" i="2"/>
  <c r="G48" i="2"/>
  <c r="L48" i="2" s="1"/>
  <c r="F48" i="2"/>
  <c r="K48" i="2" s="1"/>
  <c r="F46" i="2"/>
  <c r="G46" i="2" s="1"/>
  <c r="L46" i="2" s="1"/>
  <c r="K45" i="2"/>
  <c r="J45" i="2"/>
  <c r="L45" i="2" s="1"/>
  <c r="I45" i="2"/>
  <c r="I44" i="2"/>
  <c r="L43" i="2"/>
  <c r="J43" i="2"/>
  <c r="I43" i="2"/>
  <c r="K43" i="2" s="1"/>
  <c r="G42" i="2"/>
  <c r="L42" i="2" s="1"/>
  <c r="F42" i="2"/>
  <c r="K42" i="2" s="1"/>
  <c r="D37" i="2"/>
  <c r="D38" i="2" s="1"/>
  <c r="I38" i="2" s="1"/>
  <c r="K38" i="2" s="1"/>
  <c r="D35" i="2"/>
  <c r="F35" i="2" s="1"/>
  <c r="K35" i="2" s="1"/>
  <c r="D34" i="2"/>
  <c r="I34" i="2" s="1"/>
  <c r="K34" i="2" s="1"/>
  <c r="D33" i="2"/>
  <c r="I33" i="2" s="1"/>
  <c r="K33" i="2" s="1"/>
  <c r="K32" i="2"/>
  <c r="I32" i="2"/>
  <c r="J32" i="2" s="1"/>
  <c r="L32" i="2" s="1"/>
  <c r="D32" i="2"/>
  <c r="D31" i="2"/>
  <c r="I31" i="2" s="1"/>
  <c r="J31" i="2" s="1"/>
  <c r="L31" i="2" s="1"/>
  <c r="D30" i="2"/>
  <c r="I30" i="2" s="1"/>
  <c r="D28" i="2"/>
  <c r="F28" i="2" s="1"/>
  <c r="K28" i="2" s="1"/>
  <c r="K26" i="2"/>
  <c r="D26" i="2"/>
  <c r="I26" i="2" s="1"/>
  <c r="J26" i="2" s="1"/>
  <c r="L26" i="2" s="1"/>
  <c r="F25" i="2"/>
  <c r="K25" i="2" s="1"/>
  <c r="D24" i="2"/>
  <c r="I24" i="2" s="1"/>
  <c r="F23" i="2"/>
  <c r="G23" i="2" s="1"/>
  <c r="L23" i="2" s="1"/>
  <c r="J22" i="2"/>
  <c r="L22" i="2" s="1"/>
  <c r="I22" i="2"/>
  <c r="K22" i="2" s="1"/>
  <c r="D22" i="2"/>
  <c r="D19" i="2"/>
  <c r="I19" i="2" s="1"/>
  <c r="K19" i="2" s="1"/>
  <c r="K18" i="2"/>
  <c r="F18" i="2"/>
  <c r="G18" i="2" s="1"/>
  <c r="L18" i="2" s="1"/>
  <c r="G17" i="2"/>
  <c r="L17" i="2" s="1"/>
  <c r="F17" i="2"/>
  <c r="K17" i="2" s="1"/>
  <c r="F16" i="2"/>
  <c r="G16" i="2" s="1"/>
  <c r="L16" i="2" s="1"/>
  <c r="D15" i="2"/>
  <c r="I15" i="2" s="1"/>
  <c r="G14" i="2"/>
  <c r="L14" i="2" s="1"/>
  <c r="F14" i="2"/>
  <c r="K14" i="2" s="1"/>
  <c r="F13" i="2"/>
  <c r="K11" i="2"/>
  <c r="F11" i="2"/>
  <c r="G11" i="2" s="1"/>
  <c r="L11" i="2" s="1"/>
  <c r="G9" i="2"/>
  <c r="L9" i="2" s="1"/>
  <c r="F9" i="2"/>
  <c r="K9" i="2" s="1"/>
  <c r="A9" i="2"/>
  <c r="A11" i="2" s="1"/>
  <c r="A13" i="2" s="1"/>
  <c r="A14" i="2" s="1"/>
  <c r="A16" i="2" s="1"/>
  <c r="A17" i="2" s="1"/>
  <c r="A18" i="2" s="1"/>
  <c r="A21" i="2" s="1"/>
  <c r="A23" i="2" s="1"/>
  <c r="A25" i="2" s="1"/>
  <c r="A28" i="2" s="1"/>
  <c r="A35" i="2" s="1"/>
  <c r="A37" i="2" s="1"/>
  <c r="A42" i="2" s="1"/>
  <c r="A46" i="2" s="1"/>
  <c r="A48" i="2" s="1"/>
  <c r="A52" i="2" s="1"/>
  <c r="A54" i="2" s="1"/>
  <c r="A56" i="2" s="1"/>
  <c r="A58" i="2" s="1"/>
  <c r="A61" i="2" s="1"/>
  <c r="A67" i="2" s="1"/>
  <c r="A78" i="2" s="1"/>
  <c r="A83" i="2" s="1"/>
  <c r="A88" i="2" s="1"/>
  <c r="A97" i="2" s="1"/>
  <c r="A111" i="2" s="1"/>
  <c r="A115" i="2" s="1"/>
  <c r="A120" i="2" s="1"/>
  <c r="A135" i="2" s="1"/>
  <c r="A140" i="2" s="1"/>
  <c r="A144" i="2" s="1"/>
  <c r="A146" i="2" s="1"/>
  <c r="A147" i="2" s="1"/>
  <c r="A148" i="2" s="1"/>
  <c r="A149" i="2" s="1"/>
  <c r="A151" i="2" s="1"/>
  <c r="A153" i="2" s="1"/>
  <c r="F8" i="2"/>
  <c r="G8" i="2" s="1"/>
  <c r="L8" i="2" s="1"/>
  <c r="E8" i="2"/>
  <c r="K117" i="2" l="1"/>
  <c r="J117" i="2"/>
  <c r="L117" i="2" s="1"/>
  <c r="K89" i="2"/>
  <c r="J89" i="2"/>
  <c r="L89" i="2" s="1"/>
  <c r="J102" i="2"/>
  <c r="L102" i="2" s="1"/>
  <c r="K102" i="2"/>
  <c r="J145" i="2"/>
  <c r="L145" i="2" s="1"/>
  <c r="K145" i="2"/>
  <c r="K100" i="2"/>
  <c r="J100" i="2"/>
  <c r="L100" i="2" s="1"/>
  <c r="K103" i="2"/>
  <c r="J103" i="2"/>
  <c r="L103" i="2" s="1"/>
  <c r="J123" i="2"/>
  <c r="L123" i="2" s="1"/>
  <c r="K123" i="2"/>
  <c r="K30" i="2"/>
  <c r="J30" i="2"/>
  <c r="L30" i="2" s="1"/>
  <c r="K121" i="2"/>
  <c r="J121" i="2"/>
  <c r="L121" i="2" s="1"/>
  <c r="K124" i="2"/>
  <c r="J124" i="2"/>
  <c r="L124" i="2" s="1"/>
  <c r="G28" i="2"/>
  <c r="L28" i="2" s="1"/>
  <c r="K31" i="2"/>
  <c r="G35" i="2"/>
  <c r="L35" i="2" s="1"/>
  <c r="F37" i="2"/>
  <c r="G37" i="2" s="1"/>
  <c r="L37" i="2" s="1"/>
  <c r="G52" i="2"/>
  <c r="L52" i="2" s="1"/>
  <c r="G56" i="2"/>
  <c r="L56" i="2" s="1"/>
  <c r="J62" i="2"/>
  <c r="L62" i="2" s="1"/>
  <c r="K72" i="2"/>
  <c r="J77" i="2"/>
  <c r="L77" i="2" s="1"/>
  <c r="K82" i="2"/>
  <c r="K106" i="2"/>
  <c r="J129" i="2"/>
  <c r="L129" i="2" s="1"/>
  <c r="G146" i="2"/>
  <c r="L146" i="2" s="1"/>
  <c r="K42" i="1"/>
  <c r="K8" i="2"/>
  <c r="G25" i="2"/>
  <c r="L25" i="2" s="1"/>
  <c r="K16" i="2"/>
  <c r="K23" i="2"/>
  <c r="D29" i="2"/>
  <c r="I29" i="2" s="1"/>
  <c r="J29" i="2" s="1"/>
  <c r="L29" i="2" s="1"/>
  <c r="K46" i="2"/>
  <c r="J51" i="2"/>
  <c r="L51" i="2" s="1"/>
  <c r="K61" i="2"/>
  <c r="G67" i="2"/>
  <c r="L67" i="2" s="1"/>
  <c r="K71" i="2"/>
  <c r="K76" i="2"/>
  <c r="J81" i="2"/>
  <c r="L81" i="2" s="1"/>
  <c r="J94" i="2"/>
  <c r="L94" i="2" s="1"/>
  <c r="K96" i="2"/>
  <c r="K98" i="2"/>
  <c r="J110" i="2"/>
  <c r="L110" i="2" s="1"/>
  <c r="K118" i="2"/>
  <c r="J137" i="2"/>
  <c r="L137" i="2" s="1"/>
  <c r="G144" i="2"/>
  <c r="L144" i="2" s="1"/>
  <c r="D36" i="2"/>
  <c r="I36" i="2" s="1"/>
  <c r="K36" i="2" s="1"/>
  <c r="J128" i="2"/>
  <c r="L128" i="2" s="1"/>
  <c r="J132" i="2"/>
  <c r="L132" i="2" s="1"/>
  <c r="K38" i="1"/>
  <c r="K59" i="1"/>
  <c r="G57" i="1"/>
  <c r="L57" i="1" s="1"/>
  <c r="A50" i="1"/>
  <c r="G55" i="1"/>
  <c r="L55" i="1" s="1"/>
  <c r="G50" i="1"/>
  <c r="L50" i="1" s="1"/>
  <c r="G49" i="1"/>
  <c r="L49" i="1" s="1"/>
  <c r="J58" i="1"/>
  <c r="L58" i="1" s="1"/>
  <c r="K58" i="1"/>
  <c r="K60" i="1"/>
  <c r="J60" i="1"/>
  <c r="L60" i="1" s="1"/>
  <c r="J56" i="1"/>
  <c r="L56" i="1" s="1"/>
  <c r="J42" i="1"/>
  <c r="L42" i="1" s="1"/>
  <c r="J45" i="1"/>
  <c r="L45" i="1" s="1"/>
  <c r="J43" i="1"/>
  <c r="L43" i="1" s="1"/>
  <c r="K44" i="1"/>
  <c r="K47" i="1"/>
  <c r="J47" i="1"/>
  <c r="L47" i="1" s="1"/>
  <c r="K41" i="1"/>
  <c r="K46" i="1"/>
  <c r="G39" i="1"/>
  <c r="L39" i="1" s="1"/>
  <c r="G38" i="1"/>
  <c r="L38" i="1" s="1"/>
  <c r="K84" i="2"/>
  <c r="J84" i="2"/>
  <c r="L84" i="2" s="1"/>
  <c r="K99" i="2"/>
  <c r="J99" i="2"/>
  <c r="L99" i="2" s="1"/>
  <c r="K112" i="2"/>
  <c r="J112" i="2"/>
  <c r="L112" i="2" s="1"/>
  <c r="J36" i="2"/>
  <c r="L36" i="2" s="1"/>
  <c r="K24" i="2"/>
  <c r="J24" i="2"/>
  <c r="L24" i="2" s="1"/>
  <c r="K69" i="2"/>
  <c r="J69" i="2"/>
  <c r="L69" i="2" s="1"/>
  <c r="K79" i="2"/>
  <c r="J79" i="2"/>
  <c r="L79" i="2" s="1"/>
  <c r="J15" i="2"/>
  <c r="L15" i="2" s="1"/>
  <c r="K15" i="2"/>
  <c r="K91" i="2"/>
  <c r="J91" i="2"/>
  <c r="L91" i="2" s="1"/>
  <c r="K142" i="2"/>
  <c r="J142" i="2"/>
  <c r="L142" i="2" s="1"/>
  <c r="K29" i="2"/>
  <c r="J34" i="2"/>
  <c r="L34" i="2" s="1"/>
  <c r="K37" i="2"/>
  <c r="K74" i="2"/>
  <c r="K88" i="2"/>
  <c r="K104" i="2"/>
  <c r="K109" i="2"/>
  <c r="G115" i="2"/>
  <c r="L115" i="2" s="1"/>
  <c r="K125" i="2"/>
  <c r="J127" i="2"/>
  <c r="L127" i="2" s="1"/>
  <c r="G140" i="2"/>
  <c r="L140" i="2" s="1"/>
  <c r="K44" i="2"/>
  <c r="J44" i="2"/>
  <c r="L44" i="2" s="1"/>
  <c r="G13" i="2"/>
  <c r="L13" i="2" s="1"/>
  <c r="J19" i="2"/>
  <c r="L19" i="2" s="1"/>
  <c r="K13" i="2"/>
  <c r="K83" i="2"/>
  <c r="J85" i="2"/>
  <c r="L85" i="2" s="1"/>
  <c r="K90" i="2"/>
  <c r="J92" i="2"/>
  <c r="L92" i="2" s="1"/>
  <c r="K111" i="2"/>
  <c r="J113" i="2"/>
  <c r="L113" i="2" s="1"/>
  <c r="K120" i="2"/>
  <c r="G120" i="2"/>
  <c r="L120" i="2" s="1"/>
  <c r="K130" i="2"/>
  <c r="J130" i="2"/>
  <c r="L130" i="2" s="1"/>
  <c r="K136" i="2"/>
  <c r="J138" i="2"/>
  <c r="L138" i="2" s="1"/>
  <c r="K150" i="2"/>
  <c r="K152" i="2"/>
  <c r="J154" i="2"/>
  <c r="L154" i="2" s="1"/>
  <c r="K64" i="2"/>
  <c r="J64" i="2"/>
  <c r="L64" i="2" s="1"/>
  <c r="K126" i="2"/>
  <c r="J126" i="2"/>
  <c r="L126" i="2" s="1"/>
  <c r="K148" i="2"/>
  <c r="G148" i="2"/>
  <c r="L148" i="2" s="1"/>
  <c r="J33" i="2"/>
  <c r="L33" i="2" s="1"/>
  <c r="J38" i="2"/>
  <c r="L38" i="2" s="1"/>
  <c r="K63" i="2"/>
  <c r="J65" i="2"/>
  <c r="L65" i="2" s="1"/>
  <c r="J86" i="2"/>
  <c r="L86" i="2" s="1"/>
  <c r="K93" i="2"/>
  <c r="J95" i="2"/>
  <c r="L95" i="2" s="1"/>
  <c r="J114" i="2"/>
  <c r="L114" i="2" s="1"/>
  <c r="K133" i="2"/>
  <c r="J133" i="2"/>
  <c r="L133" i="2" s="1"/>
  <c r="G135" i="2"/>
  <c r="L135" i="2" s="1"/>
  <c r="J139" i="2"/>
  <c r="L139" i="2" s="1"/>
  <c r="J143" i="2"/>
  <c r="L143" i="2" s="1"/>
  <c r="K153" i="2"/>
  <c r="G153" i="2"/>
  <c r="L153" i="2" s="1"/>
  <c r="K54" i="2"/>
  <c r="G54" i="2"/>
  <c r="L54" i="2" s="1"/>
  <c r="K49" i="2"/>
  <c r="J49" i="2"/>
  <c r="L49" i="2" s="1"/>
  <c r="I155" i="2" l="1"/>
  <c r="J155" i="2" s="1"/>
  <c r="F155" i="2"/>
  <c r="G155" i="2" s="1"/>
  <c r="A51" i="1"/>
  <c r="A53" i="1" s="1"/>
  <c r="A55" i="1" s="1"/>
  <c r="A57" i="1" s="1"/>
  <c r="A59" i="1" s="1"/>
  <c r="K155" i="2"/>
  <c r="L155" i="2" s="1"/>
  <c r="G37" i="1" l="1"/>
  <c r="L37" i="1" s="1"/>
  <c r="K37" i="1"/>
  <c r="K61" i="1" s="1"/>
  <c r="G61" i="1" l="1"/>
  <c r="J61" i="1"/>
  <c r="L61" i="1" l="1"/>
</calcChain>
</file>

<file path=xl/sharedStrings.xml><?xml version="1.0" encoding="utf-8"?>
<sst xmlns="http://schemas.openxmlformats.org/spreadsheetml/2006/main" count="540" uniqueCount="249">
  <si>
    <t xml:space="preserve">Итого </t>
  </si>
  <si>
    <t>шт.</t>
  </si>
  <si>
    <t>39.1</t>
  </si>
  <si>
    <t>38.1</t>
  </si>
  <si>
    <t>37.1</t>
  </si>
  <si>
    <t>33.1</t>
  </si>
  <si>
    <t>32.1</t>
  </si>
  <si>
    <t>31.1</t>
  </si>
  <si>
    <t>30.1</t>
  </si>
  <si>
    <t>29.1</t>
  </si>
  <si>
    <t>27.1</t>
  </si>
  <si>
    <t>25.1</t>
  </si>
  <si>
    <t>24.1</t>
  </si>
  <si>
    <t>м3</t>
  </si>
  <si>
    <t>23.1</t>
  </si>
  <si>
    <t>22.1</t>
  </si>
  <si>
    <t>17.1</t>
  </si>
  <si>
    <t>кг</t>
  </si>
  <si>
    <t>м2</t>
  </si>
  <si>
    <t>л</t>
  </si>
  <si>
    <t>10.1</t>
  </si>
  <si>
    <t>т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</si>
  <si>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</si>
  <si>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</si>
  <si>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</si>
  <si>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 xml:space="preserve">Разработка сухого грунта механизированным способом 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</si>
  <si>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</si>
  <si>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</si>
  <si>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</si>
  <si>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</si>
  <si>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</si>
  <si>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</si>
  <si>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</si>
  <si>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</si>
  <si>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</si>
  <si>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</si>
  <si>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</si>
  <si>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</si>
  <si>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</si>
  <si>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м³</t>
  </si>
  <si>
    <t>Щебень</t>
  </si>
  <si>
    <t>Битумная грунтовка ТЕХНОНИКОЛЬ № 01  (20л=16кг)</t>
  </si>
  <si>
    <t>Битумная мастика Технониколь №24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</si>
  <si>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</si>
  <si>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</si>
  <si>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5.1</t>
  </si>
  <si>
    <t>Земляные работы. Устройство котлованов</t>
  </si>
  <si>
    <t>Устройство песчаного основания  вручную</t>
  </si>
  <si>
    <t>Бетон B7,5</t>
  </si>
  <si>
    <t>Устройство бетонной подготовки</t>
  </si>
  <si>
    <t>11.1</t>
  </si>
  <si>
    <t>12.1</t>
  </si>
  <si>
    <t>25.2</t>
  </si>
  <si>
    <t>25.3</t>
  </si>
  <si>
    <t>26.1</t>
  </si>
  <si>
    <t>28.1</t>
  </si>
  <si>
    <t>131-23-АС4. Эстакада</t>
  </si>
  <si>
    <t>Разборка дорожных покрытий для устройства котлованов</t>
  </si>
  <si>
    <t xml:space="preserve">Разборка щебеночного основания </t>
  </si>
  <si>
    <t>Прочие работы</t>
  </si>
  <si>
    <t>Погрузка строительного мусора в автосамосвалы</t>
  </si>
  <si>
    <t xml:space="preserve"> т</t>
  </si>
  <si>
    <t xml:space="preserve">Разборка асфальтобетонного покрытия  </t>
  </si>
  <si>
    <t>Обратная засыпка котлована щебнем</t>
  </si>
  <si>
    <t>8.1</t>
  </si>
  <si>
    <t>Устройство фундаментов ФМ-1</t>
  </si>
  <si>
    <t>9.1</t>
  </si>
  <si>
    <t>Бетонная смесь БСТ В25 П4 F150 W6</t>
  </si>
  <si>
    <t>Устройство монолитных железобетонных фундаментов  (Фм1)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</si>
  <si>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</si>
  <si>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</si>
  <si>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</si>
  <si>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</si>
  <si>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</si>
  <si>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12.2</t>
  </si>
  <si>
    <t>12.3</t>
  </si>
  <si>
    <t>12.4</t>
  </si>
  <si>
    <t>12.5</t>
  </si>
  <si>
    <t>12.6</t>
  </si>
  <si>
    <t>13.1</t>
  </si>
  <si>
    <t>14.1</t>
  </si>
  <si>
    <t>15.1</t>
  </si>
  <si>
    <t>15.2</t>
  </si>
  <si>
    <t>15.3</t>
  </si>
  <si>
    <t>Фундамент ФМ-1 №2, №3, №4</t>
  </si>
  <si>
    <t>Металлоконструкции</t>
  </si>
  <si>
    <t>Демонтажные работы</t>
  </si>
  <si>
    <t>Швеллер 24П</t>
  </si>
  <si>
    <t>Труба Ø159х6</t>
  </si>
  <si>
    <t>Труба профильная 200х200х6</t>
  </si>
  <si>
    <t>цена в КП 417 путь за опору весом 1,326т</t>
  </si>
  <si>
    <t>Демонтаж фермы Ф-1</t>
  </si>
  <si>
    <t>Демонтаж фермы Ф-1 (3249,59кг)</t>
  </si>
  <si>
    <t>Демонтаж фермы Ф-2</t>
  </si>
  <si>
    <r>
      <t xml:space="preserve">Изготовление и установка временных опор </t>
    </r>
    <r>
      <rPr>
        <sz val="11"/>
        <color rgb="FFFF0000"/>
        <rFont val="Times New Roman"/>
        <family val="1"/>
        <charset val="204"/>
      </rPr>
      <t>(790,25кг -395,13кг/шт.)</t>
    </r>
  </si>
  <si>
    <r>
      <t xml:space="preserve">Изготовление и установка временных опор </t>
    </r>
    <r>
      <rPr>
        <sz val="11"/>
        <color rgb="FFFF0000"/>
        <rFont val="Times New Roman"/>
        <family val="1"/>
        <charset val="204"/>
      </rPr>
      <t>(206,7кг/шт.)</t>
    </r>
  </si>
  <si>
    <t>цена в КП 417 путь за ферму весом 3250кг</t>
  </si>
  <si>
    <t>17.2</t>
  </si>
  <si>
    <t>17.3</t>
  </si>
  <si>
    <t>Демонтаж фермы Ф-3</t>
  </si>
  <si>
    <t>Демонтаж нижних поясов связей ферм Ф-1, Ф-2, Ф-3</t>
  </si>
  <si>
    <t xml:space="preserve">Демонтаж нижних поясов связей ферм </t>
  </si>
  <si>
    <t>Демонтаж опор ОП-1</t>
  </si>
  <si>
    <t>цена в КП 417 путь за опору весом 943кг</t>
  </si>
  <si>
    <r>
      <t xml:space="preserve">Демонтаж опор ОП-1 </t>
    </r>
    <r>
      <rPr>
        <sz val="11"/>
        <color rgb="FFFF0000"/>
        <rFont val="Times New Roman"/>
        <family val="1"/>
        <charset val="204"/>
      </rPr>
      <t>(6671,48кг -2223,83кг/шт.)</t>
    </r>
  </si>
  <si>
    <t>Монтаж металлоконструкций</t>
  </si>
  <si>
    <r>
      <t xml:space="preserve">Демонтаж фермы Ф-2 </t>
    </r>
    <r>
      <rPr>
        <sz val="11"/>
        <color rgb="FFFF0000"/>
        <rFont val="Times New Roman"/>
        <family val="1"/>
        <charset val="204"/>
      </rPr>
      <t>(3422,28кг)</t>
    </r>
  </si>
  <si>
    <r>
      <t xml:space="preserve">Демонтаж фермы Ф-3 </t>
    </r>
    <r>
      <rPr>
        <sz val="11"/>
        <color rgb="FFFF0000"/>
        <rFont val="Times New Roman"/>
        <family val="1"/>
        <charset val="204"/>
      </rPr>
      <t>(3191,43кг)</t>
    </r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</si>
  <si>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</si>
  <si>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</si>
  <si>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</si>
  <si>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</si>
  <si>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</si>
  <si>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22.5</t>
  </si>
  <si>
    <t>22.2</t>
  </si>
  <si>
    <t>22.3</t>
  </si>
  <si>
    <t>22.4</t>
  </si>
  <si>
    <t>Монтаж фермы Ф-1</t>
  </si>
  <si>
    <t>цена в КП 417 путь за ферму Ф1 весом 1686,3кг</t>
  </si>
  <si>
    <t>Уг.125х10</t>
  </si>
  <si>
    <t>Уг.100х8</t>
  </si>
  <si>
    <t>Уг.63х6</t>
  </si>
  <si>
    <t xml:space="preserve">Лист стальной t=8 мм </t>
  </si>
  <si>
    <t xml:space="preserve">Лист стальной t=20 мм </t>
  </si>
  <si>
    <t>23.9</t>
  </si>
  <si>
    <t>23.2</t>
  </si>
  <si>
    <t>23.3</t>
  </si>
  <si>
    <t>23.4</t>
  </si>
  <si>
    <t>23.5</t>
  </si>
  <si>
    <t>23.7</t>
  </si>
  <si>
    <r>
      <t xml:space="preserve">Изготовление и монтаж фермы Ф-1 1 </t>
    </r>
    <r>
      <rPr>
        <sz val="11"/>
        <color rgb="FFFF0000"/>
        <rFont val="Times New Roman"/>
        <family val="1"/>
        <charset val="204"/>
      </rPr>
      <t>(1537,39 кг)</t>
    </r>
  </si>
  <si>
    <r>
      <t xml:space="preserve">Изготовление и установка опоры О-1-1 </t>
    </r>
    <r>
      <rPr>
        <sz val="11"/>
        <color rgb="FFFF0000"/>
        <rFont val="Times New Roman"/>
        <family val="1"/>
        <charset val="204"/>
      </rPr>
      <t>(721,85кг)</t>
    </r>
  </si>
  <si>
    <t>23.10</t>
  </si>
  <si>
    <t>Монтажные крепления (3%)</t>
  </si>
  <si>
    <t xml:space="preserve">Напл. металл 1%, деловой отход, монтажные крепления </t>
  </si>
  <si>
    <t>Болт М24</t>
  </si>
  <si>
    <t>Гайка М24</t>
  </si>
  <si>
    <t xml:space="preserve">Изготовление и монтаж металлоконструкций по смонтированной ферме Ф-1 </t>
  </si>
  <si>
    <t>23.11</t>
  </si>
  <si>
    <t>23.12</t>
  </si>
  <si>
    <t xml:space="preserve">Изготовление и монтаж металлоконструкций нижнего пояса связей фермы Ф-1 </t>
  </si>
  <si>
    <t>Труба квадратная 250х250х8</t>
  </si>
  <si>
    <t xml:space="preserve">Лист стальной t=30 мм </t>
  </si>
  <si>
    <t>24.2</t>
  </si>
  <si>
    <t>24.3</t>
  </si>
  <si>
    <t>24.4</t>
  </si>
  <si>
    <t>Монтаж фермы Ф-2</t>
  </si>
  <si>
    <t>26.2</t>
  </si>
  <si>
    <t>26.3</t>
  </si>
  <si>
    <t>26.4</t>
  </si>
  <si>
    <t>26.5</t>
  </si>
  <si>
    <t>цена в КП 417 путь за ферму Ф2 весом 4635,9кг</t>
  </si>
  <si>
    <r>
      <t xml:space="preserve">Изготовление и монтаж фермы Ф-2 1 </t>
    </r>
    <r>
      <rPr>
        <sz val="11"/>
        <color rgb="FFFF0000"/>
        <rFont val="Times New Roman"/>
        <family val="1"/>
        <charset val="204"/>
      </rPr>
      <t>(3890,61кг)</t>
    </r>
  </si>
  <si>
    <r>
      <t xml:space="preserve">Изготовление и установка опор О-1а-1 и О-1а-2 1 </t>
    </r>
    <r>
      <rPr>
        <sz val="11"/>
        <color rgb="FFFF0000"/>
        <rFont val="Times New Roman"/>
        <family val="1"/>
        <charset val="204"/>
      </rPr>
      <t>(1468,59кг)</t>
    </r>
  </si>
  <si>
    <t xml:space="preserve">Шайба М24 </t>
  </si>
  <si>
    <t>Гайка М20</t>
  </si>
  <si>
    <t>Шайба М20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</si>
  <si>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</si>
  <si>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</si>
  <si>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</si>
  <si>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</si>
  <si>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</si>
  <si>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</si>
  <si>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</si>
  <si>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</si>
  <si>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</si>
  <si>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</si>
  <si>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</si>
  <si>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27.13</t>
  </si>
  <si>
    <t xml:space="preserve">Тр.пр. 100х60х4 </t>
  </si>
  <si>
    <t xml:space="preserve">Изготовление и монтаж металлоконструкций связей фермы Ф-2 </t>
  </si>
  <si>
    <t>28.2</t>
  </si>
  <si>
    <t>28.3</t>
  </si>
  <si>
    <t>Напл. металл 1%</t>
  </si>
  <si>
    <t>Изготовление и монтаж металлоконструкций нижнего пояса связей фермы Ф-2 1</t>
  </si>
  <si>
    <t>29.2</t>
  </si>
  <si>
    <t>29.3</t>
  </si>
  <si>
    <t>Монтаж фермы Ф-3</t>
  </si>
  <si>
    <r>
      <t>Изготовление и монтаж фермы Ф-3</t>
    </r>
    <r>
      <rPr>
        <sz val="11"/>
        <color rgb="FFFF0000"/>
        <rFont val="Times New Roman"/>
        <family val="1"/>
        <charset val="204"/>
      </rPr>
      <t xml:space="preserve"> (2070,59кг)</t>
    </r>
  </si>
  <si>
    <t>цена в КП 417 путь за ферму Ф3 весом 2826кг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</si>
  <si>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</si>
  <si>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</si>
  <si>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</si>
  <si>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</si>
  <si>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</si>
  <si>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</si>
  <si>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</si>
  <si>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</si>
  <si>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</si>
  <si>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</si>
  <si>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</si>
  <si>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</si>
  <si>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</si>
  <si>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 xml:space="preserve">Изготовление и монтаж металлоконструкций по смонтированной ферме Ф-3 </t>
  </si>
  <si>
    <t xml:space="preserve">Изготовление и монтаж металлоконструкций нижнего пояса связей фермы Ф-3 </t>
  </si>
  <si>
    <t>31.2</t>
  </si>
  <si>
    <t>31.3</t>
  </si>
  <si>
    <t>31.4</t>
  </si>
  <si>
    <t>32.2</t>
  </si>
  <si>
    <t>32.3</t>
  </si>
  <si>
    <t xml:space="preserve">Огрунтовка опор и ферм грунтовкой ГФ021 в один слой </t>
  </si>
  <si>
    <t>Очистка поверхности сущ. металлоконструкций щетками</t>
  </si>
  <si>
    <t>Обеспыливание поверхности металлоконструкций (ферм и опор, включая существующие)</t>
  </si>
  <si>
    <t xml:space="preserve">Окраска эстакады (ферм и опор, включая существующие) </t>
  </si>
  <si>
    <t>Обетонирование анкерных групп (подливка бетонной смеси между пяткой опоры и фундаментом)</t>
  </si>
  <si>
    <t>Бетон  мелкозернистый В30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</si>
  <si>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</si>
  <si>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</si>
  <si>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Грунтовка ГФ021</t>
  </si>
  <si>
    <t>Св-2 L=4,532м</t>
  </si>
  <si>
    <t>Св-3 L=3,847м</t>
  </si>
  <si>
    <t>Св-4 L=2,661м</t>
  </si>
  <si>
    <t>26.6</t>
  </si>
  <si>
    <t>26.7</t>
  </si>
  <si>
    <t>26.8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</si>
  <si>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</si>
  <si>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</si>
  <si>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</si>
  <si>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</si>
  <si>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</si>
  <si>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Окраска металлоконструкций</t>
  </si>
  <si>
    <t>Огрунтовка металлических поверхностей за один раз</t>
  </si>
  <si>
    <t>Грунтовка ГФ-021</t>
  </si>
  <si>
    <t xml:space="preserve">Окраска металлических поверхностей за два слоя </t>
  </si>
  <si>
    <t>Эмаль ПФ-115, серая</t>
  </si>
  <si>
    <t>Металлоконструкции пролетных строений эстакады, изготовленные по чертежам КМД, сталь С245</t>
  </si>
  <si>
    <t>Металлоконструкции пролетных строений эстакады, изготовленные по чертежам КМД, сталь С345</t>
  </si>
  <si>
    <t>Металлоконструкции опор эстакады, изготовленные по чертежам КМД, сталь С245</t>
  </si>
  <si>
    <t>Металлоконструкции опор эстакады, изготовленные по чертежам КМД, сталь С345</t>
  </si>
  <si>
    <t>Стоимость ФЕР на 2 кв-л 2024г</t>
  </si>
  <si>
    <t>Металлоконструкции: швеллер 16П - 90,88кг; труба квадратная 250х250х8 - 159,49кг; лист стальной t=30 мм - 117,75кг; лист стальной t=10 мм - 4,9кг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</si>
  <si>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</si>
  <si>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4.1</t>
  </si>
  <si>
    <t>4.2</t>
  </si>
  <si>
    <t>4.3</t>
  </si>
  <si>
    <t>4.4</t>
  </si>
  <si>
    <t>Стоимость ФЕР на 2 кв-л 2024г * К=0,7 (демонтаж)</t>
  </si>
  <si>
    <t>стоиомость АС1</t>
  </si>
  <si>
    <t>КП с дисконтом</t>
  </si>
  <si>
    <t>новые работы</t>
  </si>
  <si>
    <t xml:space="preserve">Стоимость закупки + перевозка </t>
  </si>
  <si>
    <t>Не выполнялось</t>
  </si>
  <si>
    <t>Доработка грунта в траншее вручную</t>
  </si>
  <si>
    <t>Обратная засыпка грунта вручную</t>
  </si>
  <si>
    <t>Погрузка лишнего грунта в автосамосвалы</t>
  </si>
  <si>
    <t>Перемещение до 1км недостающего грунта для обратной засыпки</t>
  </si>
  <si>
    <t>Устройство фундаментов ФМ-1 -4 шт.</t>
  </si>
  <si>
    <t>Очистка боковых поверхностей фундаментов от грязи и пыли перед обмазкой</t>
  </si>
  <si>
    <t>работы по КС-6, в согласованном ВОР их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</si>
</sst>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0.000"/>
    <numFmt numFmtId="168" formatCode="0.0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79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2" fontId="4" fillId="3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43" fontId="3" fillId="0" borderId="1" xfId="1" applyFont="1" applyBorder="1"/>
    <xf numFmtId="43" fontId="7" fillId="0" borderId="1" xfId="1" applyFont="1" applyBorder="1"/>
    <xf numFmtId="164" fontId="6" fillId="0" borderId="0" xfId="1" applyNumberFormat="1" applyFont="1"/>
    <xf numFmtId="0" fontId="4" fillId="0" borderId="4" xfId="2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8" fillId="3" borderId="1" xfId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vertical="center"/>
    </xf>
    <xf numFmtId="43" fontId="12" fillId="3" borderId="1" xfId="1" applyFont="1" applyFill="1" applyBorder="1" applyAlignment="1">
      <alignment horizontal="center"/>
    </xf>
    <xf numFmtId="43" fontId="12" fillId="3" borderId="1" xfId="1" applyFont="1" applyFill="1" applyBorder="1" applyAlignment="1">
      <alignment vertical="center"/>
    </xf>
    <xf numFmtId="43" fontId="12" fillId="3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left" vertical="center" wrapText="1"/>
    </xf>
    <xf numFmtId="1" fontId="4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vertical="center" wrapText="1"/>
    </xf>
    <xf numFmtId="43" fontId="5" fillId="6" borderId="1" xfId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8" fillId="6" borderId="1" xfId="0" applyFont="1" applyFill="1" applyBorder="1"/>
    <xf numFmtId="43" fontId="8" fillId="6" borderId="1" xfId="1" applyFont="1" applyFill="1" applyBorder="1" applyAlignment="1">
      <alignment horizontal="center" vertical="center" wrapText="1"/>
    </xf>
    <xf numFmtId="43" fontId="8" fillId="6" borderId="1" xfId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right" vertical="center" wrapText="1"/>
    </xf>
    <xf numFmtId="167" fontId="4" fillId="2" borderId="1" xfId="0" applyNumberFormat="1" applyFont="1" applyFill="1" applyBorder="1" applyAlignment="1">
      <alignment horizontal="right" vertical="center" wrapText="1"/>
    </xf>
    <xf numFmtId="0" fontId="4" fillId="7" borderId="4" xfId="2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 wrapText="1"/>
    </xf>
    <xf numFmtId="2" fontId="6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vertical="center" wrapText="1"/>
    </xf>
    <xf numFmtId="43" fontId="9" fillId="8" borderId="1" xfId="1" applyFont="1" applyFill="1" applyBorder="1" applyAlignment="1">
      <alignment vertical="center"/>
    </xf>
    <xf numFmtId="43" fontId="8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167" fontId="4" fillId="8" borderId="1" xfId="0" applyNumberFormat="1" applyFont="1" applyFill="1" applyBorder="1" applyAlignment="1">
      <alignment horizontal="right" vertical="center" wrapText="1"/>
    </xf>
    <xf numFmtId="43" fontId="12" fillId="8" borderId="1" xfId="1" applyFont="1" applyFill="1" applyBorder="1" applyAlignment="1">
      <alignment horizontal="center"/>
    </xf>
    <xf numFmtId="43" fontId="12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 wrapText="1"/>
    </xf>
    <xf numFmtId="43" fontId="4" fillId="7" borderId="1" xfId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right" vertical="center" wrapText="1"/>
    </xf>
    <xf numFmtId="43" fontId="8" fillId="7" borderId="1" xfId="1" applyFont="1" applyFill="1" applyBorder="1" applyAlignment="1">
      <alignment vertical="center"/>
    </xf>
    <xf numFmtId="43" fontId="12" fillId="7" borderId="1" xfId="1" applyFont="1" applyFill="1" applyBorder="1" applyAlignment="1">
      <alignment horizontal="center"/>
    </xf>
    <xf numFmtId="43" fontId="12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right" vertical="center" wrapText="1"/>
    </xf>
    <xf numFmtId="2" fontId="4" fillId="7" borderId="1" xfId="0" applyNumberFormat="1" applyFont="1" applyFill="1" applyBorder="1" applyAlignment="1">
      <alignment horizontal="right" vertical="center" wrapText="1"/>
    </xf>
    <xf numFmtId="0" fontId="6" fillId="7" borderId="0" xfId="0" applyFont="1" applyFill="1"/>
    <xf numFmtId="0" fontId="6" fillId="8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13" fillId="6" borderId="1" xfId="0" applyFont="1" applyFill="1" applyBorder="1"/>
    <xf numFmtId="43" fontId="13" fillId="6" borderId="1" xfId="1" applyFont="1" applyFill="1" applyBorder="1" applyAlignment="1">
      <alignment horizontal="center" vertical="center" wrapText="1"/>
    </xf>
    <xf numFmtId="43" fontId="13" fillId="6" borderId="1" xfId="1" applyFont="1" applyFill="1" applyBorder="1" applyAlignment="1">
      <alignment vertical="center"/>
    </xf>
    <xf numFmtId="43" fontId="15" fillId="6" borderId="1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13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1" fontId="13" fillId="3" borderId="1" xfId="0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2" applyFont="1" applyFill="1" applyBorder="1" applyAlignment="1">
      <alignment horizontal="left" vertical="center" wrapText="1"/>
    </xf>
    <xf numFmtId="2" fontId="13" fillId="7" borderId="1" xfId="0" applyNumberFormat="1" applyFont="1" applyFill="1" applyBorder="1" applyAlignment="1">
      <alignment vertical="center" wrapText="1"/>
    </xf>
    <xf numFmtId="43" fontId="13" fillId="7" borderId="1" xfId="1" applyFont="1" applyFill="1" applyBorder="1" applyAlignment="1">
      <alignment vertical="center"/>
    </xf>
    <xf numFmtId="43" fontId="13" fillId="7" borderId="1" xfId="1" applyFont="1" applyFill="1" applyBorder="1" applyAlignment="1">
      <alignment horizontal="center" vertical="center" wrapText="1"/>
    </xf>
    <xf numFmtId="2" fontId="13" fillId="7" borderId="1" xfId="0" applyNumberFormat="1" applyFont="1" applyFill="1" applyBorder="1" applyAlignment="1">
      <alignment horizontal="right" vertical="center" wrapText="1"/>
    </xf>
    <xf numFmtId="43" fontId="13" fillId="7" borderId="1" xfId="1" applyFont="1" applyFill="1" applyBorder="1" applyAlignment="1">
      <alignment horizontal="center"/>
    </xf>
    <xf numFmtId="167" fontId="13" fillId="7" borderId="1" xfId="0" applyNumberFormat="1" applyFont="1" applyFill="1" applyBorder="1" applyAlignment="1">
      <alignment horizontal="righ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left" vertical="center" wrapText="1"/>
    </xf>
    <xf numFmtId="2" fontId="13" fillId="8" borderId="1" xfId="0" applyNumberFormat="1" applyFont="1" applyFill="1" applyBorder="1" applyAlignment="1">
      <alignment vertical="center" wrapText="1"/>
    </xf>
    <xf numFmtId="43" fontId="15" fillId="8" borderId="1" xfId="1" applyFont="1" applyFill="1" applyBorder="1" applyAlignment="1">
      <alignment horizontal="center" vertical="center" wrapText="1"/>
    </xf>
    <xf numFmtId="43" fontId="13" fillId="8" borderId="1" xfId="1" applyFont="1" applyFill="1" applyBorder="1" applyAlignment="1">
      <alignment vertical="center"/>
    </xf>
    <xf numFmtId="43" fontId="13" fillId="8" borderId="1" xfId="1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3" fillId="7" borderId="4" xfId="2" applyFont="1" applyFill="1" applyBorder="1" applyAlignment="1">
      <alignment horizontal="left" vertical="center" wrapText="1"/>
    </xf>
    <xf numFmtId="43" fontId="15" fillId="7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67" fontId="13" fillId="2" borderId="1" xfId="0" applyNumberFormat="1" applyFont="1" applyFill="1" applyBorder="1" applyAlignment="1">
      <alignment vertical="center" wrapText="1"/>
    </xf>
    <xf numFmtId="43" fontId="15" fillId="2" borderId="1" xfId="1" applyFont="1" applyFill="1" applyBorder="1" applyAlignment="1">
      <alignment horizontal="center" vertical="center" wrapText="1"/>
    </xf>
    <xf numFmtId="43" fontId="13" fillId="2" borderId="1" xfId="1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horizontal="right" vertical="center" wrapText="1"/>
    </xf>
    <xf numFmtId="43" fontId="13" fillId="2" borderId="1" xfId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dimension ref="A1:M64"/>
  <sheetViews>
    <sheetView tabSelected="1" view="pageBreakPreview" topLeftCell="A31" zoomScaleNormal="100" zoomScaleSheetLayoutView="100" workbookViewId="0">
      <selection activeCell="F18" sqref="F18"/>
    </sheetView>
  </sheetViews>
  <sheetFormatPr defaultColWidth="8.85546875" defaultRowHeight="15" x14ac:dyDescent="0.25"/>
  <cols>
    <col min="1" max="1" width="8.85546875" style="29"/>
    <col min="2" max="2" width="65.140625" style="29" customWidth="1"/>
    <col min="3" max="3" width="9.28515625" style="29" customWidth="1"/>
    <col min="4" max="4" width="11" style="29" bestFit="1" customWidth="1"/>
    <col min="5" max="5" width="15.140625" style="29" customWidth="1"/>
    <col min="6" max="6" width="16" style="29" customWidth="1"/>
    <col min="7" max="7" width="17.140625" style="40" customWidth="1"/>
    <col min="8" max="8" width="16.140625" style="40" customWidth="1"/>
    <col min="9" max="12" width="16.140625" style="29" customWidth="1"/>
    <col min="13" max="13" width="41.7109375" style="29" customWidth="1"/>
    <col min="14" max="16384" width="8.85546875" style="29"/>
  </cols>
  <sheetData>
    <row r="1" spans="1:13" ht="14.45" customHeight="1" x14ac:dyDescent="0.25">
      <c r="A1" s="167" t="s">
        <v>38</v>
      </c>
      <c r="B1" s="170" t="s">
        <v>37</v>
      </c>
      <c r="C1" s="173" t="s">
        <v>36</v>
      </c>
      <c r="D1" s="173" t="s">
        <v>35</v>
      </c>
      <c r="E1" s="174" t="s">
        <v>34</v>
      </c>
      <c r="F1" s="175"/>
      <c r="G1" s="175"/>
      <c r="H1" s="175"/>
      <c r="I1" s="175"/>
      <c r="J1" s="175"/>
      <c r="K1" s="175"/>
      <c r="L1" s="175"/>
    </row>
    <row r="2" spans="1:13" ht="14.45" customHeight="1" x14ac:dyDescent="0.25">
      <c r="A2" s="168"/>
      <c r="B2" s="171"/>
      <c r="C2" s="173"/>
      <c r="D2" s="173"/>
      <c r="E2" s="176"/>
      <c r="F2" s="177"/>
      <c r="G2" s="177"/>
      <c r="H2" s="177"/>
      <c r="I2" s="177"/>
      <c r="J2" s="177"/>
      <c r="K2" s="177"/>
      <c r="L2" s="177"/>
    </row>
    <row r="3" spans="1:13" ht="27.75" customHeight="1" x14ac:dyDescent="0.25">
      <c r="A3" s="168"/>
      <c r="B3" s="171"/>
      <c r="C3" s="173"/>
      <c r="D3" s="173"/>
      <c r="E3" s="173" t="s">
        <v>33</v>
      </c>
      <c r="F3" s="173"/>
      <c r="G3" s="173"/>
      <c r="H3" s="173" t="s">
        <v>32</v>
      </c>
      <c r="I3" s="173"/>
      <c r="J3" s="173"/>
      <c r="K3" s="178" t="s">
        <v>31</v>
      </c>
      <c r="L3" s="178"/>
    </row>
    <row r="4" spans="1:13" ht="56.1" customHeight="1" x14ac:dyDescent="0.25">
      <c r="A4" s="169"/>
      <c r="B4" s="172"/>
      <c r="C4" s="173"/>
      <c r="D4" s="173"/>
      <c r="E4" s="33" t="s">
        <v>30</v>
      </c>
      <c r="F4" s="33" t="s">
        <v>29</v>
      </c>
      <c r="G4" s="34" t="s">
        <v>28</v>
      </c>
      <c r="H4" s="33" t="s">
        <v>30</v>
      </c>
      <c r="I4" s="33" t="s">
        <v>29</v>
      </c>
      <c r="J4" s="34" t="s">
        <v>28</v>
      </c>
      <c r="K4" s="33" t="s">
        <v>27</v>
      </c>
      <c r="L4" s="33" t="s">
        <v>26</v>
      </c>
    </row>
    <row r="5" spans="1:13" x14ac:dyDescent="0.25">
      <c r="A5" s="2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9"/>
    </row>
    <row r="6" spans="1:13" ht="20.25" customHeight="1" x14ac:dyDescent="0.25">
      <c r="A6" s="26"/>
      <c r="B6" s="162" t="s">
        <v>56</v>
      </c>
      <c r="C6" s="163"/>
      <c r="D6" s="163"/>
      <c r="E6" s="25"/>
      <c r="F6" s="24"/>
      <c r="G6" s="23"/>
      <c r="H6" s="23"/>
      <c r="I6" s="23"/>
      <c r="J6" s="23"/>
      <c r="K6" s="23"/>
      <c r="L6" s="23"/>
    </row>
    <row r="7" spans="1:13" customFormat="1" ht="24" customHeight="1" x14ac:dyDescent="0.25">
      <c r="A7" s="119"/>
      <c r="B7" s="120" t="s">
        <v>57</v>
      </c>
      <c r="C7" s="121"/>
      <c r="D7" s="121"/>
      <c r="E7" s="122"/>
      <c r="F7" s="123"/>
      <c r="G7" s="123"/>
      <c r="H7" s="124"/>
      <c r="I7" s="123"/>
      <c r="J7" s="123"/>
      <c r="K7" s="122"/>
      <c r="L7" s="123"/>
      <c r="M7" s="14"/>
    </row>
    <row r="8" spans="1:13" customFormat="1" ht="18" customHeight="1" x14ac:dyDescent="0.25">
      <c r="A8" s="134"/>
      <c r="B8" s="135" t="s">
        <v>62</v>
      </c>
      <c r="C8" s="134" t="s">
        <v>13</v>
      </c>
      <c r="D8" s="136">
        <v>13.3</v>
      </c>
      <c r="E8" s="137">
        <f>ROUND(65055.24/(297.03*0.05),2)</f>
        <v>4380.38</v>
      </c>
      <c r="F8" s="137">
        <f>ROUND(E8*39.42/1.05*1.19,2)</f>
        <v>195697.86</v>
      </c>
      <c r="G8" s="137">
        <f t="shared" ref="G8:G9" si="0">ROUND(F8*1.2,2)</f>
        <v>234837.43</v>
      </c>
      <c r="H8" s="138"/>
      <c r="I8" s="137"/>
      <c r="J8" s="137"/>
      <c r="K8" s="138">
        <f t="shared" ref="K8:L9" si="1">F8+I8</f>
        <v>195697.86</v>
      </c>
      <c r="L8" s="137">
        <f t="shared" si="1"/>
        <v>234837.43</v>
      </c>
      <c r="M8" s="161" t="s">
        <v>248</v>
      </c>
    </row>
    <row r="9" spans="1:13" customFormat="1" ht="20.25" customHeight="1" x14ac:dyDescent="0.25">
      <c r="A9" s="134"/>
      <c r="B9" s="135" t="s">
        <v>58</v>
      </c>
      <c r="C9" s="134" t="s">
        <v>13</v>
      </c>
      <c r="D9" s="136"/>
      <c r="E9" s="138">
        <v>304</v>
      </c>
      <c r="F9" s="137">
        <f t="shared" ref="F9" si="2">ROUND(E9*D9,2)</f>
        <v>0</v>
      </c>
      <c r="G9" s="137">
        <f t="shared" si="0"/>
        <v>0</v>
      </c>
      <c r="H9" s="137"/>
      <c r="I9" s="137"/>
      <c r="J9" s="137"/>
      <c r="K9" s="138">
        <f t="shared" si="1"/>
        <v>0</v>
      </c>
      <c r="L9" s="137">
        <f t="shared" si="1"/>
        <v>0</v>
      </c>
      <c r="M9" s="52"/>
    </row>
    <row r="10" spans="1:13" customFormat="1" ht="20.25" customHeight="1" x14ac:dyDescent="0.25">
      <c r="A10" s="128"/>
      <c r="B10" s="129" t="s">
        <v>59</v>
      </c>
      <c r="C10" s="125"/>
      <c r="D10" s="130"/>
      <c r="E10" s="131"/>
      <c r="F10" s="131"/>
      <c r="G10" s="132"/>
      <c r="H10" s="133"/>
      <c r="I10" s="126"/>
      <c r="J10" s="126"/>
      <c r="K10" s="127"/>
      <c r="L10" s="126"/>
      <c r="M10" s="14"/>
    </row>
    <row r="11" spans="1:13" customFormat="1" ht="21" customHeight="1" x14ac:dyDescent="0.25">
      <c r="A11" s="134"/>
      <c r="B11" s="135" t="s">
        <v>60</v>
      </c>
      <c r="C11" s="134" t="s">
        <v>61</v>
      </c>
      <c r="D11" s="141">
        <f>15.217+3.804</f>
        <v>19.021000000000001</v>
      </c>
      <c r="E11" s="138">
        <v>431.37</v>
      </c>
      <c r="F11" s="137">
        <f>ROUND(E11*63.2,2)</f>
        <v>27262.58</v>
      </c>
      <c r="G11" s="137">
        <f t="shared" ref="G11" si="3">ROUND(F11*1.2,2)</f>
        <v>32715.1</v>
      </c>
      <c r="H11" s="140"/>
      <c r="I11" s="137"/>
      <c r="J11" s="137"/>
      <c r="K11" s="138">
        <f t="shared" ref="K11:L11" si="4">F11+I11</f>
        <v>27262.58</v>
      </c>
      <c r="L11" s="137">
        <f t="shared" si="4"/>
        <v>32715.1</v>
      </c>
      <c r="M11" s="52"/>
    </row>
    <row r="12" spans="1:13" ht="22.5" customHeight="1" x14ac:dyDescent="0.25">
      <c r="A12" s="67"/>
      <c r="B12" s="148" t="s">
        <v>46</v>
      </c>
      <c r="C12" s="67"/>
      <c r="D12" s="74"/>
      <c r="E12" s="75"/>
      <c r="F12" s="71"/>
      <c r="G12" s="71"/>
      <c r="H12" s="75"/>
      <c r="I12" s="71"/>
      <c r="J12" s="71"/>
      <c r="K12" s="72"/>
      <c r="L12" s="71"/>
      <c r="M12" s="14"/>
    </row>
    <row r="13" spans="1:13" ht="20.25" customHeight="1" x14ac:dyDescent="0.25">
      <c r="A13" s="134"/>
      <c r="B13" s="135" t="s">
        <v>25</v>
      </c>
      <c r="C13" s="134" t="s">
        <v>13</v>
      </c>
      <c r="D13" s="136">
        <v>52</v>
      </c>
      <c r="E13" s="138">
        <v>308.75</v>
      </c>
      <c r="F13" s="137">
        <f>ROUND(E13*D13,2)</f>
        <v>16055</v>
      </c>
      <c r="G13" s="137">
        <f>ROUND(F13*1.2,2)</f>
        <v>19266</v>
      </c>
      <c r="H13" s="140"/>
      <c r="I13" s="137"/>
      <c r="J13" s="137"/>
      <c r="K13" s="138">
        <f t="shared" ref="K13:L15" si="5">F13+I13</f>
        <v>16055</v>
      </c>
      <c r="L13" s="137">
        <f t="shared" si="5"/>
        <v>19266</v>
      </c>
    </row>
    <row r="14" spans="1:13" customFormat="1" ht="24" customHeight="1" x14ac:dyDescent="0.25">
      <c r="A14" s="104"/>
      <c r="B14" s="135" t="s">
        <v>242</v>
      </c>
      <c r="C14" s="134" t="s">
        <v>13</v>
      </c>
      <c r="D14" s="136">
        <v>2.7</v>
      </c>
      <c r="E14" s="138">
        <v>1688.15</v>
      </c>
      <c r="F14" s="137">
        <f t="shared" ref="F14" si="6">ROUND(E14*D14,2)</f>
        <v>4558.01</v>
      </c>
      <c r="G14" s="137">
        <f t="shared" ref="G14" si="7">ROUND(F14*1.2,2)</f>
        <v>5469.61</v>
      </c>
      <c r="H14" s="140"/>
      <c r="I14" s="137"/>
      <c r="J14" s="137"/>
      <c r="K14" s="138">
        <f t="shared" si="5"/>
        <v>4558.01</v>
      </c>
      <c r="L14" s="137">
        <f t="shared" si="5"/>
        <v>5469.61</v>
      </c>
      <c r="M14" s="29"/>
    </row>
    <row r="15" spans="1:13" s="36" customFormat="1" ht="21.75" customHeight="1" x14ac:dyDescent="0.25">
      <c r="A15" s="106"/>
      <c r="B15" s="135" t="s">
        <v>23</v>
      </c>
      <c r="C15" s="134" t="s">
        <v>13</v>
      </c>
      <c r="D15" s="136">
        <v>38</v>
      </c>
      <c r="E15" s="138">
        <v>308.75</v>
      </c>
      <c r="F15" s="137">
        <f>ROUND(E15*D15,2)</f>
        <v>11732.5</v>
      </c>
      <c r="G15" s="137">
        <f>ROUND(F15*1.2,2)</f>
        <v>14079</v>
      </c>
      <c r="H15" s="140"/>
      <c r="I15" s="137"/>
      <c r="J15" s="137"/>
      <c r="K15" s="138">
        <f t="shared" si="5"/>
        <v>11732.5</v>
      </c>
      <c r="L15" s="137">
        <f t="shared" si="5"/>
        <v>14079</v>
      </c>
    </row>
    <row r="16" spans="1:13" s="36" customFormat="1" ht="21.75" customHeight="1" x14ac:dyDescent="0.25">
      <c r="A16" s="106"/>
      <c r="B16" s="135" t="s">
        <v>243</v>
      </c>
      <c r="C16" s="134" t="s">
        <v>13</v>
      </c>
      <c r="D16" s="136">
        <v>9.6</v>
      </c>
      <c r="E16" s="138">
        <v>854.05</v>
      </c>
      <c r="F16" s="137">
        <f>ROUND(E16*D16,2)</f>
        <v>8198.8799999999992</v>
      </c>
      <c r="G16" s="137">
        <f>ROUND(F16*1.2,2)</f>
        <v>9838.66</v>
      </c>
      <c r="H16" s="140"/>
      <c r="I16" s="137"/>
      <c r="J16" s="137"/>
      <c r="K16" s="138">
        <f t="shared" ref="K16:K17" si="8">F16+I16</f>
        <v>8198.8799999999992</v>
      </c>
      <c r="L16" s="137">
        <f t="shared" ref="L16:L18" si="9">G16+J16</f>
        <v>9838.66</v>
      </c>
    </row>
    <row r="17" spans="1:13" customFormat="1" ht="18" customHeight="1" x14ac:dyDescent="0.25">
      <c r="A17" s="134"/>
      <c r="B17" s="135" t="s">
        <v>244</v>
      </c>
      <c r="C17" s="134" t="s">
        <v>21</v>
      </c>
      <c r="D17" s="141">
        <f>87.28+60.24</f>
        <v>147.52000000000001</v>
      </c>
      <c r="E17" s="138">
        <v>308.75</v>
      </c>
      <c r="F17" s="137">
        <f>ROUND(E17*63.2,2)</f>
        <v>19513</v>
      </c>
      <c r="G17" s="137">
        <f t="shared" ref="G17:G18" si="10">ROUND(F17*1.2,2)</f>
        <v>23415.599999999999</v>
      </c>
      <c r="H17" s="140"/>
      <c r="I17" s="137"/>
      <c r="J17" s="137"/>
      <c r="K17" s="138">
        <f t="shared" si="8"/>
        <v>19513</v>
      </c>
      <c r="L17" s="137">
        <f t="shared" si="9"/>
        <v>23415.599999999999</v>
      </c>
      <c r="M17" s="52"/>
    </row>
    <row r="18" spans="1:13" customFormat="1" ht="18" customHeight="1" x14ac:dyDescent="0.25">
      <c r="A18" s="142"/>
      <c r="B18" s="143" t="s">
        <v>245</v>
      </c>
      <c r="C18" s="142" t="s">
        <v>21</v>
      </c>
      <c r="D18" s="144">
        <f>87.28+60.24</f>
        <v>147.52000000000001</v>
      </c>
      <c r="E18" s="145">
        <v>350</v>
      </c>
      <c r="F18" s="146">
        <f t="shared" ref="F18" si="11">ROUND(E18*D18,2)</f>
        <v>51632</v>
      </c>
      <c r="G18" s="146">
        <f t="shared" si="10"/>
        <v>61958.400000000001</v>
      </c>
      <c r="H18" s="145"/>
      <c r="I18" s="146"/>
      <c r="J18" s="146"/>
      <c r="K18" s="147">
        <f t="shared" ref="K18:K19" si="12">F18+I18</f>
        <v>51632</v>
      </c>
      <c r="L18" s="146">
        <f t="shared" si="9"/>
        <v>61958.400000000001</v>
      </c>
      <c r="M18" s="14"/>
    </row>
    <row r="19" spans="1:13" customFormat="1" ht="18" customHeight="1" x14ac:dyDescent="0.25">
      <c r="A19" s="134"/>
      <c r="B19" s="135" t="s">
        <v>244</v>
      </c>
      <c r="C19" s="134" t="s">
        <v>21</v>
      </c>
      <c r="D19" s="141">
        <f>22.85*1.9</f>
        <v>43.414999999999999</v>
      </c>
      <c r="E19" s="138">
        <v>308.75</v>
      </c>
      <c r="F19" s="137">
        <f>ROUND(E19*63.2,2)</f>
        <v>19513</v>
      </c>
      <c r="G19" s="137">
        <f t="shared" ref="G19" si="13">ROUND(F19*1.2,2)</f>
        <v>23415.599999999999</v>
      </c>
      <c r="H19" s="140"/>
      <c r="I19" s="137"/>
      <c r="J19" s="137"/>
      <c r="K19" s="138">
        <f t="shared" si="12"/>
        <v>19513</v>
      </c>
      <c r="L19" s="137">
        <f t="shared" ref="L19" si="14">G19+J19</f>
        <v>23415.599999999999</v>
      </c>
      <c r="M19" s="52"/>
    </row>
    <row r="20" spans="1:13" ht="20.25" customHeight="1" x14ac:dyDescent="0.25">
      <c r="A20" s="73"/>
      <c r="B20" s="148" t="s">
        <v>246</v>
      </c>
      <c r="C20" s="67"/>
      <c r="D20" s="74"/>
      <c r="E20" s="75"/>
      <c r="F20" s="71"/>
      <c r="G20" s="71"/>
      <c r="H20" s="72"/>
      <c r="I20" s="71"/>
      <c r="J20" s="71"/>
      <c r="K20" s="72"/>
      <c r="L20" s="71"/>
      <c r="M20" s="14"/>
    </row>
    <row r="21" spans="1:13" ht="18" customHeight="1" x14ac:dyDescent="0.25">
      <c r="A21" s="134"/>
      <c r="B21" s="149" t="s">
        <v>49</v>
      </c>
      <c r="C21" s="134" t="s">
        <v>13</v>
      </c>
      <c r="D21" s="136">
        <v>2.8</v>
      </c>
      <c r="E21" s="138">
        <v>2637.2</v>
      </c>
      <c r="F21" s="137">
        <v>27480.959999999999</v>
      </c>
      <c r="G21" s="137">
        <v>32977.15</v>
      </c>
      <c r="H21" s="150"/>
      <c r="I21" s="137"/>
      <c r="J21" s="137"/>
      <c r="K21" s="138">
        <v>27480.959999999999</v>
      </c>
      <c r="L21" s="137">
        <v>32977.15</v>
      </c>
      <c r="M21" s="14"/>
    </row>
    <row r="22" spans="1:13" ht="18" customHeight="1" x14ac:dyDescent="0.25">
      <c r="A22" s="128"/>
      <c r="B22" s="151" t="s">
        <v>48</v>
      </c>
      <c r="C22" s="152" t="s">
        <v>13</v>
      </c>
      <c r="D22" s="153">
        <v>2.8250000000000002</v>
      </c>
      <c r="E22" s="154"/>
      <c r="F22" s="155"/>
      <c r="G22" s="155"/>
      <c r="H22" s="156">
        <v>4370</v>
      </c>
      <c r="I22" s="155">
        <f>ROUND(H22*D22,2)</f>
        <v>12345.25</v>
      </c>
      <c r="J22" s="155">
        <f>ROUND(I22*1.2,2)</f>
        <v>14814.3</v>
      </c>
      <c r="K22" s="156">
        <f t="shared" ref="K22:L34" si="15">F22+I22</f>
        <v>12345.25</v>
      </c>
      <c r="L22" s="155">
        <f t="shared" si="15"/>
        <v>14814.3</v>
      </c>
      <c r="M22" s="14"/>
    </row>
    <row r="23" spans="1:13" ht="21" customHeight="1" x14ac:dyDescent="0.25">
      <c r="A23" s="134"/>
      <c r="B23" s="135" t="s">
        <v>68</v>
      </c>
      <c r="C23" s="134" t="s">
        <v>13</v>
      </c>
      <c r="D23" s="136">
        <v>13.9</v>
      </c>
      <c r="E23" s="138">
        <v>8275.4499999999989</v>
      </c>
      <c r="F23" s="137">
        <f>ROUND(E23*D23,2)</f>
        <v>115028.76</v>
      </c>
      <c r="G23" s="137">
        <f t="shared" ref="G23" si="16">ROUND(F23*1.2,2)</f>
        <v>138034.51</v>
      </c>
      <c r="H23" s="138"/>
      <c r="I23" s="137"/>
      <c r="J23" s="137"/>
      <c r="K23" s="138">
        <f t="shared" ref="K23:L29" si="17">F23+I23</f>
        <v>115028.76</v>
      </c>
      <c r="L23" s="137">
        <f t="shared" si="17"/>
        <v>138034.51</v>
      </c>
      <c r="M23" s="14"/>
    </row>
    <row r="24" spans="1:13" ht="20.25" customHeight="1" x14ac:dyDescent="0.25">
      <c r="A24" s="128"/>
      <c r="B24" s="157" t="s">
        <v>67</v>
      </c>
      <c r="C24" s="152" t="s">
        <v>13</v>
      </c>
      <c r="D24" s="158">
        <f>0.169+17.278</f>
        <v>17.446999999999999</v>
      </c>
      <c r="E24" s="154"/>
      <c r="F24" s="155"/>
      <c r="G24" s="155"/>
      <c r="H24" s="156">
        <v>4655</v>
      </c>
      <c r="I24" s="155">
        <f t="shared" ref="I24:I29" si="18">ROUND(H24*D24,2)</f>
        <v>81215.789999999994</v>
      </c>
      <c r="J24" s="155">
        <f t="shared" ref="J24:J29" si="19">ROUND(I24*1.2,2)</f>
        <v>97458.95</v>
      </c>
      <c r="K24" s="156">
        <f t="shared" si="17"/>
        <v>81215.789999999994</v>
      </c>
      <c r="L24" s="155">
        <f t="shared" si="17"/>
        <v>97458.95</v>
      </c>
      <c r="M24" s="14"/>
    </row>
    <row r="25" spans="1:13" ht="20.25" customHeight="1" x14ac:dyDescent="0.25">
      <c r="A25" s="128"/>
      <c r="B25" s="157" t="s">
        <v>69</v>
      </c>
      <c r="C25" s="152" t="s">
        <v>17</v>
      </c>
      <c r="D25" s="158">
        <v>171</v>
      </c>
      <c r="E25" s="154"/>
      <c r="F25" s="155"/>
      <c r="G25" s="155"/>
      <c r="H25" s="156">
        <v>80.75</v>
      </c>
      <c r="I25" s="155">
        <f t="shared" si="18"/>
        <v>13808.25</v>
      </c>
      <c r="J25" s="155">
        <f t="shared" si="19"/>
        <v>16569.900000000001</v>
      </c>
      <c r="K25" s="156">
        <f t="shared" si="17"/>
        <v>13808.25</v>
      </c>
      <c r="L25" s="155">
        <f t="shared" si="17"/>
        <v>16569.900000000001</v>
      </c>
      <c r="M25" s="14"/>
    </row>
    <row r="26" spans="1:13" ht="20.25" customHeight="1" x14ac:dyDescent="0.25">
      <c r="A26" s="128"/>
      <c r="B26" s="157" t="s">
        <v>70</v>
      </c>
      <c r="C26" s="152" t="s">
        <v>17</v>
      </c>
      <c r="D26" s="158">
        <v>442</v>
      </c>
      <c r="E26" s="154"/>
      <c r="F26" s="155"/>
      <c r="G26" s="155"/>
      <c r="H26" s="156">
        <v>80.75</v>
      </c>
      <c r="I26" s="155">
        <f t="shared" si="18"/>
        <v>35691.5</v>
      </c>
      <c r="J26" s="155">
        <f t="shared" si="19"/>
        <v>42829.8</v>
      </c>
      <c r="K26" s="156">
        <f t="shared" si="17"/>
        <v>35691.5</v>
      </c>
      <c r="L26" s="155">
        <f t="shared" si="17"/>
        <v>42829.8</v>
      </c>
      <c r="M26" s="14"/>
    </row>
    <row r="27" spans="1:13" ht="20.25" customHeight="1" x14ac:dyDescent="0.25">
      <c r="A27" s="128"/>
      <c r="B27" s="157" t="s">
        <v>71</v>
      </c>
      <c r="C27" s="152" t="s">
        <v>17</v>
      </c>
      <c r="D27" s="158">
        <v>167</v>
      </c>
      <c r="E27" s="154"/>
      <c r="F27" s="155"/>
      <c r="G27" s="155"/>
      <c r="H27" s="156">
        <v>80.75</v>
      </c>
      <c r="I27" s="155">
        <f t="shared" si="18"/>
        <v>13485.25</v>
      </c>
      <c r="J27" s="155">
        <f t="shared" si="19"/>
        <v>16182.3</v>
      </c>
      <c r="K27" s="156">
        <f t="shared" si="17"/>
        <v>13485.25</v>
      </c>
      <c r="L27" s="155">
        <f t="shared" si="17"/>
        <v>16182.3</v>
      </c>
      <c r="M27" s="14"/>
    </row>
    <row r="28" spans="1:13" ht="20.25" customHeight="1" x14ac:dyDescent="0.25">
      <c r="A28" s="128"/>
      <c r="B28" s="157" t="s">
        <v>72</v>
      </c>
      <c r="C28" s="152" t="s">
        <v>17</v>
      </c>
      <c r="D28" s="158">
        <v>189</v>
      </c>
      <c r="E28" s="154"/>
      <c r="F28" s="155"/>
      <c r="G28" s="155"/>
      <c r="H28" s="156">
        <v>80.75</v>
      </c>
      <c r="I28" s="155">
        <f t="shared" si="18"/>
        <v>15261.75</v>
      </c>
      <c r="J28" s="155">
        <f t="shared" si="19"/>
        <v>18314.099999999999</v>
      </c>
      <c r="K28" s="156">
        <f t="shared" si="17"/>
        <v>15261.75</v>
      </c>
      <c r="L28" s="155">
        <f t="shared" si="17"/>
        <v>18314.099999999999</v>
      </c>
      <c r="M28" s="14"/>
    </row>
    <row r="29" spans="1:13" ht="20.25" customHeight="1" x14ac:dyDescent="0.25">
      <c r="A29" s="128"/>
      <c r="B29" s="157" t="s">
        <v>73</v>
      </c>
      <c r="C29" s="152" t="s">
        <v>17</v>
      </c>
      <c r="D29" s="158">
        <v>26</v>
      </c>
      <c r="E29" s="154"/>
      <c r="F29" s="155"/>
      <c r="G29" s="155"/>
      <c r="H29" s="156">
        <v>71.25</v>
      </c>
      <c r="I29" s="155">
        <f t="shared" si="18"/>
        <v>1852.5</v>
      </c>
      <c r="J29" s="155">
        <f t="shared" si="19"/>
        <v>2223</v>
      </c>
      <c r="K29" s="156">
        <f t="shared" si="17"/>
        <v>1852.5</v>
      </c>
      <c r="L29" s="155">
        <f t="shared" si="17"/>
        <v>2223</v>
      </c>
      <c r="M29" s="14"/>
    </row>
    <row r="30" spans="1:13" ht="34.5" customHeight="1" x14ac:dyDescent="0.25">
      <c r="A30" s="134"/>
      <c r="B30" s="135" t="s">
        <v>247</v>
      </c>
      <c r="C30" s="134" t="s">
        <v>18</v>
      </c>
      <c r="D30" s="139">
        <v>81.91</v>
      </c>
      <c r="E30" s="138">
        <v>909.45</v>
      </c>
      <c r="F30" s="137">
        <f>ROUND(E30*D30,2)</f>
        <v>74493.05</v>
      </c>
      <c r="G30" s="137">
        <f t="shared" ref="G30" si="20">ROUND(F30*1.2,2)</f>
        <v>89391.66</v>
      </c>
      <c r="H30" s="138"/>
      <c r="I30" s="137"/>
      <c r="J30" s="137"/>
      <c r="K30" s="138">
        <f t="shared" ref="K30" si="21">F30+I30</f>
        <v>74493.05</v>
      </c>
      <c r="L30" s="137">
        <f t="shared" ref="L30" si="22">G30+J30</f>
        <v>89391.66</v>
      </c>
      <c r="M30" s="14"/>
    </row>
    <row r="31" spans="1:13" ht="20.25" customHeight="1" x14ac:dyDescent="0.25">
      <c r="A31" s="134"/>
      <c r="B31" s="135" t="s">
        <v>43</v>
      </c>
      <c r="C31" s="134" t="s">
        <v>18</v>
      </c>
      <c r="D31" s="139">
        <v>81.900000000000006</v>
      </c>
      <c r="E31" s="138">
        <v>144.4</v>
      </c>
      <c r="F31" s="137">
        <f>ROUND(E31*D31,2)</f>
        <v>11826.36</v>
      </c>
      <c r="G31" s="137">
        <f t="shared" ref="G31" si="23">ROUND(F31*1.2,2)</f>
        <v>14191.63</v>
      </c>
      <c r="H31" s="138"/>
      <c r="I31" s="137"/>
      <c r="J31" s="137"/>
      <c r="K31" s="138">
        <f t="shared" si="15"/>
        <v>11826.36</v>
      </c>
      <c r="L31" s="137">
        <f t="shared" si="15"/>
        <v>14191.63</v>
      </c>
      <c r="M31" s="14"/>
    </row>
    <row r="32" spans="1:13" ht="17.25" customHeight="1" x14ac:dyDescent="0.25">
      <c r="A32" s="128"/>
      <c r="B32" s="157" t="s">
        <v>41</v>
      </c>
      <c r="C32" s="152" t="s">
        <v>19</v>
      </c>
      <c r="D32" s="159">
        <f>25*20/16</f>
        <v>31.25</v>
      </c>
      <c r="E32" s="156"/>
      <c r="F32" s="155"/>
      <c r="G32" s="155"/>
      <c r="H32" s="160">
        <v>237.5</v>
      </c>
      <c r="I32" s="155">
        <f>ROUND(H32*D32,2)</f>
        <v>7421.88</v>
      </c>
      <c r="J32" s="155">
        <f t="shared" ref="J32" si="24">ROUND(I32*1.2,2)</f>
        <v>8906.26</v>
      </c>
      <c r="K32" s="156">
        <f t="shared" si="15"/>
        <v>7421.88</v>
      </c>
      <c r="L32" s="155">
        <f t="shared" si="15"/>
        <v>8906.26</v>
      </c>
      <c r="M32" s="14"/>
    </row>
    <row r="33" spans="1:13" ht="21.75" customHeight="1" x14ac:dyDescent="0.25">
      <c r="A33" s="134"/>
      <c r="B33" s="135" t="s">
        <v>44</v>
      </c>
      <c r="C33" s="134" t="s">
        <v>18</v>
      </c>
      <c r="D33" s="139">
        <v>81.900000000000006</v>
      </c>
      <c r="E33" s="138">
        <v>299.76</v>
      </c>
      <c r="F33" s="137">
        <f>ROUND(E33*D33,2)</f>
        <v>24550.34</v>
      </c>
      <c r="G33" s="137">
        <f t="shared" ref="G33" si="25">ROUND(F33*1.2,2)</f>
        <v>29460.41</v>
      </c>
      <c r="H33" s="138"/>
      <c r="I33" s="137"/>
      <c r="J33" s="137"/>
      <c r="K33" s="138">
        <f t="shared" si="15"/>
        <v>24550.34</v>
      </c>
      <c r="L33" s="137">
        <f t="shared" si="15"/>
        <v>29460.41</v>
      </c>
      <c r="M33" s="14"/>
    </row>
    <row r="34" spans="1:13" x14ac:dyDescent="0.25">
      <c r="A34" s="128"/>
      <c r="B34" s="157" t="s">
        <v>42</v>
      </c>
      <c r="C34" s="152" t="s">
        <v>17</v>
      </c>
      <c r="D34" s="158">
        <v>115</v>
      </c>
      <c r="E34" s="156"/>
      <c r="F34" s="155"/>
      <c r="G34" s="155"/>
      <c r="H34" s="160">
        <v>296.39999999999998</v>
      </c>
      <c r="I34" s="155">
        <f t="shared" ref="I34" si="26">ROUND(H34*D34,2)</f>
        <v>34086</v>
      </c>
      <c r="J34" s="155">
        <f t="shared" ref="J34" si="27">ROUND(I34*1.2,2)</f>
        <v>40903.199999999997</v>
      </c>
      <c r="K34" s="156">
        <f t="shared" si="15"/>
        <v>34086</v>
      </c>
      <c r="L34" s="155">
        <f t="shared" si="15"/>
        <v>40903.199999999997</v>
      </c>
      <c r="M34" s="14"/>
    </row>
    <row r="35" spans="1:13" ht="20.25" customHeight="1" x14ac:dyDescent="0.25">
      <c r="A35" s="77"/>
      <c r="B35" s="78" t="s">
        <v>85</v>
      </c>
      <c r="C35" s="79"/>
      <c r="D35" s="79"/>
      <c r="E35" s="80"/>
      <c r="F35" s="81"/>
      <c r="G35" s="81"/>
      <c r="H35" s="75"/>
      <c r="I35" s="81"/>
      <c r="J35" s="81"/>
      <c r="K35" s="80"/>
      <c r="L35" s="81"/>
      <c r="M35" s="14"/>
    </row>
    <row r="36" spans="1:13" customFormat="1" ht="24" customHeight="1" x14ac:dyDescent="0.25">
      <c r="A36" s="77"/>
      <c r="B36" s="78" t="s">
        <v>215</v>
      </c>
      <c r="C36" s="79"/>
      <c r="D36" s="79"/>
      <c r="E36" s="80"/>
      <c r="F36" s="81"/>
      <c r="G36" s="81"/>
      <c r="H36" s="75"/>
      <c r="I36" s="81"/>
      <c r="J36" s="81"/>
      <c r="K36" s="80"/>
      <c r="L36" s="81"/>
      <c r="M36" s="14"/>
    </row>
    <row r="37" spans="1:13" customFormat="1" ht="45" x14ac:dyDescent="0.25">
      <c r="A37" s="90">
        <v>1</v>
      </c>
      <c r="B37" s="91" t="s">
        <v>216</v>
      </c>
      <c r="C37" s="92" t="s">
        <v>17</v>
      </c>
      <c r="D37" s="93">
        <v>14951</v>
      </c>
      <c r="E37" s="101">
        <f>ROUND(159.41*0.7,2)</f>
        <v>111.59</v>
      </c>
      <c r="F37" s="95">
        <f t="shared" ref="F37" si="28">ROUND(E37*D37,2)</f>
        <v>1668382.09</v>
      </c>
      <c r="G37" s="95">
        <f t="shared" ref="G37:G38" si="29">ROUND(F37*1.2,2)</f>
        <v>2002058.51</v>
      </c>
      <c r="H37" s="96"/>
      <c r="I37" s="95"/>
      <c r="J37" s="95"/>
      <c r="K37" s="97">
        <f t="shared" ref="K37:L38" si="30">F37+I37</f>
        <v>1668382.09</v>
      </c>
      <c r="L37" s="95">
        <f t="shared" si="30"/>
        <v>2002058.51</v>
      </c>
      <c r="M37" s="87" t="s">
        <v>236</v>
      </c>
    </row>
    <row r="38" spans="1:13" customFormat="1" ht="21" customHeight="1" x14ac:dyDescent="0.25">
      <c r="A38" s="104">
        <f>A37+1</f>
        <v>2</v>
      </c>
      <c r="B38" s="105" t="s">
        <v>60</v>
      </c>
      <c r="C38" s="106" t="s">
        <v>61</v>
      </c>
      <c r="D38" s="107">
        <f>14951/1000</f>
        <v>14.951000000000001</v>
      </c>
      <c r="E38" s="103">
        <v>0</v>
      </c>
      <c r="F38" s="108">
        <f>ROUND(E38*D38,2)</f>
        <v>0</v>
      </c>
      <c r="G38" s="108">
        <f t="shared" si="29"/>
        <v>0</v>
      </c>
      <c r="H38" s="109"/>
      <c r="I38" s="110"/>
      <c r="J38" s="110"/>
      <c r="K38" s="111">
        <f t="shared" si="30"/>
        <v>0</v>
      </c>
      <c r="L38" s="103">
        <f t="shared" si="30"/>
        <v>0</v>
      </c>
      <c r="M38" s="14" t="s">
        <v>241</v>
      </c>
    </row>
    <row r="39" spans="1:13" customFormat="1" ht="25.5" customHeight="1" x14ac:dyDescent="0.25">
      <c r="A39" s="90">
        <f>A38+1</f>
        <v>3</v>
      </c>
      <c r="B39" s="91" t="s">
        <v>217</v>
      </c>
      <c r="C39" s="92" t="s">
        <v>61</v>
      </c>
      <c r="D39" s="98">
        <f>14951/1000</f>
        <v>14.951000000000001</v>
      </c>
      <c r="E39" s="94">
        <v>0</v>
      </c>
      <c r="F39" s="95">
        <f>ROUND(E39*D39,2)</f>
        <v>0</v>
      </c>
      <c r="G39" s="95">
        <f t="shared" ref="G39" si="31">ROUND(F39*1.2,2)</f>
        <v>0</v>
      </c>
      <c r="H39" s="99"/>
      <c r="I39" s="100"/>
      <c r="J39" s="100"/>
      <c r="K39" s="96">
        <f t="shared" ref="K39" si="32">F39+I39</f>
        <v>0</v>
      </c>
      <c r="L39" s="101">
        <f t="shared" ref="L39" si="33">G39+J39</f>
        <v>0</v>
      </c>
      <c r="M39" s="14" t="s">
        <v>241</v>
      </c>
    </row>
    <row r="40" spans="1:13" customFormat="1" ht="24" customHeight="1" x14ac:dyDescent="0.25">
      <c r="A40" s="77"/>
      <c r="B40" s="78" t="s">
        <v>218</v>
      </c>
      <c r="C40" s="79"/>
      <c r="D40" s="79"/>
      <c r="E40" s="80"/>
      <c r="F40" s="81"/>
      <c r="G40" s="81"/>
      <c r="H40" s="75"/>
      <c r="I40" s="81"/>
      <c r="J40" s="81"/>
      <c r="K40" s="80"/>
      <c r="L40" s="81"/>
      <c r="M40" s="14"/>
    </row>
    <row r="41" spans="1:13" customFormat="1" ht="45" x14ac:dyDescent="0.25">
      <c r="A41" s="90">
        <f>A39+1</f>
        <v>4</v>
      </c>
      <c r="B41" s="91" t="s">
        <v>219</v>
      </c>
      <c r="C41" s="92" t="s">
        <v>17</v>
      </c>
      <c r="D41" s="102">
        <v>11877.54</v>
      </c>
      <c r="E41" s="101">
        <f>159.41</f>
        <v>159.41</v>
      </c>
      <c r="F41" s="95">
        <f t="shared" ref="F41:F46" si="34">ROUND(E41*D41,2)</f>
        <v>1893398.65</v>
      </c>
      <c r="G41" s="95">
        <f t="shared" ref="G41:G46" si="35">ROUND(F41*1.2,2)</f>
        <v>2272078.38</v>
      </c>
      <c r="H41" s="99"/>
      <c r="I41" s="100"/>
      <c r="J41" s="100"/>
      <c r="K41" s="96">
        <f t="shared" ref="K41:K47" si="36">F41+I41</f>
        <v>1893398.65</v>
      </c>
      <c r="L41" s="101">
        <f t="shared" ref="L41:L47" si="37">G41+J41</f>
        <v>2272078.38</v>
      </c>
      <c r="M41" s="87" t="s">
        <v>229</v>
      </c>
    </row>
    <row r="42" spans="1:13" customFormat="1" ht="30" x14ac:dyDescent="0.25">
      <c r="A42" s="88" t="s">
        <v>232</v>
      </c>
      <c r="B42" s="11" t="s">
        <v>225</v>
      </c>
      <c r="C42" s="3" t="s">
        <v>17</v>
      </c>
      <c r="D42" s="85">
        <v>9070.6299999999992</v>
      </c>
      <c r="E42" s="13"/>
      <c r="F42" s="43"/>
      <c r="G42" s="43"/>
      <c r="H42" s="118">
        <v>194.96</v>
      </c>
      <c r="I42" s="13">
        <f t="shared" ref="I42:I45" si="38">ROUND(H42*D42,2)</f>
        <v>1768410.02</v>
      </c>
      <c r="J42" s="13">
        <f t="shared" ref="J42:J45" si="39">ROUND(I42*1.2,2)</f>
        <v>2122092.02</v>
      </c>
      <c r="K42" s="1">
        <f t="shared" ref="K42:K45" si="40">F42+I42</f>
        <v>1768410.02</v>
      </c>
      <c r="L42" s="13">
        <f t="shared" ref="L42:L45" si="41">G42+J42</f>
        <v>2122092.02</v>
      </c>
      <c r="M42" s="86" t="s">
        <v>240</v>
      </c>
    </row>
    <row r="43" spans="1:13" customFormat="1" ht="30" x14ac:dyDescent="0.25">
      <c r="A43" s="88" t="s">
        <v>233</v>
      </c>
      <c r="B43" s="11" t="s">
        <v>226</v>
      </c>
      <c r="C43" s="3" t="s">
        <v>17</v>
      </c>
      <c r="D43" s="85">
        <v>226.68</v>
      </c>
      <c r="E43" s="13"/>
      <c r="F43" s="43"/>
      <c r="G43" s="43"/>
      <c r="H43" s="118">
        <v>194.96</v>
      </c>
      <c r="I43" s="13">
        <f t="shared" si="38"/>
        <v>44193.53</v>
      </c>
      <c r="J43" s="13">
        <f t="shared" si="39"/>
        <v>53032.24</v>
      </c>
      <c r="K43" s="1">
        <f t="shared" si="40"/>
        <v>44193.53</v>
      </c>
      <c r="L43" s="13">
        <f t="shared" si="41"/>
        <v>53032.24</v>
      </c>
      <c r="M43" s="14"/>
    </row>
    <row r="44" spans="1:13" customFormat="1" ht="30" x14ac:dyDescent="0.25">
      <c r="A44" s="88" t="s">
        <v>234</v>
      </c>
      <c r="B44" s="11" t="s">
        <v>227</v>
      </c>
      <c r="C44" s="3" t="s">
        <v>17</v>
      </c>
      <c r="D44" s="85">
        <v>2050.37</v>
      </c>
      <c r="E44" s="13"/>
      <c r="F44" s="43"/>
      <c r="G44" s="43"/>
      <c r="H44" s="118">
        <v>194.96</v>
      </c>
      <c r="I44" s="13">
        <f t="shared" si="38"/>
        <v>399740.14</v>
      </c>
      <c r="J44" s="13">
        <f t="shared" si="39"/>
        <v>479688.17</v>
      </c>
      <c r="K44" s="1">
        <f t="shared" si="40"/>
        <v>399740.14</v>
      </c>
      <c r="L44" s="13">
        <f t="shared" si="41"/>
        <v>479688.17</v>
      </c>
      <c r="M44" s="14"/>
    </row>
    <row r="45" spans="1:13" customFormat="1" ht="30" x14ac:dyDescent="0.25">
      <c r="A45" s="88" t="s">
        <v>235</v>
      </c>
      <c r="B45" s="11" t="s">
        <v>228</v>
      </c>
      <c r="C45" s="3" t="s">
        <v>17</v>
      </c>
      <c r="D45" s="85">
        <v>529.86</v>
      </c>
      <c r="E45" s="13"/>
      <c r="F45" s="43"/>
      <c r="G45" s="43"/>
      <c r="H45" s="118">
        <v>194.96</v>
      </c>
      <c r="I45" s="13">
        <f t="shared" si="38"/>
        <v>103301.51</v>
      </c>
      <c r="J45" s="13">
        <f t="shared" si="39"/>
        <v>123961.81</v>
      </c>
      <c r="K45" s="1">
        <f t="shared" si="40"/>
        <v>103301.51</v>
      </c>
      <c r="L45" s="13">
        <f t="shared" si="41"/>
        <v>123961.81</v>
      </c>
      <c r="M45" s="14"/>
    </row>
    <row r="46" spans="1:13" customFormat="1" ht="45" x14ac:dyDescent="0.25">
      <c r="A46" s="90">
        <f>A41+1</f>
        <v>5</v>
      </c>
      <c r="B46" s="91" t="s">
        <v>231</v>
      </c>
      <c r="C46" s="92" t="s">
        <v>17</v>
      </c>
      <c r="D46" s="93">
        <f>373.02</f>
        <v>373.02</v>
      </c>
      <c r="E46" s="101">
        <f>159.41</f>
        <v>159.41</v>
      </c>
      <c r="F46" s="95">
        <f t="shared" si="34"/>
        <v>59463.12</v>
      </c>
      <c r="G46" s="95">
        <f t="shared" si="35"/>
        <v>71355.740000000005</v>
      </c>
      <c r="H46" s="99"/>
      <c r="I46" s="100"/>
      <c r="J46" s="100"/>
      <c r="K46" s="96">
        <f t="shared" si="36"/>
        <v>59463.12</v>
      </c>
      <c r="L46" s="101">
        <f t="shared" si="37"/>
        <v>71355.740000000005</v>
      </c>
      <c r="M46" s="87" t="s">
        <v>229</v>
      </c>
    </row>
    <row r="47" spans="1:13" ht="47.25" customHeight="1" x14ac:dyDescent="0.25">
      <c r="A47" s="89" t="s">
        <v>45</v>
      </c>
      <c r="B47" s="11" t="s">
        <v>230</v>
      </c>
      <c r="C47" s="3" t="s">
        <v>17</v>
      </c>
      <c r="D47" s="32">
        <v>373.02</v>
      </c>
      <c r="E47" s="2"/>
      <c r="F47" s="13"/>
      <c r="G47" s="13"/>
      <c r="H47" s="118">
        <v>194.96</v>
      </c>
      <c r="I47" s="13">
        <f t="shared" ref="I47" si="42">ROUND(H47*D47,2)</f>
        <v>72723.98</v>
      </c>
      <c r="J47" s="13">
        <f t="shared" ref="J47" si="43">ROUND(I47*1.2,2)</f>
        <v>87268.78</v>
      </c>
      <c r="K47" s="1">
        <f t="shared" si="36"/>
        <v>72723.98</v>
      </c>
      <c r="L47" s="13">
        <f t="shared" si="37"/>
        <v>87268.78</v>
      </c>
      <c r="M47" s="14"/>
    </row>
    <row r="48" spans="1:13" customFormat="1" ht="24" customHeight="1" x14ac:dyDescent="0.25">
      <c r="A48" s="77"/>
      <c r="B48" s="78" t="s">
        <v>220</v>
      </c>
      <c r="C48" s="79"/>
      <c r="D48" s="79"/>
      <c r="E48" s="80"/>
      <c r="F48" s="81"/>
      <c r="G48" s="81"/>
      <c r="H48" s="75"/>
      <c r="I48" s="81"/>
      <c r="J48" s="81"/>
      <c r="K48" s="80"/>
      <c r="L48" s="81"/>
      <c r="M48" s="14"/>
    </row>
    <row r="49" spans="1:13" ht="20.25" customHeight="1" x14ac:dyDescent="0.25">
      <c r="A49" s="106">
        <f>A46+1</f>
        <v>6</v>
      </c>
      <c r="B49" s="84" t="s">
        <v>201</v>
      </c>
      <c r="C49" s="106" t="s">
        <v>18</v>
      </c>
      <c r="D49" s="114">
        <v>133</v>
      </c>
      <c r="E49" s="111">
        <v>957.31</v>
      </c>
      <c r="F49" s="103">
        <f t="shared" ref="F49:F55" si="44">ROUND(E49*D49,2)</f>
        <v>127322.23</v>
      </c>
      <c r="G49" s="103">
        <f t="shared" ref="G49:G55" si="45">ROUND(F49*1.2,2)</f>
        <v>152786.68</v>
      </c>
      <c r="H49" s="111"/>
      <c r="I49" s="103"/>
      <c r="J49" s="103"/>
      <c r="K49" s="111">
        <f t="shared" ref="K49:K60" si="46">F49+I49</f>
        <v>127322.23</v>
      </c>
      <c r="L49" s="103">
        <f t="shared" ref="L49:L60" si="47">G49+J49</f>
        <v>152786.68</v>
      </c>
      <c r="M49" s="14" t="s">
        <v>237</v>
      </c>
    </row>
    <row r="50" spans="1:13" ht="32.25" customHeight="1" x14ac:dyDescent="0.25">
      <c r="A50" s="106">
        <f t="shared" ref="A50:A51" si="48">A49+1</f>
        <v>7</v>
      </c>
      <c r="B50" s="84" t="s">
        <v>202</v>
      </c>
      <c r="C50" s="106" t="s">
        <v>18</v>
      </c>
      <c r="D50" s="115">
        <v>515</v>
      </c>
      <c r="E50" s="111">
        <v>80.75</v>
      </c>
      <c r="F50" s="103">
        <f t="shared" si="44"/>
        <v>41586.25</v>
      </c>
      <c r="G50" s="103">
        <f t="shared" si="45"/>
        <v>49903.5</v>
      </c>
      <c r="H50" s="111"/>
      <c r="I50" s="103"/>
      <c r="J50" s="103"/>
      <c r="K50" s="111">
        <f t="shared" si="46"/>
        <v>41586.25</v>
      </c>
      <c r="L50" s="103">
        <f t="shared" si="47"/>
        <v>49903.5</v>
      </c>
      <c r="M50" s="14" t="s">
        <v>237</v>
      </c>
    </row>
    <row r="51" spans="1:13" ht="18.75" customHeight="1" x14ac:dyDescent="0.25">
      <c r="A51" s="106">
        <f t="shared" si="48"/>
        <v>8</v>
      </c>
      <c r="B51" s="105" t="s">
        <v>221</v>
      </c>
      <c r="C51" s="106" t="s">
        <v>18</v>
      </c>
      <c r="D51" s="112">
        <v>7</v>
      </c>
      <c r="E51" s="113">
        <v>144.4</v>
      </c>
      <c r="F51" s="103">
        <f>ROUND(E51*D51,2)</f>
        <v>1010.8</v>
      </c>
      <c r="G51" s="103">
        <f>ROUND(F51*1.2,2)</f>
        <v>1212.96</v>
      </c>
      <c r="H51" s="111"/>
      <c r="I51" s="103"/>
      <c r="J51" s="103"/>
      <c r="K51" s="111">
        <f t="shared" si="46"/>
        <v>1010.8</v>
      </c>
      <c r="L51" s="103">
        <f t="shared" si="47"/>
        <v>1212.96</v>
      </c>
      <c r="M51" s="14"/>
    </row>
    <row r="52" spans="1:13" ht="18.75" customHeight="1" x14ac:dyDescent="0.25">
      <c r="A52" s="89" t="s">
        <v>64</v>
      </c>
      <c r="B52" s="4" t="s">
        <v>222</v>
      </c>
      <c r="C52" s="3" t="s">
        <v>17</v>
      </c>
      <c r="D52" s="85">
        <f>D51*0.15</f>
        <v>1.05</v>
      </c>
      <c r="E52" s="2"/>
      <c r="F52" s="13"/>
      <c r="G52" s="13"/>
      <c r="H52" s="1">
        <v>149.15</v>
      </c>
      <c r="I52" s="13">
        <f>ROUND(H52*D52,2)</f>
        <v>156.61000000000001</v>
      </c>
      <c r="J52" s="13">
        <f>ROUND(I52*1.2,2)</f>
        <v>187.93</v>
      </c>
      <c r="K52" s="1">
        <f t="shared" si="46"/>
        <v>156.61000000000001</v>
      </c>
      <c r="L52" s="13">
        <f t="shared" si="47"/>
        <v>187.93</v>
      </c>
    </row>
    <row r="53" spans="1:13" ht="18.75" customHeight="1" x14ac:dyDescent="0.25">
      <c r="A53" s="106">
        <f>A51+1</f>
        <v>9</v>
      </c>
      <c r="B53" s="105" t="s">
        <v>223</v>
      </c>
      <c r="C53" s="106" t="s">
        <v>18</v>
      </c>
      <c r="D53" s="112">
        <v>515</v>
      </c>
      <c r="E53" s="113">
        <v>172.9</v>
      </c>
      <c r="F53" s="103">
        <f>ROUND(E53*D53,2)</f>
        <v>89043.5</v>
      </c>
      <c r="G53" s="103">
        <f>ROUND(F53*1.2,2)</f>
        <v>106852.2</v>
      </c>
      <c r="H53" s="111"/>
      <c r="I53" s="103"/>
      <c r="J53" s="103"/>
      <c r="K53" s="111">
        <f t="shared" si="46"/>
        <v>89043.5</v>
      </c>
      <c r="L53" s="103">
        <f t="shared" si="47"/>
        <v>106852.2</v>
      </c>
      <c r="M53" s="14"/>
    </row>
    <row r="54" spans="1:13" ht="18.75" customHeight="1" x14ac:dyDescent="0.25">
      <c r="A54" s="89" t="s">
        <v>66</v>
      </c>
      <c r="B54" s="4" t="s">
        <v>224</v>
      </c>
      <c r="C54" s="3" t="s">
        <v>17</v>
      </c>
      <c r="D54" s="85">
        <f>D53*0.32</f>
        <v>164.8</v>
      </c>
      <c r="E54" s="2"/>
      <c r="F54" s="13"/>
      <c r="G54" s="13"/>
      <c r="H54" s="1">
        <v>165.3</v>
      </c>
      <c r="I54" s="13">
        <f>ROUND(H54*D54,2)</f>
        <v>27241.439999999999</v>
      </c>
      <c r="J54" s="13">
        <f>ROUND(I54*1.2,2)</f>
        <v>32689.73</v>
      </c>
      <c r="K54" s="1">
        <f t="shared" si="46"/>
        <v>27241.439999999999</v>
      </c>
      <c r="L54" s="13">
        <f t="shared" si="47"/>
        <v>32689.73</v>
      </c>
    </row>
    <row r="55" spans="1:13" ht="34.5" customHeight="1" x14ac:dyDescent="0.25">
      <c r="A55" s="106">
        <f>A53+1</f>
        <v>10</v>
      </c>
      <c r="B55" s="84" t="s">
        <v>204</v>
      </c>
      <c r="C55" s="106" t="s">
        <v>13</v>
      </c>
      <c r="D55" s="115">
        <v>0.39</v>
      </c>
      <c r="E55" s="111">
        <v>2637.2</v>
      </c>
      <c r="F55" s="103">
        <f t="shared" si="44"/>
        <v>1028.51</v>
      </c>
      <c r="G55" s="103">
        <f t="shared" si="45"/>
        <v>1234.21</v>
      </c>
      <c r="H55" s="111"/>
      <c r="I55" s="103"/>
      <c r="J55" s="103"/>
      <c r="K55" s="111">
        <f t="shared" si="46"/>
        <v>1028.51</v>
      </c>
      <c r="L55" s="103">
        <f t="shared" si="47"/>
        <v>1234.21</v>
      </c>
      <c r="M55" s="14"/>
    </row>
    <row r="56" spans="1:13" ht="20.25" customHeight="1" x14ac:dyDescent="0.25">
      <c r="A56" s="89" t="s">
        <v>20</v>
      </c>
      <c r="B56" s="4" t="s">
        <v>67</v>
      </c>
      <c r="C56" s="3" t="s">
        <v>13</v>
      </c>
      <c r="D56" s="83">
        <f>D55*1.02</f>
        <v>0.39780000000000004</v>
      </c>
      <c r="E56" s="2"/>
      <c r="F56" s="13"/>
      <c r="G56" s="13"/>
      <c r="H56" s="1">
        <v>5196.5</v>
      </c>
      <c r="I56" s="13">
        <f t="shared" ref="I56" si="49">ROUND(H56*D56,2)</f>
        <v>2067.17</v>
      </c>
      <c r="J56" s="13">
        <f t="shared" ref="J56" si="50">ROUND(I56*1.2,2)</f>
        <v>2480.6</v>
      </c>
      <c r="K56" s="1">
        <f t="shared" si="46"/>
        <v>2067.17</v>
      </c>
      <c r="L56" s="13">
        <f t="shared" si="47"/>
        <v>2480.6</v>
      </c>
      <c r="M56" s="14"/>
    </row>
    <row r="57" spans="1:13" ht="27" customHeight="1" x14ac:dyDescent="0.25">
      <c r="A57" s="106">
        <f>A55+1</f>
        <v>11</v>
      </c>
      <c r="B57" s="105" t="s">
        <v>206</v>
      </c>
      <c r="C57" s="106" t="s">
        <v>18</v>
      </c>
      <c r="D57" s="115">
        <v>1.92</v>
      </c>
      <c r="E57" s="111">
        <v>144.4</v>
      </c>
      <c r="F57" s="103">
        <f>ROUND(E57*D57,2)</f>
        <v>277.25</v>
      </c>
      <c r="G57" s="103">
        <f t="shared" ref="G57" si="51">ROUND(F57*1.2,2)</f>
        <v>332.7</v>
      </c>
      <c r="H57" s="111"/>
      <c r="I57" s="103"/>
      <c r="J57" s="103"/>
      <c r="K57" s="111">
        <f t="shared" si="46"/>
        <v>277.25</v>
      </c>
      <c r="L57" s="103">
        <f t="shared" si="47"/>
        <v>332.7</v>
      </c>
      <c r="M57" s="14"/>
    </row>
    <row r="58" spans="1:13" ht="19.5" customHeight="1" x14ac:dyDescent="0.25">
      <c r="A58" s="89" t="s">
        <v>50</v>
      </c>
      <c r="B58" s="4" t="s">
        <v>41</v>
      </c>
      <c r="C58" s="3" t="s">
        <v>19</v>
      </c>
      <c r="D58" s="32">
        <f>D57*0.3*20/16</f>
        <v>0.72</v>
      </c>
      <c r="E58" s="1"/>
      <c r="F58" s="13"/>
      <c r="G58" s="13"/>
      <c r="H58" s="37">
        <v>237.5</v>
      </c>
      <c r="I58" s="13">
        <f>ROUND(H58*D58,2)</f>
        <v>171</v>
      </c>
      <c r="J58" s="13">
        <f t="shared" ref="J58" si="52">ROUND(I58*1.2,2)</f>
        <v>205.2</v>
      </c>
      <c r="K58" s="1">
        <f t="shared" si="46"/>
        <v>171</v>
      </c>
      <c r="L58" s="13">
        <f t="shared" si="47"/>
        <v>205.2</v>
      </c>
      <c r="M58" s="14"/>
    </row>
    <row r="59" spans="1:13" ht="16.5" customHeight="1" x14ac:dyDescent="0.25">
      <c r="A59" s="106">
        <f>A57+1</f>
        <v>12</v>
      </c>
      <c r="B59" s="105" t="s">
        <v>207</v>
      </c>
      <c r="C59" s="106" t="s">
        <v>18</v>
      </c>
      <c r="D59" s="115">
        <v>1.92</v>
      </c>
      <c r="E59" s="111">
        <v>299.76</v>
      </c>
      <c r="F59" s="103">
        <f>ROUND(E59*D59,2)</f>
        <v>575.54</v>
      </c>
      <c r="G59" s="103">
        <f t="shared" ref="G59" si="53">ROUND(F59*1.2,2)</f>
        <v>690.65</v>
      </c>
      <c r="H59" s="111"/>
      <c r="I59" s="103"/>
      <c r="J59" s="103"/>
      <c r="K59" s="111">
        <f t="shared" si="46"/>
        <v>575.54</v>
      </c>
      <c r="L59" s="103">
        <f t="shared" si="47"/>
        <v>690.65</v>
      </c>
      <c r="M59" s="14"/>
    </row>
    <row r="60" spans="1:13" x14ac:dyDescent="0.25">
      <c r="A60" s="89" t="s">
        <v>51</v>
      </c>
      <c r="B60" s="4" t="s">
        <v>42</v>
      </c>
      <c r="C60" s="3" t="s">
        <v>17</v>
      </c>
      <c r="D60" s="20">
        <f>D59*0.7*2</f>
        <v>2.6879999999999997</v>
      </c>
      <c r="E60" s="1"/>
      <c r="F60" s="13"/>
      <c r="G60" s="13"/>
      <c r="H60" s="37">
        <v>296.39999999999998</v>
      </c>
      <c r="I60" s="13">
        <f t="shared" ref="I60" si="54">ROUND(H60*D60,2)</f>
        <v>796.72</v>
      </c>
      <c r="J60" s="13">
        <f t="shared" ref="J60" si="55">ROUND(I60*1.2,2)</f>
        <v>956.06</v>
      </c>
      <c r="K60" s="1">
        <f t="shared" si="46"/>
        <v>796.72</v>
      </c>
      <c r="L60" s="13">
        <f t="shared" si="47"/>
        <v>956.06</v>
      </c>
      <c r="M60" s="14"/>
    </row>
    <row r="61" spans="1:13" ht="15.75" x14ac:dyDescent="0.25">
      <c r="A61" s="164" t="s">
        <v>0</v>
      </c>
      <c r="B61" s="165"/>
      <c r="C61" s="165"/>
      <c r="D61" s="165"/>
      <c r="E61" s="166"/>
      <c r="F61" s="38">
        <f>SUM(F8:F60)</f>
        <v>4489630.24</v>
      </c>
      <c r="G61" s="39">
        <f>ROUND(F61*1.2,2)</f>
        <v>5387556.29</v>
      </c>
      <c r="I61" s="38">
        <f>SUM(I8:I60)</f>
        <v>2633970.2899999996</v>
      </c>
      <c r="J61" s="39">
        <f>ROUND(I61*1.2,2)</f>
        <v>3160764.35</v>
      </c>
      <c r="K61" s="38">
        <f>SUM(K8:K60)</f>
        <v>7123600.5300000012</v>
      </c>
      <c r="L61" s="39">
        <f>ROUND(K61*1.2,2)</f>
        <v>8548320.6400000006</v>
      </c>
    </row>
    <row r="63" spans="1:13" x14ac:dyDescent="0.25">
      <c r="B63" s="116" t="s">
        <v>238</v>
      </c>
    </row>
    <row r="64" spans="1:13" x14ac:dyDescent="0.25">
      <c r="B64" s="117" t="s">
        <v>239</v>
      </c>
    </row>
  </sheetData>
  <mergeCells count="10">
    <mergeCell ref="B6:D6"/>
    <mergeCell ref="A61:E6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0BAF-4100-41E4-BF88-9F7CC47951EB}">
  <dimension ref="A1:M155"/>
  <sheetViews>
    <sheetView view="pageBreakPreview" topLeftCell="A13" zoomScale="90" zoomScaleNormal="100" zoomScaleSheetLayoutView="90" workbookViewId="0">
      <selection activeCell="A39" sqref="A39:XFD39"/>
    </sheetView>
  </sheetViews>
  <sheetFormatPr defaultColWidth="8.85546875" defaultRowHeight="15" x14ac:dyDescent="0.25"/>
  <cols>
    <col min="1" max="1" width="8.85546875" style="29"/>
    <col min="2" max="2" width="65.140625" style="29" customWidth="1"/>
    <col min="3" max="3" width="9.28515625" style="29" customWidth="1"/>
    <col min="4" max="4" width="11" style="29" bestFit="1" customWidth="1"/>
    <col min="5" max="5" width="15.140625" style="29" customWidth="1"/>
    <col min="6" max="6" width="16" style="29" customWidth="1"/>
    <col min="7" max="7" width="17.140625" style="40" customWidth="1"/>
    <col min="8" max="8" width="16.140625" style="40" customWidth="1"/>
    <col min="9" max="12" width="16.140625" style="29" customWidth="1"/>
    <col min="13" max="13" width="55.42578125" style="29" customWidth="1"/>
    <col min="14" max="16384" width="8.85546875" style="29"/>
  </cols>
  <sheetData>
    <row r="1" spans="1:13" ht="14.45" customHeight="1" x14ac:dyDescent="0.25">
      <c r="A1" s="167" t="s">
        <v>38</v>
      </c>
      <c r="B1" s="170" t="s">
        <v>37</v>
      </c>
      <c r="C1" s="173" t="s">
        <v>36</v>
      </c>
      <c r="D1" s="173" t="s">
        <v>35</v>
      </c>
      <c r="E1" s="174" t="s">
        <v>34</v>
      </c>
      <c r="F1" s="175"/>
      <c r="G1" s="175"/>
      <c r="H1" s="175"/>
      <c r="I1" s="175"/>
      <c r="J1" s="175"/>
      <c r="K1" s="175"/>
      <c r="L1" s="175"/>
    </row>
    <row r="2" spans="1:13" ht="14.45" customHeight="1" x14ac:dyDescent="0.25">
      <c r="A2" s="168"/>
      <c r="B2" s="171"/>
      <c r="C2" s="173"/>
      <c r="D2" s="173"/>
      <c r="E2" s="176"/>
      <c r="F2" s="177"/>
      <c r="G2" s="177"/>
      <c r="H2" s="177"/>
      <c r="I2" s="177"/>
      <c r="J2" s="177"/>
      <c r="K2" s="177"/>
      <c r="L2" s="177"/>
    </row>
    <row r="3" spans="1:13" ht="27.75" customHeight="1" x14ac:dyDescent="0.25">
      <c r="A3" s="168"/>
      <c r="B3" s="171"/>
      <c r="C3" s="173"/>
      <c r="D3" s="173"/>
      <c r="E3" s="173" t="s">
        <v>33</v>
      </c>
      <c r="F3" s="173"/>
      <c r="G3" s="173"/>
      <c r="H3" s="173" t="s">
        <v>32</v>
      </c>
      <c r="I3" s="173"/>
      <c r="J3" s="173"/>
      <c r="K3" s="178" t="s">
        <v>31</v>
      </c>
      <c r="L3" s="178"/>
    </row>
    <row r="4" spans="1:13" ht="56.1" customHeight="1" x14ac:dyDescent="0.25">
      <c r="A4" s="169"/>
      <c r="B4" s="172"/>
      <c r="C4" s="173"/>
      <c r="D4" s="173"/>
      <c r="E4" s="33" t="s">
        <v>30</v>
      </c>
      <c r="F4" s="33" t="s">
        <v>29</v>
      </c>
      <c r="G4" s="34" t="s">
        <v>28</v>
      </c>
      <c r="H4" s="33" t="s">
        <v>30</v>
      </c>
      <c r="I4" s="33" t="s">
        <v>29</v>
      </c>
      <c r="J4" s="34" t="s">
        <v>28</v>
      </c>
      <c r="K4" s="33" t="s">
        <v>27</v>
      </c>
      <c r="L4" s="33" t="s">
        <v>26</v>
      </c>
    </row>
    <row r="5" spans="1:13" x14ac:dyDescent="0.25">
      <c r="A5" s="28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9"/>
    </row>
    <row r="6" spans="1:13" ht="20.25" customHeight="1" x14ac:dyDescent="0.25">
      <c r="A6" s="26"/>
      <c r="B6" s="162" t="s">
        <v>56</v>
      </c>
      <c r="C6" s="163"/>
      <c r="D6" s="163"/>
      <c r="E6" s="25"/>
      <c r="F6" s="24"/>
      <c r="G6" s="23"/>
      <c r="H6" s="23"/>
      <c r="I6" s="23"/>
      <c r="J6" s="23"/>
      <c r="K6" s="23"/>
      <c r="L6" s="23"/>
    </row>
    <row r="7" spans="1:13" customFormat="1" ht="24" customHeight="1" x14ac:dyDescent="0.25">
      <c r="A7" s="77"/>
      <c r="B7" s="78" t="s">
        <v>57</v>
      </c>
      <c r="C7" s="79"/>
      <c r="D7" s="79"/>
      <c r="E7" s="80"/>
      <c r="F7" s="81"/>
      <c r="G7" s="81"/>
      <c r="H7" s="75"/>
      <c r="I7" s="81"/>
      <c r="J7" s="81"/>
      <c r="K7" s="80"/>
      <c r="L7" s="81"/>
      <c r="M7" s="14"/>
    </row>
    <row r="8" spans="1:13" customFormat="1" ht="18" customHeight="1" x14ac:dyDescent="0.25">
      <c r="A8" s="48">
        <v>1</v>
      </c>
      <c r="B8" s="15" t="s">
        <v>62</v>
      </c>
      <c r="C8" s="18" t="s">
        <v>13</v>
      </c>
      <c r="D8" s="17">
        <v>9.52</v>
      </c>
      <c r="E8" s="6">
        <f>ROUND(65055.24/(297.03*0.05),2)</f>
        <v>4380.38</v>
      </c>
      <c r="F8" s="50">
        <f>ROUND(E8*39.42/1.05*1.19,2)</f>
        <v>195697.86</v>
      </c>
      <c r="G8" s="50">
        <f t="shared" ref="G8:G9" si="0">ROUND(F8*1.2,2)</f>
        <v>234837.43</v>
      </c>
      <c r="H8" s="7"/>
      <c r="I8" s="51"/>
      <c r="J8" s="51"/>
      <c r="K8" s="49">
        <f t="shared" ref="K8:L9" si="1">F8+I8</f>
        <v>195697.86</v>
      </c>
      <c r="L8" s="50">
        <f t="shared" si="1"/>
        <v>234837.43</v>
      </c>
      <c r="M8" s="14"/>
    </row>
    <row r="9" spans="1:13" customFormat="1" ht="20.25" customHeight="1" x14ac:dyDescent="0.25">
      <c r="A9" s="48">
        <f t="shared" ref="A9" si="2">A8+1</f>
        <v>2</v>
      </c>
      <c r="B9" s="15" t="s">
        <v>58</v>
      </c>
      <c r="C9" s="9" t="s">
        <v>13</v>
      </c>
      <c r="D9" s="17">
        <v>3.8</v>
      </c>
      <c r="E9" s="7">
        <v>1440.5229999999999</v>
      </c>
      <c r="F9" s="50">
        <f t="shared" ref="F9" si="3">ROUND(E9*D9,2)</f>
        <v>5473.99</v>
      </c>
      <c r="G9" s="50">
        <f t="shared" si="0"/>
        <v>6568.79</v>
      </c>
      <c r="H9" s="51"/>
      <c r="I9" s="51"/>
      <c r="J9" s="51"/>
      <c r="K9" s="49">
        <f t="shared" si="1"/>
        <v>5473.99</v>
      </c>
      <c r="L9" s="51">
        <f t="shared" si="1"/>
        <v>6568.79</v>
      </c>
      <c r="M9" s="52"/>
    </row>
    <row r="10" spans="1:13" customFormat="1" ht="20.25" customHeight="1" x14ac:dyDescent="0.25">
      <c r="A10" s="53"/>
      <c r="B10" s="12" t="s">
        <v>59</v>
      </c>
      <c r="C10" s="9"/>
      <c r="D10" s="22"/>
      <c r="E10" s="54"/>
      <c r="F10" s="21"/>
      <c r="G10" s="55"/>
      <c r="H10" s="56"/>
      <c r="I10" s="57"/>
      <c r="J10" s="57"/>
      <c r="K10" s="58"/>
      <c r="L10" s="57"/>
      <c r="M10" s="14"/>
    </row>
    <row r="11" spans="1:13" customFormat="1" ht="29.25" customHeight="1" x14ac:dyDescent="0.25">
      <c r="A11" s="48">
        <f>A9+1</f>
        <v>3</v>
      </c>
      <c r="B11" s="16" t="s">
        <v>60</v>
      </c>
      <c r="C11" s="9" t="s">
        <v>61</v>
      </c>
      <c r="D11" s="31">
        <v>24.36</v>
      </c>
      <c r="E11" s="7">
        <v>544.86</v>
      </c>
      <c r="F11" s="50">
        <f>ROUND(E11*63.2,2)</f>
        <v>34435.15</v>
      </c>
      <c r="G11" s="50">
        <f t="shared" ref="G11" si="4">ROUND(F11*1.2,2)</f>
        <v>41322.18</v>
      </c>
      <c r="H11" s="56"/>
      <c r="I11" s="57"/>
      <c r="J11" s="57"/>
      <c r="K11" s="7">
        <f t="shared" ref="K11:L11" si="5">F11+I11</f>
        <v>34435.15</v>
      </c>
      <c r="L11" s="6">
        <f t="shared" si="5"/>
        <v>41322.18</v>
      </c>
      <c r="M11" s="52"/>
    </row>
    <row r="12" spans="1:13" ht="22.5" customHeight="1" x14ac:dyDescent="0.25">
      <c r="A12" s="67"/>
      <c r="B12" s="76" t="s">
        <v>46</v>
      </c>
      <c r="C12" s="67"/>
      <c r="D12" s="74"/>
      <c r="E12" s="75"/>
      <c r="F12" s="71"/>
      <c r="G12" s="71"/>
      <c r="H12" s="75"/>
      <c r="I12" s="71"/>
      <c r="J12" s="71"/>
      <c r="K12" s="72"/>
      <c r="L12" s="71"/>
      <c r="M12" s="14"/>
    </row>
    <row r="13" spans="1:13" ht="20.25" customHeight="1" x14ac:dyDescent="0.25">
      <c r="A13" s="9">
        <f>A11+1</f>
        <v>4</v>
      </c>
      <c r="B13" s="16" t="s">
        <v>25</v>
      </c>
      <c r="C13" s="18" t="s">
        <v>13</v>
      </c>
      <c r="D13" s="19">
        <v>54.55</v>
      </c>
      <c r="E13" s="42">
        <v>308.75</v>
      </c>
      <c r="F13" s="30">
        <f>ROUND(E13*D13,2)</f>
        <v>16842.310000000001</v>
      </c>
      <c r="G13" s="30">
        <f>ROUND(F13*1.2,2)</f>
        <v>20210.77</v>
      </c>
      <c r="H13" s="35"/>
      <c r="I13" s="6"/>
      <c r="J13" s="6"/>
      <c r="K13" s="7">
        <f t="shared" ref="K13:L19" si="6">F13+I13</f>
        <v>16842.310000000001</v>
      </c>
      <c r="L13" s="6">
        <f t="shared" si="6"/>
        <v>20210.77</v>
      </c>
    </row>
    <row r="14" spans="1:13" ht="20.25" customHeight="1" x14ac:dyDescent="0.25">
      <c r="A14" s="9">
        <f>A13+1</f>
        <v>5</v>
      </c>
      <c r="B14" s="16" t="s">
        <v>47</v>
      </c>
      <c r="C14" s="18" t="s">
        <v>13</v>
      </c>
      <c r="D14" s="19">
        <v>3.8</v>
      </c>
      <c r="E14" s="7">
        <v>1310.05</v>
      </c>
      <c r="F14" s="30">
        <f>ROUND(E14*D14,2)</f>
        <v>4978.1899999999996</v>
      </c>
      <c r="G14" s="30">
        <f>ROUND(F14*1.2,2)</f>
        <v>5973.83</v>
      </c>
      <c r="H14" s="6"/>
      <c r="I14" s="6"/>
      <c r="J14" s="6"/>
      <c r="K14" s="7">
        <f t="shared" si="6"/>
        <v>4978.1899999999996</v>
      </c>
      <c r="L14" s="6">
        <f t="shared" si="6"/>
        <v>5973.83</v>
      </c>
    </row>
    <row r="15" spans="1:13" ht="20.25" customHeight="1" x14ac:dyDescent="0.25">
      <c r="A15" s="5" t="s">
        <v>45</v>
      </c>
      <c r="B15" s="11" t="s">
        <v>24</v>
      </c>
      <c r="C15" s="3" t="s">
        <v>13</v>
      </c>
      <c r="D15" s="20">
        <f>ROUND(D14*1.1,2)</f>
        <v>4.18</v>
      </c>
      <c r="E15" s="2"/>
      <c r="F15" s="13"/>
      <c r="G15" s="13"/>
      <c r="H15" s="13">
        <v>1191.3</v>
      </c>
      <c r="I15" s="13">
        <f>ROUND(H15*D15,2)</f>
        <v>4979.63</v>
      </c>
      <c r="J15" s="13">
        <f>ROUND(I15*1.2,2)</f>
        <v>5975.56</v>
      </c>
      <c r="K15" s="1">
        <f t="shared" si="6"/>
        <v>4979.63</v>
      </c>
      <c r="L15" s="13">
        <f t="shared" si="6"/>
        <v>5975.56</v>
      </c>
    </row>
    <row r="16" spans="1:13" s="36" customFormat="1" ht="21.75" customHeight="1" x14ac:dyDescent="0.25">
      <c r="A16" s="9">
        <f>A14+1</f>
        <v>6</v>
      </c>
      <c r="B16" s="16" t="s">
        <v>23</v>
      </c>
      <c r="C16" s="18" t="s">
        <v>13</v>
      </c>
      <c r="D16" s="19">
        <v>53.06</v>
      </c>
      <c r="E16" s="7">
        <v>118.75</v>
      </c>
      <c r="F16" s="30">
        <f>ROUND(E16*D16,2)</f>
        <v>6300.88</v>
      </c>
      <c r="G16" s="30">
        <f>ROUND(F16*1.2,2)</f>
        <v>7561.06</v>
      </c>
      <c r="H16" s="35"/>
      <c r="I16" s="6"/>
      <c r="J16" s="6"/>
      <c r="K16" s="7">
        <f t="shared" si="6"/>
        <v>6300.88</v>
      </c>
      <c r="L16" s="6">
        <f t="shared" si="6"/>
        <v>7561.06</v>
      </c>
    </row>
    <row r="17" spans="1:13" ht="21.75" customHeight="1" x14ac:dyDescent="0.25">
      <c r="A17" s="9">
        <f>A16+1</f>
        <v>7</v>
      </c>
      <c r="B17" s="16" t="s">
        <v>22</v>
      </c>
      <c r="C17" s="18" t="s">
        <v>13</v>
      </c>
      <c r="D17" s="19">
        <v>53.06</v>
      </c>
      <c r="E17" s="7">
        <v>188.1</v>
      </c>
      <c r="F17" s="30">
        <f>ROUND(E17*D17,2)</f>
        <v>9980.59</v>
      </c>
      <c r="G17" s="30">
        <f>ROUND(F17*1.2,2)</f>
        <v>11976.71</v>
      </c>
      <c r="H17" s="7"/>
      <c r="I17" s="6"/>
      <c r="J17" s="6"/>
      <c r="K17" s="7">
        <f t="shared" si="6"/>
        <v>9980.59</v>
      </c>
      <c r="L17" s="6">
        <f t="shared" si="6"/>
        <v>11976.71</v>
      </c>
    </row>
    <row r="18" spans="1:13" ht="20.25" customHeight="1" x14ac:dyDescent="0.25">
      <c r="A18" s="9">
        <f>A17+1</f>
        <v>8</v>
      </c>
      <c r="B18" s="15" t="s">
        <v>63</v>
      </c>
      <c r="C18" s="9" t="s">
        <v>39</v>
      </c>
      <c r="D18" s="17">
        <v>10.28</v>
      </c>
      <c r="E18" s="7">
        <v>2057.89</v>
      </c>
      <c r="F18" s="6">
        <f>ROUND(E18*D18,2)</f>
        <v>21155.11</v>
      </c>
      <c r="G18" s="6">
        <f t="shared" ref="G18" si="7">ROUND(F18*1.2,2)</f>
        <v>25386.13</v>
      </c>
      <c r="H18" s="8"/>
      <c r="I18" s="6"/>
      <c r="J18" s="6"/>
      <c r="K18" s="7">
        <f t="shared" si="6"/>
        <v>21155.11</v>
      </c>
      <c r="L18" s="6">
        <f t="shared" si="6"/>
        <v>25386.13</v>
      </c>
      <c r="M18" s="14"/>
    </row>
    <row r="19" spans="1:13" ht="20.25" customHeight="1" x14ac:dyDescent="0.25">
      <c r="A19" s="5" t="s">
        <v>64</v>
      </c>
      <c r="B19" s="11" t="s">
        <v>40</v>
      </c>
      <c r="C19" s="3" t="s">
        <v>13</v>
      </c>
      <c r="D19" s="20">
        <f>D18*1.26</f>
        <v>12.9528</v>
      </c>
      <c r="E19" s="2"/>
      <c r="F19" s="13"/>
      <c r="G19" s="13"/>
      <c r="H19" s="1">
        <v>2827.08</v>
      </c>
      <c r="I19" s="13">
        <f>ROUND(H19*D19,2)</f>
        <v>36618.6</v>
      </c>
      <c r="J19" s="13">
        <f>ROUND(I19*1.2,2)</f>
        <v>43942.32</v>
      </c>
      <c r="K19" s="1">
        <f t="shared" si="6"/>
        <v>36618.6</v>
      </c>
      <c r="L19" s="13">
        <f t="shared" si="6"/>
        <v>43942.32</v>
      </c>
      <c r="M19" s="14"/>
    </row>
    <row r="20" spans="1:13" ht="20.25" customHeight="1" x14ac:dyDescent="0.25">
      <c r="A20" s="73"/>
      <c r="B20" s="76" t="s">
        <v>65</v>
      </c>
      <c r="C20" s="67"/>
      <c r="D20" s="74"/>
      <c r="E20" s="75"/>
      <c r="F20" s="71"/>
      <c r="G20" s="71"/>
      <c r="H20" s="72"/>
      <c r="I20" s="71"/>
      <c r="J20" s="71"/>
      <c r="K20" s="72"/>
      <c r="L20" s="71"/>
      <c r="M20" s="14"/>
    </row>
    <row r="21" spans="1:13" ht="18" customHeight="1" x14ac:dyDescent="0.25">
      <c r="A21" s="9">
        <f>A18+1</f>
        <v>9</v>
      </c>
      <c r="B21" s="41" t="s">
        <v>49</v>
      </c>
      <c r="C21" s="18" t="s">
        <v>13</v>
      </c>
      <c r="D21" s="19">
        <v>2.84</v>
      </c>
      <c r="E21" s="42">
        <v>3780.0499999999997</v>
      </c>
      <c r="F21" s="30">
        <v>27480.959999999999</v>
      </c>
      <c r="G21" s="30">
        <v>32977.15</v>
      </c>
      <c r="H21" s="8"/>
      <c r="I21" s="6"/>
      <c r="J21" s="6"/>
      <c r="K21" s="7">
        <v>27480.959999999999</v>
      </c>
      <c r="L21" s="6">
        <v>32977.15</v>
      </c>
      <c r="M21" s="14"/>
    </row>
    <row r="22" spans="1:13" ht="18" customHeight="1" x14ac:dyDescent="0.25">
      <c r="A22" s="5" t="s">
        <v>66</v>
      </c>
      <c r="B22" s="11" t="s">
        <v>48</v>
      </c>
      <c r="C22" s="3" t="s">
        <v>13</v>
      </c>
      <c r="D22" s="20">
        <f>D21*1.02</f>
        <v>2.8967999999999998</v>
      </c>
      <c r="E22" s="2"/>
      <c r="F22" s="43"/>
      <c r="G22" s="43"/>
      <c r="H22" s="1">
        <v>4807</v>
      </c>
      <c r="I22" s="43">
        <f>ROUND(H22*D22,2)</f>
        <v>13924.92</v>
      </c>
      <c r="J22" s="43">
        <f>ROUND(I22*1.2,2)</f>
        <v>16709.900000000001</v>
      </c>
      <c r="K22" s="44">
        <f t="shared" ref="K22:L26" si="8">F22+I22</f>
        <v>13924.92</v>
      </c>
      <c r="L22" s="43">
        <f t="shared" si="8"/>
        <v>16709.900000000001</v>
      </c>
      <c r="M22" s="14"/>
    </row>
    <row r="23" spans="1:13" ht="20.25" customHeight="1" x14ac:dyDescent="0.25">
      <c r="A23" s="9">
        <f>A21+1</f>
        <v>10</v>
      </c>
      <c r="B23" s="15" t="s">
        <v>43</v>
      </c>
      <c r="C23" s="9" t="s">
        <v>18</v>
      </c>
      <c r="D23" s="31">
        <v>9.16</v>
      </c>
      <c r="E23" s="7">
        <v>144.4</v>
      </c>
      <c r="F23" s="6">
        <f>ROUND(E23*D23,2)</f>
        <v>1322.7</v>
      </c>
      <c r="G23" s="6">
        <f t="shared" ref="G23" si="9">ROUND(F23*1.2,2)</f>
        <v>1587.24</v>
      </c>
      <c r="H23" s="7"/>
      <c r="I23" s="6"/>
      <c r="J23" s="6"/>
      <c r="K23" s="7">
        <f t="shared" si="8"/>
        <v>1322.7</v>
      </c>
      <c r="L23" s="6">
        <f t="shared" si="8"/>
        <v>1587.24</v>
      </c>
      <c r="M23" s="14"/>
    </row>
    <row r="24" spans="1:13" ht="17.25" customHeight="1" x14ac:dyDescent="0.25">
      <c r="A24" s="5" t="s">
        <v>20</v>
      </c>
      <c r="B24" s="4" t="s">
        <v>41</v>
      </c>
      <c r="C24" s="3" t="s">
        <v>19</v>
      </c>
      <c r="D24" s="32">
        <f>D23*0.3*20/16</f>
        <v>3.4349999999999996</v>
      </c>
      <c r="E24" s="1"/>
      <c r="F24" s="13"/>
      <c r="G24" s="13"/>
      <c r="H24" s="37">
        <v>237.5</v>
      </c>
      <c r="I24" s="13">
        <f>ROUND(H24*D24,2)</f>
        <v>815.81</v>
      </c>
      <c r="J24" s="13">
        <f t="shared" ref="J24" si="10">ROUND(I24*1.2,2)</f>
        <v>978.97</v>
      </c>
      <c r="K24" s="1">
        <f t="shared" si="8"/>
        <v>815.81</v>
      </c>
      <c r="L24" s="13">
        <f t="shared" si="8"/>
        <v>978.97</v>
      </c>
      <c r="M24" s="14"/>
    </row>
    <row r="25" spans="1:13" ht="21.75" customHeight="1" x14ac:dyDescent="0.25">
      <c r="A25" s="9">
        <f>A23+1</f>
        <v>11</v>
      </c>
      <c r="B25" s="15" t="s">
        <v>44</v>
      </c>
      <c r="C25" s="9" t="s">
        <v>18</v>
      </c>
      <c r="D25" s="31">
        <v>42.78</v>
      </c>
      <c r="E25" s="7">
        <v>299.76</v>
      </c>
      <c r="F25" s="6">
        <f>ROUND(E25*D25,2)</f>
        <v>12823.73</v>
      </c>
      <c r="G25" s="6">
        <f t="shared" ref="G25" si="11">ROUND(F25*1.2,2)</f>
        <v>15388.48</v>
      </c>
      <c r="H25" s="7"/>
      <c r="I25" s="6"/>
      <c r="J25" s="6"/>
      <c r="K25" s="7">
        <f t="shared" si="8"/>
        <v>12823.73</v>
      </c>
      <c r="L25" s="6">
        <f t="shared" si="8"/>
        <v>15388.48</v>
      </c>
      <c r="M25" s="14"/>
    </row>
    <row r="26" spans="1:13" x14ac:dyDescent="0.25">
      <c r="A26" s="5" t="s">
        <v>50</v>
      </c>
      <c r="B26" s="4" t="s">
        <v>42</v>
      </c>
      <c r="C26" s="3" t="s">
        <v>17</v>
      </c>
      <c r="D26" s="20">
        <f>D25*0.7*2</f>
        <v>59.891999999999996</v>
      </c>
      <c r="E26" s="1"/>
      <c r="F26" s="13"/>
      <c r="G26" s="13"/>
      <c r="H26" s="37">
        <v>296.39999999999998</v>
      </c>
      <c r="I26" s="13">
        <f t="shared" ref="I26" si="12">ROUND(H26*D26,2)</f>
        <v>17751.990000000002</v>
      </c>
      <c r="J26" s="13">
        <f t="shared" ref="J26" si="13">ROUND(I26*1.2,2)</f>
        <v>21302.39</v>
      </c>
      <c r="K26" s="1">
        <f t="shared" si="8"/>
        <v>17751.990000000002</v>
      </c>
      <c r="L26" s="13">
        <f t="shared" si="8"/>
        <v>21302.39</v>
      </c>
      <c r="M26" s="14"/>
    </row>
    <row r="27" spans="1:13" ht="20.25" customHeight="1" x14ac:dyDescent="0.25">
      <c r="A27" s="5"/>
      <c r="B27" s="12" t="s">
        <v>84</v>
      </c>
      <c r="C27" s="9"/>
      <c r="D27" s="17"/>
      <c r="E27" s="8"/>
      <c r="F27" s="6"/>
      <c r="G27" s="6"/>
      <c r="H27" s="7"/>
      <c r="I27" s="6"/>
      <c r="J27" s="6"/>
      <c r="K27" s="7"/>
      <c r="L27" s="6"/>
      <c r="M27" s="14"/>
    </row>
    <row r="28" spans="1:13" ht="21" customHeight="1" x14ac:dyDescent="0.25">
      <c r="A28" s="9">
        <f>A25+1</f>
        <v>12</v>
      </c>
      <c r="B28" s="16" t="s">
        <v>68</v>
      </c>
      <c r="C28" s="18" t="s">
        <v>13</v>
      </c>
      <c r="D28" s="19">
        <f>4.56*3</f>
        <v>13.68</v>
      </c>
      <c r="E28" s="59">
        <v>8275.4499999999989</v>
      </c>
      <c r="F28" s="6">
        <f>ROUND(E28*D28,2)</f>
        <v>113208.16</v>
      </c>
      <c r="G28" s="6">
        <f t="shared" ref="G28" si="14">ROUND(F28*1.2,2)</f>
        <v>135849.79</v>
      </c>
      <c r="H28" s="7"/>
      <c r="I28" s="6"/>
      <c r="J28" s="6"/>
      <c r="K28" s="7">
        <f t="shared" ref="K28:L38" si="15">F28+I28</f>
        <v>113208.16</v>
      </c>
      <c r="L28" s="6">
        <f t="shared" si="15"/>
        <v>135849.79</v>
      </c>
      <c r="M28" s="14"/>
    </row>
    <row r="29" spans="1:13" ht="20.25" customHeight="1" x14ac:dyDescent="0.25">
      <c r="A29" s="5" t="s">
        <v>51</v>
      </c>
      <c r="B29" s="4" t="s">
        <v>67</v>
      </c>
      <c r="C29" s="3" t="s">
        <v>13</v>
      </c>
      <c r="D29" s="20">
        <f>D28*1.02</f>
        <v>13.9536</v>
      </c>
      <c r="E29" s="2"/>
      <c r="F29" s="13"/>
      <c r="G29" s="13"/>
      <c r="H29" s="1">
        <v>5808.3</v>
      </c>
      <c r="I29" s="13">
        <f t="shared" ref="I29:I34" si="16">ROUND(H29*D29,2)</f>
        <v>81046.69</v>
      </c>
      <c r="J29" s="13">
        <f t="shared" ref="J29:J34" si="17">ROUND(I29*1.2,2)</f>
        <v>97256.03</v>
      </c>
      <c r="K29" s="1">
        <f t="shared" si="15"/>
        <v>81046.69</v>
      </c>
      <c r="L29" s="13">
        <f t="shared" si="15"/>
        <v>97256.03</v>
      </c>
      <c r="M29" s="14"/>
    </row>
    <row r="30" spans="1:13" ht="20.25" customHeight="1" x14ac:dyDescent="0.25">
      <c r="A30" s="5" t="s">
        <v>74</v>
      </c>
      <c r="B30" s="4" t="s">
        <v>69</v>
      </c>
      <c r="C30" s="3" t="s">
        <v>17</v>
      </c>
      <c r="D30" s="20">
        <f>(14.292+6.88+24.512+11.48)*3</f>
        <v>171.49200000000002</v>
      </c>
      <c r="E30" s="2"/>
      <c r="F30" s="13"/>
      <c r="G30" s="13"/>
      <c r="H30" s="1">
        <v>80.75</v>
      </c>
      <c r="I30" s="13">
        <f t="shared" si="16"/>
        <v>13847.98</v>
      </c>
      <c r="J30" s="13">
        <f t="shared" si="17"/>
        <v>16617.580000000002</v>
      </c>
      <c r="K30" s="1">
        <f t="shared" si="15"/>
        <v>13847.98</v>
      </c>
      <c r="L30" s="13">
        <f t="shared" si="15"/>
        <v>16617.580000000002</v>
      </c>
      <c r="M30" s="14"/>
    </row>
    <row r="31" spans="1:13" ht="20.25" customHeight="1" x14ac:dyDescent="0.25">
      <c r="A31" s="5" t="s">
        <v>75</v>
      </c>
      <c r="B31" s="4" t="s">
        <v>70</v>
      </c>
      <c r="C31" s="3" t="s">
        <v>17</v>
      </c>
      <c r="D31" s="20">
        <f>(77.2+76.12)*3</f>
        <v>459.96</v>
      </c>
      <c r="E31" s="2"/>
      <c r="F31" s="13"/>
      <c r="G31" s="13"/>
      <c r="H31" s="1">
        <v>80.75</v>
      </c>
      <c r="I31" s="13">
        <f t="shared" si="16"/>
        <v>37141.769999999997</v>
      </c>
      <c r="J31" s="13">
        <f t="shared" si="17"/>
        <v>44570.12</v>
      </c>
      <c r="K31" s="1">
        <f t="shared" si="15"/>
        <v>37141.769999999997</v>
      </c>
      <c r="L31" s="13">
        <f t="shared" si="15"/>
        <v>44570.12</v>
      </c>
      <c r="M31" s="14"/>
    </row>
    <row r="32" spans="1:13" ht="20.25" customHeight="1" x14ac:dyDescent="0.25">
      <c r="A32" s="5" t="s">
        <v>76</v>
      </c>
      <c r="B32" s="4" t="s">
        <v>71</v>
      </c>
      <c r="C32" s="3" t="s">
        <v>17</v>
      </c>
      <c r="D32" s="46">
        <f>55.536*3</f>
        <v>166.608</v>
      </c>
      <c r="E32" s="2"/>
      <c r="F32" s="13"/>
      <c r="G32" s="13"/>
      <c r="H32" s="1">
        <v>80.75</v>
      </c>
      <c r="I32" s="13">
        <f t="shared" si="16"/>
        <v>13453.6</v>
      </c>
      <c r="J32" s="13">
        <f t="shared" si="17"/>
        <v>16144.32</v>
      </c>
      <c r="K32" s="1">
        <f t="shared" si="15"/>
        <v>13453.6</v>
      </c>
      <c r="L32" s="13">
        <f t="shared" si="15"/>
        <v>16144.32</v>
      </c>
      <c r="M32" s="14"/>
    </row>
    <row r="33" spans="1:13" ht="20.25" customHeight="1" x14ac:dyDescent="0.25">
      <c r="A33" s="5" t="s">
        <v>77</v>
      </c>
      <c r="B33" s="4" t="s">
        <v>72</v>
      </c>
      <c r="C33" s="3" t="s">
        <v>17</v>
      </c>
      <c r="D33" s="20">
        <f>54.16*3</f>
        <v>162.47999999999999</v>
      </c>
      <c r="E33" s="2"/>
      <c r="F33" s="13"/>
      <c r="G33" s="13"/>
      <c r="H33" s="1">
        <v>80.75</v>
      </c>
      <c r="I33" s="13">
        <f t="shared" si="16"/>
        <v>13120.26</v>
      </c>
      <c r="J33" s="13">
        <f t="shared" si="17"/>
        <v>15744.31</v>
      </c>
      <c r="K33" s="1">
        <f t="shared" si="15"/>
        <v>13120.26</v>
      </c>
      <c r="L33" s="13">
        <f t="shared" si="15"/>
        <v>15744.31</v>
      </c>
      <c r="M33" s="14"/>
    </row>
    <row r="34" spans="1:13" ht="20.25" customHeight="1" x14ac:dyDescent="0.25">
      <c r="A34" s="5" t="s">
        <v>78</v>
      </c>
      <c r="B34" s="4" t="s">
        <v>73</v>
      </c>
      <c r="C34" s="3" t="s">
        <v>17</v>
      </c>
      <c r="D34" s="20">
        <f>(3.6+5.12)*3</f>
        <v>26.160000000000004</v>
      </c>
      <c r="E34" s="2"/>
      <c r="F34" s="13"/>
      <c r="G34" s="13"/>
      <c r="H34" s="1">
        <v>71.25</v>
      </c>
      <c r="I34" s="13">
        <f t="shared" si="16"/>
        <v>1863.9</v>
      </c>
      <c r="J34" s="13">
        <f t="shared" si="17"/>
        <v>2236.6799999999998</v>
      </c>
      <c r="K34" s="1">
        <f t="shared" si="15"/>
        <v>1863.9</v>
      </c>
      <c r="L34" s="13">
        <f t="shared" si="15"/>
        <v>2236.6799999999998</v>
      </c>
      <c r="M34" s="14"/>
    </row>
    <row r="35" spans="1:13" ht="20.25" customHeight="1" x14ac:dyDescent="0.25">
      <c r="A35" s="9">
        <f>A28+1</f>
        <v>13</v>
      </c>
      <c r="B35" s="15" t="s">
        <v>43</v>
      </c>
      <c r="C35" s="9" t="s">
        <v>18</v>
      </c>
      <c r="D35" s="31">
        <f>16.45+17.11+17.11</f>
        <v>50.67</v>
      </c>
      <c r="E35" s="7">
        <v>144.4</v>
      </c>
      <c r="F35" s="6">
        <f>ROUND(E35*D35,2)</f>
        <v>7316.75</v>
      </c>
      <c r="G35" s="6">
        <f t="shared" ref="G35" si="18">ROUND(F35*1.2,2)</f>
        <v>8780.1</v>
      </c>
      <c r="H35" s="7"/>
      <c r="I35" s="6"/>
      <c r="J35" s="6"/>
      <c r="K35" s="7">
        <f t="shared" si="15"/>
        <v>7316.75</v>
      </c>
      <c r="L35" s="6">
        <f t="shared" si="15"/>
        <v>8780.1</v>
      </c>
      <c r="M35" s="14"/>
    </row>
    <row r="36" spans="1:13" ht="17.25" customHeight="1" x14ac:dyDescent="0.25">
      <c r="A36" s="5" t="s">
        <v>79</v>
      </c>
      <c r="B36" s="4" t="s">
        <v>41</v>
      </c>
      <c r="C36" s="3" t="s">
        <v>19</v>
      </c>
      <c r="D36" s="32">
        <f>D35*0.3*20/16</f>
        <v>19.001249999999999</v>
      </c>
      <c r="E36" s="1"/>
      <c r="F36" s="13"/>
      <c r="G36" s="13"/>
      <c r="H36" s="37">
        <v>237.5</v>
      </c>
      <c r="I36" s="13">
        <f>ROUND(H36*D36,2)</f>
        <v>4512.8</v>
      </c>
      <c r="J36" s="13">
        <f t="shared" ref="J36" si="19">ROUND(I36*1.2,2)</f>
        <v>5415.36</v>
      </c>
      <c r="K36" s="1">
        <f t="shared" si="15"/>
        <v>4512.8</v>
      </c>
      <c r="L36" s="13">
        <f t="shared" si="15"/>
        <v>5415.36</v>
      </c>
      <c r="M36" s="14"/>
    </row>
    <row r="37" spans="1:13" ht="21.75" customHeight="1" x14ac:dyDescent="0.25">
      <c r="A37" s="9">
        <f>A35+1</f>
        <v>14</v>
      </c>
      <c r="B37" s="15" t="s">
        <v>44</v>
      </c>
      <c r="C37" s="9" t="s">
        <v>18</v>
      </c>
      <c r="D37" s="31">
        <f>16.45+17.11+17.11</f>
        <v>50.67</v>
      </c>
      <c r="E37" s="7">
        <v>299.76</v>
      </c>
      <c r="F37" s="6">
        <f>ROUND(E37*D37,2)</f>
        <v>15188.84</v>
      </c>
      <c r="G37" s="6">
        <f t="shared" ref="G37" si="20">ROUND(F37*1.2,2)</f>
        <v>18226.61</v>
      </c>
      <c r="H37" s="7"/>
      <c r="I37" s="6"/>
      <c r="J37" s="6"/>
      <c r="K37" s="7">
        <f t="shared" si="15"/>
        <v>15188.84</v>
      </c>
      <c r="L37" s="6">
        <f t="shared" si="15"/>
        <v>18226.61</v>
      </c>
      <c r="M37" s="14"/>
    </row>
    <row r="38" spans="1:13" x14ac:dyDescent="0.25">
      <c r="A38" s="5" t="s">
        <v>80</v>
      </c>
      <c r="B38" s="4" t="s">
        <v>42</v>
      </c>
      <c r="C38" s="3" t="s">
        <v>17</v>
      </c>
      <c r="D38" s="20">
        <f>D37*0.7*2</f>
        <v>70.938000000000002</v>
      </c>
      <c r="E38" s="1"/>
      <c r="F38" s="13"/>
      <c r="G38" s="13"/>
      <c r="H38" s="37">
        <v>296.39999999999998</v>
      </c>
      <c r="I38" s="13">
        <f t="shared" ref="I38" si="21">ROUND(H38*D38,2)</f>
        <v>21026.02</v>
      </c>
      <c r="J38" s="13">
        <f t="shared" ref="J38" si="22">ROUND(I38*1.2,2)</f>
        <v>25231.22</v>
      </c>
      <c r="K38" s="1">
        <f t="shared" si="15"/>
        <v>21026.02</v>
      </c>
      <c r="L38" s="13">
        <f t="shared" si="15"/>
        <v>25231.22</v>
      </c>
      <c r="M38" s="14"/>
    </row>
    <row r="39" spans="1:13" ht="20.25" customHeight="1" x14ac:dyDescent="0.25">
      <c r="A39" s="5"/>
      <c r="B39" s="60" t="s">
        <v>85</v>
      </c>
      <c r="C39" s="9"/>
      <c r="D39" s="17"/>
      <c r="E39" s="8"/>
      <c r="F39" s="6"/>
      <c r="G39" s="6"/>
      <c r="H39" s="7"/>
      <c r="I39" s="6"/>
      <c r="J39" s="6"/>
      <c r="K39" s="7"/>
      <c r="L39" s="6"/>
      <c r="M39" s="14"/>
    </row>
    <row r="40" spans="1:13" ht="20.25" customHeight="1" x14ac:dyDescent="0.25">
      <c r="A40" s="73"/>
      <c r="B40" s="68" t="s">
        <v>86</v>
      </c>
      <c r="C40" s="67"/>
      <c r="D40" s="74"/>
      <c r="E40" s="75"/>
      <c r="F40" s="71"/>
      <c r="G40" s="71"/>
      <c r="H40" s="72"/>
      <c r="I40" s="71"/>
      <c r="J40" s="71"/>
      <c r="K40" s="72"/>
      <c r="L40" s="71"/>
      <c r="M40" s="14"/>
    </row>
    <row r="41" spans="1:13" ht="20.25" customHeight="1" x14ac:dyDescent="0.25">
      <c r="A41" s="5"/>
      <c r="B41" s="60" t="s">
        <v>91</v>
      </c>
      <c r="C41" s="9"/>
      <c r="D41" s="17"/>
      <c r="E41" s="8"/>
      <c r="F41" s="6"/>
      <c r="G41" s="6"/>
      <c r="H41" s="7"/>
      <c r="I41" s="6"/>
      <c r="J41" s="6"/>
      <c r="K41" s="7"/>
      <c r="L41" s="6"/>
      <c r="M41" s="14"/>
    </row>
    <row r="42" spans="1:13" ht="20.25" customHeight="1" x14ac:dyDescent="0.25">
      <c r="A42" s="9">
        <f>A37+1</f>
        <v>15</v>
      </c>
      <c r="B42" s="10" t="s">
        <v>94</v>
      </c>
      <c r="C42" s="9" t="s">
        <v>1</v>
      </c>
      <c r="D42" s="22">
        <v>2</v>
      </c>
      <c r="E42" s="45">
        <v>145078.29999999999</v>
      </c>
      <c r="F42" s="6">
        <f>ROUND(E42*D42,2)</f>
        <v>290156.59999999998</v>
      </c>
      <c r="G42" s="6">
        <f t="shared" ref="G42" si="23">ROUND(F42*1.2,2)</f>
        <v>348187.92</v>
      </c>
      <c r="H42" s="7"/>
      <c r="I42" s="6"/>
      <c r="J42" s="6"/>
      <c r="K42" s="7">
        <f t="shared" ref="K42:L46" si="24">F42+I42</f>
        <v>290156.59999999998</v>
      </c>
      <c r="L42" s="6">
        <f t="shared" si="24"/>
        <v>348187.92</v>
      </c>
      <c r="M42" s="61" t="s">
        <v>90</v>
      </c>
    </row>
    <row r="43" spans="1:13" ht="20.25" customHeight="1" x14ac:dyDescent="0.25">
      <c r="A43" s="5" t="s">
        <v>81</v>
      </c>
      <c r="B43" s="47" t="s">
        <v>87</v>
      </c>
      <c r="C43" s="3" t="s">
        <v>17</v>
      </c>
      <c r="D43" s="20">
        <v>144</v>
      </c>
      <c r="E43" s="2"/>
      <c r="F43" s="13"/>
      <c r="G43" s="13"/>
      <c r="H43" s="1"/>
      <c r="I43" s="13">
        <f t="shared" ref="I43:I45" si="25">ROUND(H43*D43,2)</f>
        <v>0</v>
      </c>
      <c r="J43" s="13">
        <f t="shared" ref="J43:J45" si="26">ROUND(I43*1.2,2)</f>
        <v>0</v>
      </c>
      <c r="K43" s="1">
        <f t="shared" si="24"/>
        <v>0</v>
      </c>
      <c r="L43" s="13">
        <f t="shared" si="24"/>
        <v>0</v>
      </c>
      <c r="M43" s="14"/>
    </row>
    <row r="44" spans="1:13" ht="20.25" customHeight="1" x14ac:dyDescent="0.25">
      <c r="A44" s="5" t="s">
        <v>82</v>
      </c>
      <c r="B44" s="47" t="s">
        <v>88</v>
      </c>
      <c r="C44" s="3" t="s">
        <v>17</v>
      </c>
      <c r="D44" s="20">
        <v>467.15</v>
      </c>
      <c r="E44" s="2"/>
      <c r="F44" s="13"/>
      <c r="G44" s="13"/>
      <c r="H44" s="1"/>
      <c r="I44" s="13">
        <f t="shared" si="25"/>
        <v>0</v>
      </c>
      <c r="J44" s="13">
        <f t="shared" si="26"/>
        <v>0</v>
      </c>
      <c r="K44" s="1">
        <f t="shared" si="24"/>
        <v>0</v>
      </c>
      <c r="L44" s="13">
        <f t="shared" si="24"/>
        <v>0</v>
      </c>
      <c r="M44" s="14"/>
    </row>
    <row r="45" spans="1:13" ht="20.25" customHeight="1" x14ac:dyDescent="0.25">
      <c r="A45" s="5" t="s">
        <v>83</v>
      </c>
      <c r="B45" s="47" t="s">
        <v>89</v>
      </c>
      <c r="C45" s="3" t="s">
        <v>17</v>
      </c>
      <c r="D45" s="20">
        <v>179.1</v>
      </c>
      <c r="E45" s="2"/>
      <c r="F45" s="13"/>
      <c r="G45" s="13"/>
      <c r="H45" s="1"/>
      <c r="I45" s="13">
        <f t="shared" si="25"/>
        <v>0</v>
      </c>
      <c r="J45" s="13">
        <f t="shared" si="26"/>
        <v>0</v>
      </c>
      <c r="K45" s="1">
        <f t="shared" si="24"/>
        <v>0</v>
      </c>
      <c r="L45" s="13">
        <f t="shared" si="24"/>
        <v>0</v>
      </c>
      <c r="M45" s="14"/>
    </row>
    <row r="46" spans="1:13" ht="20.25" customHeight="1" x14ac:dyDescent="0.25">
      <c r="A46" s="9">
        <f>A42+1</f>
        <v>16</v>
      </c>
      <c r="B46" s="10" t="s">
        <v>92</v>
      </c>
      <c r="C46" s="9" t="s">
        <v>1</v>
      </c>
      <c r="D46" s="17">
        <v>1</v>
      </c>
      <c r="E46" s="7">
        <v>228071.67999999999</v>
      </c>
      <c r="F46" s="6">
        <f>ROUND(E46*D46,2)</f>
        <v>228071.67999999999</v>
      </c>
      <c r="G46" s="6">
        <f t="shared" ref="G46" si="27">ROUND(F46*1.2,2)</f>
        <v>273686.02</v>
      </c>
      <c r="H46" s="7"/>
      <c r="I46" s="6"/>
      <c r="J46" s="6"/>
      <c r="K46" s="7">
        <f t="shared" si="24"/>
        <v>228071.67999999999</v>
      </c>
      <c r="L46" s="6">
        <f t="shared" si="24"/>
        <v>273686.02</v>
      </c>
      <c r="M46" s="14"/>
    </row>
    <row r="47" spans="1:13" ht="20.25" customHeight="1" x14ac:dyDescent="0.25">
      <c r="A47" s="5"/>
      <c r="B47" s="60" t="s">
        <v>93</v>
      </c>
      <c r="C47" s="9"/>
      <c r="D47" s="17"/>
      <c r="E47" s="8"/>
      <c r="F47" s="6"/>
      <c r="G47" s="6"/>
      <c r="H47" s="7"/>
      <c r="I47" s="6"/>
      <c r="J47" s="6"/>
      <c r="K47" s="7"/>
      <c r="L47" s="6"/>
      <c r="M47" s="14"/>
    </row>
    <row r="48" spans="1:13" ht="20.25" customHeight="1" x14ac:dyDescent="0.25">
      <c r="A48" s="9">
        <f>A46+1</f>
        <v>17</v>
      </c>
      <c r="B48" s="10" t="s">
        <v>95</v>
      </c>
      <c r="C48" s="9" t="s">
        <v>1</v>
      </c>
      <c r="D48" s="22">
        <v>1</v>
      </c>
      <c r="E48" s="45">
        <v>145078.29999999999</v>
      </c>
      <c r="F48" s="6">
        <f>ROUND(E48*D48,2)</f>
        <v>145078.29999999999</v>
      </c>
      <c r="G48" s="6">
        <f t="shared" ref="G48" si="28">ROUND(F48*1.2,2)</f>
        <v>174093.96</v>
      </c>
      <c r="H48" s="7"/>
      <c r="I48" s="6"/>
      <c r="J48" s="6"/>
      <c r="K48" s="7">
        <f t="shared" ref="K48:L52" si="29">F48+I48</f>
        <v>145078.29999999999</v>
      </c>
      <c r="L48" s="6">
        <f t="shared" si="29"/>
        <v>174093.96</v>
      </c>
      <c r="M48" s="61" t="s">
        <v>90</v>
      </c>
    </row>
    <row r="49" spans="1:13" ht="20.25" customHeight="1" x14ac:dyDescent="0.25">
      <c r="A49" s="5" t="s">
        <v>16</v>
      </c>
      <c r="B49" s="47" t="s">
        <v>87</v>
      </c>
      <c r="C49" s="3" t="s">
        <v>17</v>
      </c>
      <c r="D49" s="20">
        <v>72</v>
      </c>
      <c r="E49" s="2"/>
      <c r="F49" s="13"/>
      <c r="G49" s="13"/>
      <c r="H49" s="1"/>
      <c r="I49" s="13">
        <f t="shared" ref="I49:I51" si="30">ROUND(H49*D49,2)</f>
        <v>0</v>
      </c>
      <c r="J49" s="13">
        <f t="shared" ref="J49:J51" si="31">ROUND(I49*1.2,2)</f>
        <v>0</v>
      </c>
      <c r="K49" s="1">
        <f t="shared" si="29"/>
        <v>0</v>
      </c>
      <c r="L49" s="13">
        <f t="shared" si="29"/>
        <v>0</v>
      </c>
      <c r="M49" s="14"/>
    </row>
    <row r="50" spans="1:13" ht="20.25" customHeight="1" x14ac:dyDescent="0.25">
      <c r="A50" s="5" t="s">
        <v>97</v>
      </c>
      <c r="B50" s="47" t="s">
        <v>88</v>
      </c>
      <c r="C50" s="3" t="s">
        <v>17</v>
      </c>
      <c r="D50" s="20">
        <v>116.79</v>
      </c>
      <c r="E50" s="2"/>
      <c r="F50" s="13"/>
      <c r="G50" s="13"/>
      <c r="H50" s="1"/>
      <c r="I50" s="13">
        <f t="shared" si="30"/>
        <v>0</v>
      </c>
      <c r="J50" s="13">
        <f t="shared" si="31"/>
        <v>0</v>
      </c>
      <c r="K50" s="1">
        <f t="shared" si="29"/>
        <v>0</v>
      </c>
      <c r="L50" s="13">
        <f t="shared" si="29"/>
        <v>0</v>
      </c>
      <c r="M50" s="14"/>
    </row>
    <row r="51" spans="1:13" ht="20.25" customHeight="1" x14ac:dyDescent="0.25">
      <c r="A51" s="5" t="s">
        <v>98</v>
      </c>
      <c r="B51" s="47" t="s">
        <v>89</v>
      </c>
      <c r="C51" s="3" t="s">
        <v>17</v>
      </c>
      <c r="D51" s="20">
        <v>17.91</v>
      </c>
      <c r="E51" s="2"/>
      <c r="F51" s="13"/>
      <c r="G51" s="13"/>
      <c r="H51" s="1"/>
      <c r="I51" s="13">
        <f t="shared" si="30"/>
        <v>0</v>
      </c>
      <c r="J51" s="13">
        <f t="shared" si="31"/>
        <v>0</v>
      </c>
      <c r="K51" s="1">
        <f t="shared" si="29"/>
        <v>0</v>
      </c>
      <c r="L51" s="13">
        <f t="shared" si="29"/>
        <v>0</v>
      </c>
      <c r="M51" s="14"/>
    </row>
    <row r="52" spans="1:13" ht="20.25" customHeight="1" x14ac:dyDescent="0.25">
      <c r="A52" s="9">
        <f>A48+1</f>
        <v>18</v>
      </c>
      <c r="B52" s="10" t="s">
        <v>106</v>
      </c>
      <c r="C52" s="9" t="s">
        <v>1</v>
      </c>
      <c r="D52" s="22">
        <v>1</v>
      </c>
      <c r="E52" s="45">
        <v>228071.67999999999</v>
      </c>
      <c r="F52" s="6">
        <f>ROUND(E52*D52,2)</f>
        <v>228071.67999999999</v>
      </c>
      <c r="G52" s="6">
        <f t="shared" ref="G52" si="32">ROUND(F52*1.2,2)</f>
        <v>273686.02</v>
      </c>
      <c r="H52" s="7"/>
      <c r="I52" s="6"/>
      <c r="J52" s="6"/>
      <c r="K52" s="7">
        <f t="shared" si="29"/>
        <v>228071.67999999999</v>
      </c>
      <c r="L52" s="6">
        <f t="shared" si="29"/>
        <v>273686.02</v>
      </c>
      <c r="M52" s="61" t="s">
        <v>96</v>
      </c>
    </row>
    <row r="53" spans="1:13" ht="20.25" customHeight="1" x14ac:dyDescent="0.25">
      <c r="A53" s="9"/>
      <c r="B53" s="60" t="s">
        <v>99</v>
      </c>
      <c r="C53" s="9"/>
      <c r="D53" s="22"/>
      <c r="E53" s="45"/>
      <c r="F53" s="6"/>
      <c r="G53" s="6"/>
      <c r="H53" s="7"/>
      <c r="I53" s="6"/>
      <c r="J53" s="6"/>
      <c r="K53" s="7"/>
      <c r="L53" s="6"/>
      <c r="M53" s="61"/>
    </row>
    <row r="54" spans="1:13" ht="20.25" customHeight="1" x14ac:dyDescent="0.25">
      <c r="A54" s="9">
        <f>A52+1</f>
        <v>19</v>
      </c>
      <c r="B54" s="10" t="s">
        <v>107</v>
      </c>
      <c r="C54" s="9" t="s">
        <v>1</v>
      </c>
      <c r="D54" s="22">
        <v>1</v>
      </c>
      <c r="E54" s="45">
        <v>228071.67999999999</v>
      </c>
      <c r="F54" s="6">
        <f>ROUND(E54*D54,2)</f>
        <v>228071.67999999999</v>
      </c>
      <c r="G54" s="6">
        <f t="shared" ref="G54" si="33">ROUND(F54*1.2,2)</f>
        <v>273686.02</v>
      </c>
      <c r="H54" s="7"/>
      <c r="I54" s="6"/>
      <c r="J54" s="6"/>
      <c r="K54" s="7">
        <f t="shared" ref="K54:L54" si="34">F54+I54</f>
        <v>228071.67999999999</v>
      </c>
      <c r="L54" s="6">
        <f t="shared" si="34"/>
        <v>273686.02</v>
      </c>
      <c r="M54" s="61" t="s">
        <v>96</v>
      </c>
    </row>
    <row r="55" spans="1:13" ht="20.25" customHeight="1" x14ac:dyDescent="0.25">
      <c r="A55" s="9"/>
      <c r="B55" s="60" t="s">
        <v>100</v>
      </c>
      <c r="C55" s="9"/>
      <c r="D55" s="22"/>
      <c r="E55" s="45"/>
      <c r="F55" s="6"/>
      <c r="G55" s="6"/>
      <c r="H55" s="7"/>
      <c r="I55" s="6"/>
      <c r="J55" s="6"/>
      <c r="K55" s="7"/>
      <c r="L55" s="6"/>
      <c r="M55" s="61"/>
    </row>
    <row r="56" spans="1:13" ht="20.25" customHeight="1" x14ac:dyDescent="0.25">
      <c r="A56" s="9">
        <f>A54+1</f>
        <v>20</v>
      </c>
      <c r="B56" s="10" t="s">
        <v>101</v>
      </c>
      <c r="C56" s="9" t="s">
        <v>17</v>
      </c>
      <c r="D56" s="17">
        <v>936.72</v>
      </c>
      <c r="E56" s="7">
        <v>31.37</v>
      </c>
      <c r="F56" s="6">
        <f>ROUND(E56*D56,2)</f>
        <v>29384.91</v>
      </c>
      <c r="G56" s="6">
        <f t="shared" ref="G56" si="35">ROUND(F56*1.2,2)</f>
        <v>35261.89</v>
      </c>
      <c r="H56" s="7"/>
      <c r="I56" s="6"/>
      <c r="J56" s="6"/>
      <c r="K56" s="7">
        <f t="shared" ref="K56:L56" si="36">F56+I56</f>
        <v>29384.91</v>
      </c>
      <c r="L56" s="6">
        <f t="shared" si="36"/>
        <v>35261.89</v>
      </c>
      <c r="M56" s="61"/>
    </row>
    <row r="57" spans="1:13" ht="20.25" customHeight="1" x14ac:dyDescent="0.25">
      <c r="A57" s="9"/>
      <c r="B57" s="60" t="s">
        <v>102</v>
      </c>
      <c r="C57" s="9"/>
      <c r="D57" s="22"/>
      <c r="E57" s="45"/>
      <c r="F57" s="6"/>
      <c r="G57" s="6"/>
      <c r="H57" s="7"/>
      <c r="I57" s="6"/>
      <c r="J57" s="6"/>
      <c r="K57" s="7"/>
      <c r="L57" s="6"/>
      <c r="M57" s="61"/>
    </row>
    <row r="58" spans="1:13" ht="20.25" customHeight="1" x14ac:dyDescent="0.25">
      <c r="A58" s="9">
        <f>A56+1</f>
        <v>21</v>
      </c>
      <c r="B58" s="10" t="s">
        <v>104</v>
      </c>
      <c r="C58" s="9" t="s">
        <v>1</v>
      </c>
      <c r="D58" s="22">
        <v>3</v>
      </c>
      <c r="E58" s="45">
        <v>66175.81</v>
      </c>
      <c r="F58" s="6">
        <f>ROUND(E58*D58,2)</f>
        <v>198527.43</v>
      </c>
      <c r="G58" s="6">
        <f t="shared" ref="G58" si="37">ROUND(F58*1.2,2)</f>
        <v>238232.92</v>
      </c>
      <c r="H58" s="7"/>
      <c r="I58" s="6"/>
      <c r="J58" s="6"/>
      <c r="K58" s="7">
        <f t="shared" ref="K58:L58" si="38">F58+I58</f>
        <v>198527.43</v>
      </c>
      <c r="L58" s="6">
        <f t="shared" si="38"/>
        <v>238232.92</v>
      </c>
      <c r="M58" s="61" t="s">
        <v>103</v>
      </c>
    </row>
    <row r="59" spans="1:13" ht="20.25" customHeight="1" x14ac:dyDescent="0.25">
      <c r="A59" s="67"/>
      <c r="B59" s="68" t="s">
        <v>105</v>
      </c>
      <c r="C59" s="67"/>
      <c r="D59" s="69"/>
      <c r="E59" s="70"/>
      <c r="F59" s="71"/>
      <c r="G59" s="71"/>
      <c r="H59" s="72"/>
      <c r="I59" s="71"/>
      <c r="J59" s="71"/>
      <c r="K59" s="72"/>
      <c r="L59" s="71"/>
      <c r="M59" s="61"/>
    </row>
    <row r="60" spans="1:13" ht="20.25" customHeight="1" x14ac:dyDescent="0.25">
      <c r="A60" s="67"/>
      <c r="B60" s="68" t="s">
        <v>117</v>
      </c>
      <c r="C60" s="67"/>
      <c r="D60" s="69"/>
      <c r="E60" s="70"/>
      <c r="F60" s="71"/>
      <c r="G60" s="71"/>
      <c r="H60" s="72"/>
      <c r="I60" s="71"/>
      <c r="J60" s="71"/>
      <c r="K60" s="72"/>
      <c r="L60" s="71"/>
      <c r="M60" s="61"/>
    </row>
    <row r="61" spans="1:13" ht="20.25" customHeight="1" x14ac:dyDescent="0.25">
      <c r="A61" s="9">
        <f>A58+1</f>
        <v>22</v>
      </c>
      <c r="B61" s="10" t="s">
        <v>131</v>
      </c>
      <c r="C61" s="9" t="s">
        <v>1</v>
      </c>
      <c r="D61" s="22">
        <v>1</v>
      </c>
      <c r="E61" s="45">
        <v>145078.29999999999</v>
      </c>
      <c r="F61" s="6">
        <f>ROUND(E61*D61,2)</f>
        <v>145078.29999999999</v>
      </c>
      <c r="G61" s="6">
        <f t="shared" ref="G61" si="39">ROUND(F61*1.2,2)</f>
        <v>174093.96</v>
      </c>
      <c r="H61" s="7"/>
      <c r="I61" s="6"/>
      <c r="J61" s="6"/>
      <c r="K61" s="7">
        <f t="shared" ref="K61:L76" si="40">F61+I61</f>
        <v>145078.29999999999</v>
      </c>
      <c r="L61" s="6">
        <f t="shared" si="40"/>
        <v>174093.96</v>
      </c>
      <c r="M61" s="61" t="s">
        <v>90</v>
      </c>
    </row>
    <row r="62" spans="1:13" ht="20.25" customHeight="1" x14ac:dyDescent="0.25">
      <c r="A62" s="5" t="s">
        <v>15</v>
      </c>
      <c r="B62" s="11" t="s">
        <v>108</v>
      </c>
      <c r="C62" s="3" t="s">
        <v>17</v>
      </c>
      <c r="D62" s="32">
        <f>285.01</f>
        <v>285.01</v>
      </c>
      <c r="E62" s="2"/>
      <c r="F62" s="13"/>
      <c r="G62" s="13"/>
      <c r="H62" s="1">
        <v>87.399999999999991</v>
      </c>
      <c r="I62" s="13">
        <f t="shared" ref="I62:I66" si="41">ROUND(H62*D62,2)</f>
        <v>24909.87</v>
      </c>
      <c r="J62" s="13">
        <f t="shared" ref="J62:J66" si="42">ROUND(I62*1.2,2)</f>
        <v>29891.84</v>
      </c>
      <c r="K62" s="1">
        <f t="shared" si="40"/>
        <v>24909.87</v>
      </c>
      <c r="L62" s="13">
        <f t="shared" si="40"/>
        <v>29891.84</v>
      </c>
      <c r="M62" s="61"/>
    </row>
    <row r="63" spans="1:13" ht="20.25" customHeight="1" x14ac:dyDescent="0.25">
      <c r="A63" s="5" t="s">
        <v>114</v>
      </c>
      <c r="B63" s="11" t="s">
        <v>109</v>
      </c>
      <c r="C63" s="3" t="s">
        <v>17</v>
      </c>
      <c r="D63" s="32">
        <f>(73.12+65.85)</f>
        <v>138.97</v>
      </c>
      <c r="E63" s="2"/>
      <c r="F63" s="13"/>
      <c r="G63" s="13"/>
      <c r="H63" s="1">
        <v>71.25</v>
      </c>
      <c r="I63" s="13">
        <f t="shared" si="41"/>
        <v>9901.61</v>
      </c>
      <c r="J63" s="13">
        <f t="shared" si="42"/>
        <v>11881.93</v>
      </c>
      <c r="K63" s="1">
        <f t="shared" si="40"/>
        <v>9901.61</v>
      </c>
      <c r="L63" s="13">
        <f t="shared" si="40"/>
        <v>11881.93</v>
      </c>
      <c r="M63" s="61"/>
    </row>
    <row r="64" spans="1:13" ht="20.25" customHeight="1" x14ac:dyDescent="0.25">
      <c r="A64" s="5" t="s">
        <v>115</v>
      </c>
      <c r="B64" s="11" t="s">
        <v>111</v>
      </c>
      <c r="C64" s="3" t="s">
        <v>17</v>
      </c>
      <c r="D64" s="32">
        <f>(18.09+9.66+28.96+8.45+6.24+16.4+12.44)</f>
        <v>100.23999999999998</v>
      </c>
      <c r="E64" s="2"/>
      <c r="F64" s="13"/>
      <c r="G64" s="13"/>
      <c r="H64" s="1">
        <v>84.55</v>
      </c>
      <c r="I64" s="13">
        <f t="shared" si="41"/>
        <v>8475.2900000000009</v>
      </c>
      <c r="J64" s="13">
        <f t="shared" si="42"/>
        <v>10170.35</v>
      </c>
      <c r="K64" s="1">
        <f t="shared" si="40"/>
        <v>8475.2900000000009</v>
      </c>
      <c r="L64" s="13">
        <f t="shared" si="40"/>
        <v>10170.35</v>
      </c>
      <c r="M64" s="61"/>
    </row>
    <row r="65" spans="1:13" ht="20.25" customHeight="1" x14ac:dyDescent="0.25">
      <c r="A65" s="5" t="s">
        <v>116</v>
      </c>
      <c r="B65" s="11" t="s">
        <v>112</v>
      </c>
      <c r="C65" s="3" t="s">
        <v>17</v>
      </c>
      <c r="D65" s="32">
        <f>(78.5+98.12)</f>
        <v>176.62</v>
      </c>
      <c r="E65" s="2"/>
      <c r="F65" s="13"/>
      <c r="G65" s="13"/>
      <c r="H65" s="1">
        <v>84.55</v>
      </c>
      <c r="I65" s="13">
        <f t="shared" si="41"/>
        <v>14933.22</v>
      </c>
      <c r="J65" s="13">
        <f t="shared" si="42"/>
        <v>17919.86</v>
      </c>
      <c r="K65" s="1">
        <f t="shared" si="40"/>
        <v>14933.22</v>
      </c>
      <c r="L65" s="13">
        <f t="shared" si="40"/>
        <v>17919.86</v>
      </c>
      <c r="M65" s="14"/>
    </row>
    <row r="66" spans="1:13" ht="20.25" customHeight="1" x14ac:dyDescent="0.25">
      <c r="A66" s="5" t="s">
        <v>113</v>
      </c>
      <c r="B66" s="4" t="s">
        <v>134</v>
      </c>
      <c r="C66" s="3" t="s">
        <v>17</v>
      </c>
      <c r="D66" s="32">
        <v>21.01</v>
      </c>
      <c r="E66" s="2"/>
      <c r="F66" s="13"/>
      <c r="G66" s="13"/>
      <c r="H66" s="1"/>
      <c r="I66" s="13">
        <f t="shared" si="41"/>
        <v>0</v>
      </c>
      <c r="J66" s="13">
        <f t="shared" si="42"/>
        <v>0</v>
      </c>
      <c r="K66" s="1">
        <f t="shared" si="40"/>
        <v>0</v>
      </c>
      <c r="L66" s="13">
        <f t="shared" si="40"/>
        <v>0</v>
      </c>
      <c r="M66" s="14"/>
    </row>
    <row r="67" spans="1:13" ht="20.25" customHeight="1" x14ac:dyDescent="0.25">
      <c r="A67" s="9">
        <f>A61+1</f>
        <v>23</v>
      </c>
      <c r="B67" s="41" t="s">
        <v>130</v>
      </c>
      <c r="C67" s="9" t="s">
        <v>1</v>
      </c>
      <c r="D67" s="22">
        <v>1</v>
      </c>
      <c r="E67" s="65">
        <v>185043.85</v>
      </c>
      <c r="F67" s="6">
        <f>ROUND(E67*D67,2)</f>
        <v>185043.85</v>
      </c>
      <c r="G67" s="6">
        <f t="shared" ref="G67" si="43">ROUND(F67*1.2,2)</f>
        <v>222052.62</v>
      </c>
      <c r="H67" s="7"/>
      <c r="I67" s="6"/>
      <c r="J67" s="6"/>
      <c r="K67" s="7">
        <f t="shared" si="40"/>
        <v>185043.85</v>
      </c>
      <c r="L67" s="6">
        <f t="shared" si="40"/>
        <v>222052.62</v>
      </c>
      <c r="M67" s="61" t="s">
        <v>118</v>
      </c>
    </row>
    <row r="68" spans="1:13" ht="20.25" customHeight="1" x14ac:dyDescent="0.25">
      <c r="A68" s="5" t="s">
        <v>14</v>
      </c>
      <c r="B68" s="11" t="s">
        <v>119</v>
      </c>
      <c r="C68" s="3" t="s">
        <v>17</v>
      </c>
      <c r="D68" s="32">
        <f>(427.82+229.56+236.82)</f>
        <v>894.2</v>
      </c>
      <c r="E68" s="2"/>
      <c r="F68" s="13"/>
      <c r="G68" s="13"/>
      <c r="H68" s="1">
        <v>71.25</v>
      </c>
      <c r="I68" s="13">
        <f t="shared" ref="I68:I77" si="44">ROUND(H68*D68,2)</f>
        <v>63711.75</v>
      </c>
      <c r="J68" s="13">
        <f t="shared" ref="J68:J77" si="45">ROUND(I68*1.2,2)</f>
        <v>76454.100000000006</v>
      </c>
      <c r="K68" s="1">
        <f t="shared" si="40"/>
        <v>63711.75</v>
      </c>
      <c r="L68" s="13">
        <f t="shared" si="40"/>
        <v>76454.100000000006</v>
      </c>
      <c r="M68" s="14"/>
    </row>
    <row r="69" spans="1:13" ht="20.25" customHeight="1" x14ac:dyDescent="0.25">
      <c r="A69" s="5" t="s">
        <v>125</v>
      </c>
      <c r="B69" s="11" t="s">
        <v>120</v>
      </c>
      <c r="C69" s="3" t="s">
        <v>17</v>
      </c>
      <c r="D69" s="64">
        <f>147.2</f>
        <v>147.19999999999999</v>
      </c>
      <c r="E69" s="2"/>
      <c r="F69" s="13"/>
      <c r="G69" s="13"/>
      <c r="H69" s="1">
        <v>71.25</v>
      </c>
      <c r="I69" s="13">
        <f t="shared" si="44"/>
        <v>10488</v>
      </c>
      <c r="J69" s="13">
        <f t="shared" si="45"/>
        <v>12585.6</v>
      </c>
      <c r="K69" s="1">
        <f t="shared" si="40"/>
        <v>10488</v>
      </c>
      <c r="L69" s="13">
        <f t="shared" si="40"/>
        <v>12585.6</v>
      </c>
      <c r="M69" s="14"/>
    </row>
    <row r="70" spans="1:13" ht="20.25" customHeight="1" x14ac:dyDescent="0.25">
      <c r="A70" s="5" t="s">
        <v>126</v>
      </c>
      <c r="B70" s="11" t="s">
        <v>109</v>
      </c>
      <c r="C70" s="3" t="s">
        <v>17</v>
      </c>
      <c r="D70" s="64">
        <f>58.98</f>
        <v>58.98</v>
      </c>
      <c r="E70" s="2"/>
      <c r="F70" s="13"/>
      <c r="G70" s="13"/>
      <c r="H70" s="1">
        <v>71.25</v>
      </c>
      <c r="I70" s="13">
        <f t="shared" si="44"/>
        <v>4202.33</v>
      </c>
      <c r="J70" s="13">
        <f t="shared" si="45"/>
        <v>5042.8</v>
      </c>
      <c r="K70" s="1">
        <f t="shared" si="40"/>
        <v>4202.33</v>
      </c>
      <c r="L70" s="13">
        <f t="shared" si="40"/>
        <v>5042.8</v>
      </c>
      <c r="M70" s="14"/>
    </row>
    <row r="71" spans="1:13" ht="20.25" customHeight="1" x14ac:dyDescent="0.25">
      <c r="A71" s="5" t="s">
        <v>127</v>
      </c>
      <c r="B71" s="11" t="s">
        <v>121</v>
      </c>
      <c r="C71" s="3" t="s">
        <v>17</v>
      </c>
      <c r="D71" s="32">
        <f>(19.88+13.37)</f>
        <v>33.25</v>
      </c>
      <c r="E71" s="2"/>
      <c r="F71" s="13"/>
      <c r="G71" s="13"/>
      <c r="H71" s="1">
        <v>71.25</v>
      </c>
      <c r="I71" s="13">
        <f t="shared" si="44"/>
        <v>2369.06</v>
      </c>
      <c r="J71" s="13">
        <f t="shared" si="45"/>
        <v>2842.87</v>
      </c>
      <c r="K71" s="1">
        <f t="shared" si="40"/>
        <v>2369.06</v>
      </c>
      <c r="L71" s="13">
        <f t="shared" si="40"/>
        <v>2842.87</v>
      </c>
      <c r="M71" s="14"/>
    </row>
    <row r="72" spans="1:13" ht="20.25" customHeight="1" x14ac:dyDescent="0.25">
      <c r="A72" s="5" t="s">
        <v>128</v>
      </c>
      <c r="B72" s="11" t="s">
        <v>110</v>
      </c>
      <c r="C72" s="3" t="s">
        <v>17</v>
      </c>
      <c r="D72" s="64">
        <f>(98.88+61.38)</f>
        <v>160.26</v>
      </c>
      <c r="E72" s="2"/>
      <c r="F72" s="13"/>
      <c r="G72" s="13"/>
      <c r="H72" s="1">
        <v>89.774999999999991</v>
      </c>
      <c r="I72" s="13">
        <f t="shared" si="44"/>
        <v>14387.34</v>
      </c>
      <c r="J72" s="13">
        <f t="shared" si="45"/>
        <v>17264.810000000001</v>
      </c>
      <c r="K72" s="1">
        <f t="shared" si="40"/>
        <v>14387.34</v>
      </c>
      <c r="L72" s="13">
        <f t="shared" si="40"/>
        <v>17264.810000000001</v>
      </c>
      <c r="M72" s="14"/>
    </row>
    <row r="73" spans="1:13" ht="20.25" customHeight="1" x14ac:dyDescent="0.25">
      <c r="A73" s="5" t="s">
        <v>129</v>
      </c>
      <c r="B73" s="11" t="s">
        <v>111</v>
      </c>
      <c r="C73" s="3" t="s">
        <v>17</v>
      </c>
      <c r="D73" s="32">
        <f>(47.04+47.12)</f>
        <v>94.16</v>
      </c>
      <c r="E73" s="2"/>
      <c r="F73" s="13"/>
      <c r="G73" s="13"/>
      <c r="H73" s="1">
        <v>84.55</v>
      </c>
      <c r="I73" s="13">
        <f t="shared" si="44"/>
        <v>7961.23</v>
      </c>
      <c r="J73" s="13">
        <f t="shared" si="45"/>
        <v>9553.48</v>
      </c>
      <c r="K73" s="1">
        <f t="shared" si="40"/>
        <v>7961.23</v>
      </c>
      <c r="L73" s="13">
        <f t="shared" si="40"/>
        <v>9553.48</v>
      </c>
      <c r="M73" s="14"/>
    </row>
    <row r="74" spans="1:13" ht="20.25" customHeight="1" x14ac:dyDescent="0.25">
      <c r="A74" s="5" t="s">
        <v>124</v>
      </c>
      <c r="B74" s="11" t="s">
        <v>123</v>
      </c>
      <c r="C74" s="3" t="s">
        <v>17</v>
      </c>
      <c r="D74" s="32">
        <f>14.76</f>
        <v>14.76</v>
      </c>
      <c r="E74" s="2"/>
      <c r="F74" s="13"/>
      <c r="G74" s="13"/>
      <c r="H74" s="1">
        <v>84.55</v>
      </c>
      <c r="I74" s="13">
        <f t="shared" si="44"/>
        <v>1247.96</v>
      </c>
      <c r="J74" s="13">
        <f t="shared" si="45"/>
        <v>1497.55</v>
      </c>
      <c r="K74" s="1">
        <f t="shared" si="40"/>
        <v>1247.96</v>
      </c>
      <c r="L74" s="13">
        <f t="shared" si="40"/>
        <v>1497.55</v>
      </c>
      <c r="M74" s="14"/>
    </row>
    <row r="75" spans="1:13" ht="20.25" customHeight="1" x14ac:dyDescent="0.25">
      <c r="A75" s="5" t="s">
        <v>132</v>
      </c>
      <c r="B75" s="4" t="s">
        <v>133</v>
      </c>
      <c r="C75" s="3" t="s">
        <v>17</v>
      </c>
      <c r="D75" s="32">
        <v>44.78</v>
      </c>
      <c r="E75" s="2"/>
      <c r="F75" s="13"/>
      <c r="G75" s="13"/>
      <c r="H75" s="1"/>
      <c r="I75" s="13">
        <f t="shared" si="44"/>
        <v>0</v>
      </c>
      <c r="J75" s="13">
        <f t="shared" si="45"/>
        <v>0</v>
      </c>
      <c r="K75" s="1">
        <f t="shared" si="40"/>
        <v>0</v>
      </c>
      <c r="L75" s="13">
        <f t="shared" si="40"/>
        <v>0</v>
      </c>
      <c r="M75" s="14"/>
    </row>
    <row r="76" spans="1:13" ht="20.25" customHeight="1" x14ac:dyDescent="0.25">
      <c r="A76" s="5" t="s">
        <v>138</v>
      </c>
      <c r="B76" s="11" t="s">
        <v>135</v>
      </c>
      <c r="C76" s="3" t="s">
        <v>17</v>
      </c>
      <c r="D76" s="20">
        <v>0.48</v>
      </c>
      <c r="E76" s="2"/>
      <c r="F76" s="13"/>
      <c r="G76" s="13"/>
      <c r="H76" s="1">
        <v>120.64999999999999</v>
      </c>
      <c r="I76" s="13">
        <f t="shared" si="44"/>
        <v>57.91</v>
      </c>
      <c r="J76" s="13">
        <f t="shared" si="45"/>
        <v>69.489999999999995</v>
      </c>
      <c r="K76" s="1">
        <f t="shared" si="40"/>
        <v>57.91</v>
      </c>
      <c r="L76" s="13">
        <f t="shared" si="40"/>
        <v>69.489999999999995</v>
      </c>
      <c r="M76" s="14"/>
    </row>
    <row r="77" spans="1:13" ht="20.25" customHeight="1" x14ac:dyDescent="0.25">
      <c r="A77" s="5" t="s">
        <v>139</v>
      </c>
      <c r="B77" s="11" t="s">
        <v>136</v>
      </c>
      <c r="C77" s="3" t="s">
        <v>17</v>
      </c>
      <c r="D77" s="20">
        <v>0.12</v>
      </c>
      <c r="E77" s="2"/>
      <c r="F77" s="13"/>
      <c r="G77" s="13"/>
      <c r="H77" s="1">
        <v>139.65</v>
      </c>
      <c r="I77" s="13">
        <f t="shared" si="44"/>
        <v>16.760000000000002</v>
      </c>
      <c r="J77" s="13">
        <f t="shared" si="45"/>
        <v>20.11</v>
      </c>
      <c r="K77" s="1">
        <f t="shared" ref="K77:L86" si="46">F77+I77</f>
        <v>16.760000000000002</v>
      </c>
      <c r="L77" s="13">
        <f t="shared" si="46"/>
        <v>20.11</v>
      </c>
      <c r="M77" s="14"/>
    </row>
    <row r="78" spans="1:13" ht="30.75" customHeight="1" x14ac:dyDescent="0.25">
      <c r="A78" s="9">
        <f>A67+1</f>
        <v>24</v>
      </c>
      <c r="B78" s="41" t="s">
        <v>137</v>
      </c>
      <c r="C78" s="18" t="s">
        <v>21</v>
      </c>
      <c r="D78" s="66">
        <f>522.54/1000</f>
        <v>0.52254</v>
      </c>
      <c r="E78" s="42">
        <v>46018.60158311345</v>
      </c>
      <c r="F78" s="6">
        <f>ROUND(E78*D78,2)</f>
        <v>24046.560000000001</v>
      </c>
      <c r="G78" s="6">
        <f t="shared" ref="G78" si="47">ROUND(F78*1.2,2)</f>
        <v>28855.87</v>
      </c>
      <c r="H78" s="7"/>
      <c r="I78" s="6"/>
      <c r="J78" s="6"/>
      <c r="K78" s="7">
        <f t="shared" si="46"/>
        <v>24046.560000000001</v>
      </c>
      <c r="L78" s="6">
        <f t="shared" si="46"/>
        <v>28855.87</v>
      </c>
      <c r="M78" s="14"/>
    </row>
    <row r="79" spans="1:13" ht="20.25" customHeight="1" x14ac:dyDescent="0.25">
      <c r="A79" s="5" t="s">
        <v>12</v>
      </c>
      <c r="B79" s="11" t="s">
        <v>110</v>
      </c>
      <c r="C79" s="3" t="s">
        <v>17</v>
      </c>
      <c r="D79" s="32">
        <f>(136.32)</f>
        <v>136.32</v>
      </c>
      <c r="E79" s="2"/>
      <c r="F79" s="13"/>
      <c r="G79" s="13"/>
      <c r="H79" s="1">
        <v>89.774999999999991</v>
      </c>
      <c r="I79" s="13">
        <f t="shared" ref="I79:I82" si="48">ROUND(H79*D79,2)</f>
        <v>12238.13</v>
      </c>
      <c r="J79" s="13">
        <f t="shared" ref="J79:J82" si="49">ROUND(I79*1.2,2)</f>
        <v>14685.76</v>
      </c>
      <c r="K79" s="1">
        <f t="shared" si="46"/>
        <v>12238.13</v>
      </c>
      <c r="L79" s="13">
        <f t="shared" si="46"/>
        <v>14685.76</v>
      </c>
      <c r="M79" s="14"/>
    </row>
    <row r="80" spans="1:13" ht="20.25" customHeight="1" x14ac:dyDescent="0.25">
      <c r="A80" s="5" t="s">
        <v>143</v>
      </c>
      <c r="B80" s="47" t="s">
        <v>141</v>
      </c>
      <c r="C80" s="3" t="s">
        <v>17</v>
      </c>
      <c r="D80" s="32">
        <v>283.54000000000002</v>
      </c>
      <c r="E80" s="2"/>
      <c r="F80" s="13"/>
      <c r="G80" s="13"/>
      <c r="H80" s="1"/>
      <c r="I80" s="13">
        <f t="shared" si="48"/>
        <v>0</v>
      </c>
      <c r="J80" s="13">
        <f t="shared" si="49"/>
        <v>0</v>
      </c>
      <c r="K80" s="1">
        <f t="shared" si="46"/>
        <v>0</v>
      </c>
      <c r="L80" s="13">
        <f t="shared" si="46"/>
        <v>0</v>
      </c>
      <c r="M80" s="14"/>
    </row>
    <row r="81" spans="1:13" ht="20.25" customHeight="1" x14ac:dyDescent="0.25">
      <c r="A81" s="5" t="s">
        <v>144</v>
      </c>
      <c r="B81" s="11" t="s">
        <v>142</v>
      </c>
      <c r="C81" s="3" t="s">
        <v>17</v>
      </c>
      <c r="D81" s="32">
        <v>98.91</v>
      </c>
      <c r="E81" s="2"/>
      <c r="F81" s="13"/>
      <c r="G81" s="13"/>
      <c r="H81" s="1">
        <v>84.55</v>
      </c>
      <c r="I81" s="13">
        <f t="shared" si="48"/>
        <v>8362.84</v>
      </c>
      <c r="J81" s="13">
        <f t="shared" si="49"/>
        <v>10035.41</v>
      </c>
      <c r="K81" s="1">
        <f t="shared" si="46"/>
        <v>8362.84</v>
      </c>
      <c r="L81" s="13">
        <f t="shared" si="46"/>
        <v>10035.41</v>
      </c>
      <c r="M81" s="14"/>
    </row>
    <row r="82" spans="1:13" ht="20.25" customHeight="1" x14ac:dyDescent="0.25">
      <c r="A82" s="5" t="s">
        <v>145</v>
      </c>
      <c r="B82" s="11" t="s">
        <v>111</v>
      </c>
      <c r="C82" s="3" t="s">
        <v>17</v>
      </c>
      <c r="D82" s="32">
        <f>(3.77)</f>
        <v>3.77</v>
      </c>
      <c r="E82" s="2"/>
      <c r="F82" s="13"/>
      <c r="G82" s="13"/>
      <c r="H82" s="1">
        <v>84.55</v>
      </c>
      <c r="I82" s="13">
        <f t="shared" si="48"/>
        <v>318.75</v>
      </c>
      <c r="J82" s="13">
        <f t="shared" si="49"/>
        <v>382.5</v>
      </c>
      <c r="K82" s="1">
        <f t="shared" si="46"/>
        <v>318.75</v>
      </c>
      <c r="L82" s="13">
        <f t="shared" si="46"/>
        <v>382.5</v>
      </c>
      <c r="M82" s="14"/>
    </row>
    <row r="83" spans="1:13" ht="29.25" customHeight="1" x14ac:dyDescent="0.25">
      <c r="A83" s="9">
        <f>A78+1</f>
        <v>25</v>
      </c>
      <c r="B83" s="41" t="s">
        <v>140</v>
      </c>
      <c r="C83" s="18" t="s">
        <v>21</v>
      </c>
      <c r="D83" s="66">
        <f>218.61/1000</f>
        <v>0.21861000000000003</v>
      </c>
      <c r="E83" s="42">
        <v>46018.60158311345</v>
      </c>
      <c r="F83" s="6">
        <f>ROUND(E83*D83,2)</f>
        <v>10060.129999999999</v>
      </c>
      <c r="G83" s="6">
        <f t="shared" ref="G83" si="50">ROUND(F83*1.2,2)</f>
        <v>12072.16</v>
      </c>
      <c r="H83" s="7"/>
      <c r="I83" s="6"/>
      <c r="J83" s="6"/>
      <c r="K83" s="7">
        <f t="shared" si="46"/>
        <v>10060.129999999999</v>
      </c>
      <c r="L83" s="6">
        <f t="shared" si="46"/>
        <v>12072.16</v>
      </c>
      <c r="M83" s="14"/>
    </row>
    <row r="84" spans="1:13" ht="20.25" customHeight="1" x14ac:dyDescent="0.25">
      <c r="A84" s="5" t="s">
        <v>11</v>
      </c>
      <c r="B84" s="11" t="s">
        <v>121</v>
      </c>
      <c r="C84" s="3" t="s">
        <v>17</v>
      </c>
      <c r="D84" s="32">
        <f>(13.37)</f>
        <v>13.37</v>
      </c>
      <c r="E84" s="2"/>
      <c r="F84" s="13"/>
      <c r="G84" s="13"/>
      <c r="H84" s="1">
        <v>71.25</v>
      </c>
      <c r="I84" s="13">
        <f t="shared" ref="I84:I86" si="51">ROUND(H84*D84,2)</f>
        <v>952.61</v>
      </c>
      <c r="J84" s="13">
        <f t="shared" ref="J84:J86" si="52">ROUND(I84*1.2,2)</f>
        <v>1143.1300000000001</v>
      </c>
      <c r="K84" s="1">
        <f t="shared" si="46"/>
        <v>952.61</v>
      </c>
      <c r="L84" s="13">
        <f t="shared" si="46"/>
        <v>1143.1300000000001</v>
      </c>
      <c r="M84" s="14"/>
    </row>
    <row r="85" spans="1:13" ht="20.25" customHeight="1" x14ac:dyDescent="0.25">
      <c r="A85" s="5" t="s">
        <v>52</v>
      </c>
      <c r="B85" s="11" t="s">
        <v>109</v>
      </c>
      <c r="C85" s="3" t="s">
        <v>17</v>
      </c>
      <c r="D85" s="64">
        <f>115.44</f>
        <v>115.44</v>
      </c>
      <c r="E85" s="2"/>
      <c r="F85" s="13"/>
      <c r="G85" s="13"/>
      <c r="H85" s="1">
        <v>71.25</v>
      </c>
      <c r="I85" s="13">
        <f t="shared" si="51"/>
        <v>8225.1</v>
      </c>
      <c r="J85" s="13">
        <f t="shared" si="52"/>
        <v>9870.1200000000008</v>
      </c>
      <c r="K85" s="1">
        <f t="shared" si="46"/>
        <v>8225.1</v>
      </c>
      <c r="L85" s="13">
        <f t="shared" si="46"/>
        <v>9870.1200000000008</v>
      </c>
      <c r="M85" s="14"/>
    </row>
    <row r="86" spans="1:13" ht="20.25" customHeight="1" x14ac:dyDescent="0.25">
      <c r="A86" s="5" t="s">
        <v>53</v>
      </c>
      <c r="B86" s="11" t="s">
        <v>110</v>
      </c>
      <c r="C86" s="3" t="s">
        <v>17</v>
      </c>
      <c r="D86" s="32">
        <f>(67.64+89.8)</f>
        <v>157.44</v>
      </c>
      <c r="E86" s="2"/>
      <c r="F86" s="13"/>
      <c r="G86" s="13"/>
      <c r="H86" s="1">
        <v>89.774999999999991</v>
      </c>
      <c r="I86" s="13">
        <f t="shared" si="51"/>
        <v>14134.18</v>
      </c>
      <c r="J86" s="13">
        <f t="shared" si="52"/>
        <v>16961.02</v>
      </c>
      <c r="K86" s="1">
        <f t="shared" si="46"/>
        <v>14134.18</v>
      </c>
      <c r="L86" s="13">
        <f t="shared" si="46"/>
        <v>16961.02</v>
      </c>
      <c r="M86" s="14"/>
    </row>
    <row r="87" spans="1:13" ht="20.25" customHeight="1" x14ac:dyDescent="0.25">
      <c r="A87" s="67"/>
      <c r="B87" s="68" t="s">
        <v>146</v>
      </c>
      <c r="C87" s="67"/>
      <c r="D87" s="69"/>
      <c r="E87" s="70"/>
      <c r="F87" s="71"/>
      <c r="G87" s="71"/>
      <c r="H87" s="72"/>
      <c r="I87" s="71"/>
      <c r="J87" s="71"/>
      <c r="K87" s="72"/>
      <c r="L87" s="71"/>
      <c r="M87" s="14"/>
    </row>
    <row r="88" spans="1:13" ht="20.25" customHeight="1" x14ac:dyDescent="0.25">
      <c r="A88" s="9">
        <f>A83+1</f>
        <v>26</v>
      </c>
      <c r="B88" s="41" t="s">
        <v>153</v>
      </c>
      <c r="C88" s="9" t="s">
        <v>1</v>
      </c>
      <c r="D88" s="82">
        <v>2</v>
      </c>
      <c r="E88" s="45">
        <v>145078.29999999999</v>
      </c>
      <c r="F88" s="6">
        <f>ROUND(E88*D88,2)</f>
        <v>290156.59999999998</v>
      </c>
      <c r="G88" s="6">
        <f t="shared" ref="G88" si="53">ROUND(F88*1.2,2)</f>
        <v>348187.92</v>
      </c>
      <c r="H88" s="7"/>
      <c r="I88" s="6"/>
      <c r="J88" s="6"/>
      <c r="K88" s="7">
        <f t="shared" ref="K88:L103" si="54">F88+I88</f>
        <v>290156.59999999998</v>
      </c>
      <c r="L88" s="6">
        <f t="shared" si="54"/>
        <v>348187.92</v>
      </c>
      <c r="M88" s="61" t="s">
        <v>90</v>
      </c>
    </row>
    <row r="89" spans="1:13" ht="20.25" customHeight="1" x14ac:dyDescent="0.25">
      <c r="A89" s="5" t="s">
        <v>54</v>
      </c>
      <c r="B89" s="11" t="s">
        <v>108</v>
      </c>
      <c r="C89" s="3" t="s">
        <v>17</v>
      </c>
      <c r="D89" s="32">
        <f>570.03</f>
        <v>570.03</v>
      </c>
      <c r="E89" s="2"/>
      <c r="F89" s="13"/>
      <c r="G89" s="13"/>
      <c r="H89" s="1">
        <v>87.399999999999991</v>
      </c>
      <c r="I89" s="13">
        <f t="shared" ref="I89:I96" si="55">ROUND(H89*D89,2)</f>
        <v>49820.62</v>
      </c>
      <c r="J89" s="13">
        <f t="shared" ref="J89:J96" si="56">ROUND(I89*1.2,2)</f>
        <v>59784.74</v>
      </c>
      <c r="K89" s="1">
        <f t="shared" si="54"/>
        <v>49820.62</v>
      </c>
      <c r="L89" s="13">
        <f t="shared" si="54"/>
        <v>59784.74</v>
      </c>
      <c r="M89" s="61"/>
    </row>
    <row r="90" spans="1:13" ht="20.25" customHeight="1" x14ac:dyDescent="0.25">
      <c r="A90" s="5" t="s">
        <v>147</v>
      </c>
      <c r="B90" s="11" t="s">
        <v>109</v>
      </c>
      <c r="C90" s="3" t="s">
        <v>17</v>
      </c>
      <c r="D90" s="32">
        <f>146.24+131.7</f>
        <v>277.94</v>
      </c>
      <c r="E90" s="2"/>
      <c r="F90" s="13"/>
      <c r="G90" s="13"/>
      <c r="H90" s="1">
        <v>71.25</v>
      </c>
      <c r="I90" s="13">
        <f t="shared" si="55"/>
        <v>19803.23</v>
      </c>
      <c r="J90" s="13">
        <f t="shared" si="56"/>
        <v>23763.88</v>
      </c>
      <c r="K90" s="1">
        <f t="shared" si="54"/>
        <v>19803.23</v>
      </c>
      <c r="L90" s="13">
        <f t="shared" si="54"/>
        <v>23763.88</v>
      </c>
      <c r="M90" s="61"/>
    </row>
    <row r="91" spans="1:13" ht="20.25" customHeight="1" x14ac:dyDescent="0.25">
      <c r="A91" s="5" t="s">
        <v>148</v>
      </c>
      <c r="B91" s="11" t="s">
        <v>111</v>
      </c>
      <c r="C91" s="3" t="s">
        <v>17</v>
      </c>
      <c r="D91" s="32">
        <f>36.18+19.32+57.92+16.9+12.48+16.4+24.88</f>
        <v>184.07999999999998</v>
      </c>
      <c r="E91" s="2"/>
      <c r="F91" s="13"/>
      <c r="G91" s="13"/>
      <c r="H91" s="1">
        <v>84.55</v>
      </c>
      <c r="I91" s="13">
        <f t="shared" si="55"/>
        <v>15563.96</v>
      </c>
      <c r="J91" s="13">
        <f t="shared" si="56"/>
        <v>18676.75</v>
      </c>
      <c r="K91" s="1">
        <f t="shared" si="54"/>
        <v>15563.96</v>
      </c>
      <c r="L91" s="13">
        <f t="shared" si="54"/>
        <v>18676.75</v>
      </c>
      <c r="M91" s="61"/>
    </row>
    <row r="92" spans="1:13" ht="20.25" customHeight="1" x14ac:dyDescent="0.25">
      <c r="A92" s="5" t="s">
        <v>149</v>
      </c>
      <c r="B92" s="11" t="s">
        <v>112</v>
      </c>
      <c r="C92" s="3" t="s">
        <v>17</v>
      </c>
      <c r="D92" s="32">
        <f>157+196.24</f>
        <v>353.24</v>
      </c>
      <c r="E92" s="2"/>
      <c r="F92" s="13"/>
      <c r="G92" s="13"/>
      <c r="H92" s="1">
        <v>84.55</v>
      </c>
      <c r="I92" s="13">
        <f t="shared" si="55"/>
        <v>29866.44</v>
      </c>
      <c r="J92" s="13">
        <f t="shared" si="56"/>
        <v>35839.730000000003</v>
      </c>
      <c r="K92" s="1">
        <f t="shared" si="54"/>
        <v>29866.44</v>
      </c>
      <c r="L92" s="13">
        <f t="shared" si="54"/>
        <v>35839.730000000003</v>
      </c>
      <c r="M92" s="14"/>
    </row>
    <row r="93" spans="1:13" ht="20.25" customHeight="1" x14ac:dyDescent="0.25">
      <c r="A93" s="5" t="s">
        <v>150</v>
      </c>
      <c r="B93" s="84" t="s">
        <v>209</v>
      </c>
      <c r="C93" s="3" t="s">
        <v>17</v>
      </c>
      <c r="D93" s="32">
        <v>119.18</v>
      </c>
      <c r="E93" s="2"/>
      <c r="F93" s="13"/>
      <c r="G93" s="13"/>
      <c r="H93" s="1"/>
      <c r="I93" s="13">
        <f t="shared" si="55"/>
        <v>0</v>
      </c>
      <c r="J93" s="13">
        <f t="shared" si="56"/>
        <v>0</v>
      </c>
      <c r="K93" s="1">
        <f t="shared" si="54"/>
        <v>0</v>
      </c>
      <c r="L93" s="13">
        <f t="shared" si="54"/>
        <v>0</v>
      </c>
      <c r="M93" s="14"/>
    </row>
    <row r="94" spans="1:13" ht="20.25" customHeight="1" x14ac:dyDescent="0.25">
      <c r="A94" s="5" t="s">
        <v>212</v>
      </c>
      <c r="B94" s="84" t="s">
        <v>210</v>
      </c>
      <c r="C94" s="3" t="s">
        <v>17</v>
      </c>
      <c r="D94" s="32">
        <v>165.2</v>
      </c>
      <c r="E94" s="2"/>
      <c r="F94" s="13"/>
      <c r="G94" s="13"/>
      <c r="H94" s="1"/>
      <c r="I94" s="13">
        <f t="shared" si="55"/>
        <v>0</v>
      </c>
      <c r="J94" s="13">
        <f t="shared" si="56"/>
        <v>0</v>
      </c>
      <c r="K94" s="1">
        <f t="shared" si="54"/>
        <v>0</v>
      </c>
      <c r="L94" s="13">
        <f t="shared" si="54"/>
        <v>0</v>
      </c>
      <c r="M94" s="14"/>
    </row>
    <row r="95" spans="1:13" ht="20.25" customHeight="1" x14ac:dyDescent="0.25">
      <c r="A95" s="5" t="s">
        <v>213</v>
      </c>
      <c r="B95" s="84" t="s">
        <v>211</v>
      </c>
      <c r="C95" s="3" t="s">
        <v>17</v>
      </c>
      <c r="D95" s="32">
        <v>120.96</v>
      </c>
      <c r="E95" s="2"/>
      <c r="F95" s="13"/>
      <c r="G95" s="13"/>
      <c r="H95" s="1"/>
      <c r="I95" s="13">
        <f t="shared" si="55"/>
        <v>0</v>
      </c>
      <c r="J95" s="13">
        <f t="shared" si="56"/>
        <v>0</v>
      </c>
      <c r="K95" s="1">
        <f t="shared" si="54"/>
        <v>0</v>
      </c>
      <c r="L95" s="13">
        <f t="shared" si="54"/>
        <v>0</v>
      </c>
      <c r="M95" s="14"/>
    </row>
    <row r="96" spans="1:13" ht="20.25" customHeight="1" x14ac:dyDescent="0.25">
      <c r="A96" s="5" t="s">
        <v>214</v>
      </c>
      <c r="B96" s="4" t="s">
        <v>134</v>
      </c>
      <c r="C96" s="3" t="s">
        <v>17</v>
      </c>
      <c r="D96" s="32">
        <v>14.54</v>
      </c>
      <c r="E96" s="2"/>
      <c r="F96" s="13"/>
      <c r="G96" s="13"/>
      <c r="H96" s="1"/>
      <c r="I96" s="13">
        <f t="shared" si="55"/>
        <v>0</v>
      </c>
      <c r="J96" s="13">
        <f t="shared" si="56"/>
        <v>0</v>
      </c>
      <c r="K96" s="1">
        <f t="shared" si="54"/>
        <v>0</v>
      </c>
      <c r="L96" s="13">
        <f t="shared" si="54"/>
        <v>0</v>
      </c>
      <c r="M96" s="14"/>
    </row>
    <row r="97" spans="1:13" ht="20.25" customHeight="1" x14ac:dyDescent="0.25">
      <c r="A97" s="9">
        <f>A88+1</f>
        <v>27</v>
      </c>
      <c r="B97" s="41" t="s">
        <v>152</v>
      </c>
      <c r="C97" s="9" t="s">
        <v>1</v>
      </c>
      <c r="D97" s="82">
        <v>1</v>
      </c>
      <c r="E97" s="65">
        <v>213065.05</v>
      </c>
      <c r="F97" s="6">
        <f>ROUND(E97*D97,2)</f>
        <v>213065.05</v>
      </c>
      <c r="G97" s="6">
        <f t="shared" ref="G97" si="57">ROUND(F97*1.2,2)</f>
        <v>255678.06</v>
      </c>
      <c r="H97" s="7"/>
      <c r="I97" s="6"/>
      <c r="J97" s="6"/>
      <c r="K97" s="7">
        <f t="shared" si="54"/>
        <v>213065.05</v>
      </c>
      <c r="L97" s="6">
        <f t="shared" si="54"/>
        <v>255678.06</v>
      </c>
      <c r="M97" s="61" t="s">
        <v>151</v>
      </c>
    </row>
    <row r="98" spans="1:13" ht="20.25" customHeight="1" x14ac:dyDescent="0.25">
      <c r="A98" s="5" t="s">
        <v>10</v>
      </c>
      <c r="B98" s="11" t="s">
        <v>119</v>
      </c>
      <c r="C98" s="3" t="s">
        <v>17</v>
      </c>
      <c r="D98" s="32">
        <f>617.28+822.04+433.92+446.08</f>
        <v>2319.3200000000002</v>
      </c>
      <c r="E98" s="2"/>
      <c r="F98" s="13"/>
      <c r="G98" s="13"/>
      <c r="H98" s="1">
        <v>71.25</v>
      </c>
      <c r="I98" s="13">
        <f t="shared" ref="I98:I110" si="58">ROUND(H98*D98,2)</f>
        <v>165251.54999999999</v>
      </c>
      <c r="J98" s="13">
        <f t="shared" ref="J98:J110" si="59">ROUND(I98*1.2,2)</f>
        <v>198301.86</v>
      </c>
      <c r="K98" s="1">
        <f t="shared" si="54"/>
        <v>165251.54999999999</v>
      </c>
      <c r="L98" s="13">
        <f t="shared" si="54"/>
        <v>198301.86</v>
      </c>
      <c r="M98" s="14"/>
    </row>
    <row r="99" spans="1:13" ht="20.25" customHeight="1" x14ac:dyDescent="0.25">
      <c r="A99" s="5" t="s">
        <v>157</v>
      </c>
      <c r="B99" s="11" t="s">
        <v>120</v>
      </c>
      <c r="C99" s="3" t="s">
        <v>17</v>
      </c>
      <c r="D99" s="64">
        <f>277.76+143</f>
        <v>420.76</v>
      </c>
      <c r="E99" s="2"/>
      <c r="F99" s="13"/>
      <c r="G99" s="13"/>
      <c r="H99" s="1">
        <v>71.25</v>
      </c>
      <c r="I99" s="13">
        <f t="shared" si="58"/>
        <v>29979.15</v>
      </c>
      <c r="J99" s="13">
        <f t="shared" si="59"/>
        <v>35974.980000000003</v>
      </c>
      <c r="K99" s="1">
        <f t="shared" si="54"/>
        <v>29979.15</v>
      </c>
      <c r="L99" s="13">
        <f t="shared" si="54"/>
        <v>35974.980000000003</v>
      </c>
      <c r="M99" s="14"/>
    </row>
    <row r="100" spans="1:13" ht="20.25" customHeight="1" x14ac:dyDescent="0.25">
      <c r="A100" s="5" t="s">
        <v>158</v>
      </c>
      <c r="B100" s="11" t="s">
        <v>109</v>
      </c>
      <c r="C100" s="3" t="s">
        <v>17</v>
      </c>
      <c r="D100" s="64">
        <f>169.44+54.66</f>
        <v>224.1</v>
      </c>
      <c r="E100" s="2"/>
      <c r="F100" s="13"/>
      <c r="G100" s="13"/>
      <c r="H100" s="1">
        <v>71.25</v>
      </c>
      <c r="I100" s="13">
        <f t="shared" si="58"/>
        <v>15967.13</v>
      </c>
      <c r="J100" s="13">
        <f t="shared" si="59"/>
        <v>19160.560000000001</v>
      </c>
      <c r="K100" s="1">
        <f t="shared" si="54"/>
        <v>15967.13</v>
      </c>
      <c r="L100" s="13">
        <f t="shared" si="54"/>
        <v>19160.560000000001</v>
      </c>
      <c r="M100" s="14"/>
    </row>
    <row r="101" spans="1:13" ht="20.25" customHeight="1" x14ac:dyDescent="0.25">
      <c r="A101" s="5" t="s">
        <v>159</v>
      </c>
      <c r="B101" s="11" t="s">
        <v>121</v>
      </c>
      <c r="C101" s="3" t="s">
        <v>17</v>
      </c>
      <c r="D101" s="32">
        <f>99.4+66.85</f>
        <v>166.25</v>
      </c>
      <c r="E101" s="2"/>
      <c r="F101" s="13"/>
      <c r="G101" s="13"/>
      <c r="H101" s="1">
        <v>71.25</v>
      </c>
      <c r="I101" s="13">
        <f t="shared" si="58"/>
        <v>11845.31</v>
      </c>
      <c r="J101" s="13">
        <f t="shared" si="59"/>
        <v>14214.37</v>
      </c>
      <c r="K101" s="1">
        <f t="shared" si="54"/>
        <v>11845.31</v>
      </c>
      <c r="L101" s="13">
        <f t="shared" si="54"/>
        <v>14214.37</v>
      </c>
      <c r="M101" s="14"/>
    </row>
    <row r="102" spans="1:13" ht="20.25" customHeight="1" x14ac:dyDescent="0.25">
      <c r="A102" s="5" t="s">
        <v>160</v>
      </c>
      <c r="B102" s="11" t="s">
        <v>110</v>
      </c>
      <c r="C102" s="3" t="s">
        <v>17</v>
      </c>
      <c r="D102" s="32">
        <f>197.76+61.38</f>
        <v>259.14</v>
      </c>
      <c r="E102" s="2"/>
      <c r="F102" s="13"/>
      <c r="G102" s="13"/>
      <c r="H102" s="1">
        <v>89.774999999999991</v>
      </c>
      <c r="I102" s="13">
        <f t="shared" si="58"/>
        <v>23264.29</v>
      </c>
      <c r="J102" s="13">
        <f t="shared" si="59"/>
        <v>27917.15</v>
      </c>
      <c r="K102" s="1">
        <f t="shared" si="54"/>
        <v>23264.29</v>
      </c>
      <c r="L102" s="13">
        <f t="shared" si="54"/>
        <v>27917.15</v>
      </c>
      <c r="M102" s="14"/>
    </row>
    <row r="103" spans="1:13" ht="20.25" customHeight="1" x14ac:dyDescent="0.25">
      <c r="A103" s="5" t="s">
        <v>161</v>
      </c>
      <c r="B103" s="11" t="s">
        <v>123</v>
      </c>
      <c r="C103" s="3" t="s">
        <v>17</v>
      </c>
      <c r="D103" s="32">
        <f>121.6+14.76</f>
        <v>136.35999999999999</v>
      </c>
      <c r="E103" s="2"/>
      <c r="F103" s="13"/>
      <c r="G103" s="13"/>
      <c r="H103" s="1">
        <v>84.55</v>
      </c>
      <c r="I103" s="13">
        <f t="shared" si="58"/>
        <v>11529.24</v>
      </c>
      <c r="J103" s="13">
        <f t="shared" si="59"/>
        <v>13835.09</v>
      </c>
      <c r="K103" s="1">
        <f t="shared" si="54"/>
        <v>11529.24</v>
      </c>
      <c r="L103" s="13">
        <f t="shared" si="54"/>
        <v>13835.09</v>
      </c>
      <c r="M103" s="14"/>
    </row>
    <row r="104" spans="1:13" ht="20.25" customHeight="1" x14ac:dyDescent="0.25">
      <c r="A104" s="5" t="s">
        <v>162</v>
      </c>
      <c r="B104" s="11" t="s">
        <v>111</v>
      </c>
      <c r="C104" s="3" t="s">
        <v>17</v>
      </c>
      <c r="D104" s="32">
        <f>141.12+94.24</f>
        <v>235.36</v>
      </c>
      <c r="E104" s="2"/>
      <c r="F104" s="13"/>
      <c r="G104" s="13"/>
      <c r="H104" s="1">
        <v>84.55</v>
      </c>
      <c r="I104" s="13">
        <f t="shared" si="58"/>
        <v>19899.689999999999</v>
      </c>
      <c r="J104" s="13">
        <f t="shared" si="59"/>
        <v>23879.63</v>
      </c>
      <c r="K104" s="1">
        <f t="shared" ref="K104:L118" si="60">F104+I104</f>
        <v>19899.689999999999</v>
      </c>
      <c r="L104" s="13">
        <f t="shared" si="60"/>
        <v>23879.63</v>
      </c>
      <c r="M104" s="61"/>
    </row>
    <row r="105" spans="1:13" ht="20.25" customHeight="1" x14ac:dyDescent="0.25">
      <c r="A105" s="5" t="s">
        <v>163</v>
      </c>
      <c r="B105" s="11" t="s">
        <v>122</v>
      </c>
      <c r="C105" s="3" t="s">
        <v>17</v>
      </c>
      <c r="D105" s="32">
        <v>16</v>
      </c>
      <c r="E105" s="2"/>
      <c r="F105" s="13"/>
      <c r="G105" s="13"/>
      <c r="H105" s="1">
        <v>84.55</v>
      </c>
      <c r="I105" s="13">
        <f t="shared" si="58"/>
        <v>1352.8</v>
      </c>
      <c r="J105" s="13">
        <f t="shared" si="59"/>
        <v>1623.36</v>
      </c>
      <c r="K105" s="1">
        <f t="shared" si="60"/>
        <v>1352.8</v>
      </c>
      <c r="L105" s="13">
        <f t="shared" si="60"/>
        <v>1623.36</v>
      </c>
      <c r="M105" s="14"/>
    </row>
    <row r="106" spans="1:13" ht="20.25" customHeight="1" x14ac:dyDescent="0.25">
      <c r="A106" s="5" t="s">
        <v>164</v>
      </c>
      <c r="B106" s="11" t="s">
        <v>135</v>
      </c>
      <c r="C106" s="3" t="s">
        <v>17</v>
      </c>
      <c r="D106" s="20">
        <v>3.25</v>
      </c>
      <c r="E106" s="2"/>
      <c r="F106" s="13"/>
      <c r="G106" s="13"/>
      <c r="H106" s="1">
        <v>120.64999999999999</v>
      </c>
      <c r="I106" s="13">
        <f t="shared" si="58"/>
        <v>392.11</v>
      </c>
      <c r="J106" s="13">
        <f t="shared" si="59"/>
        <v>470.53</v>
      </c>
      <c r="K106" s="1">
        <f t="shared" si="60"/>
        <v>392.11</v>
      </c>
      <c r="L106" s="13">
        <f t="shared" si="60"/>
        <v>470.53</v>
      </c>
      <c r="M106" s="14"/>
    </row>
    <row r="107" spans="1:13" ht="20.25" customHeight="1" x14ac:dyDescent="0.25">
      <c r="A107" s="5" t="s">
        <v>165</v>
      </c>
      <c r="B107" s="11" t="s">
        <v>136</v>
      </c>
      <c r="C107" s="3" t="s">
        <v>17</v>
      </c>
      <c r="D107" s="20">
        <v>0.48</v>
      </c>
      <c r="E107" s="2"/>
      <c r="F107" s="13"/>
      <c r="G107" s="13"/>
      <c r="H107" s="1">
        <v>139.65</v>
      </c>
      <c r="I107" s="13">
        <f t="shared" si="58"/>
        <v>67.03</v>
      </c>
      <c r="J107" s="13">
        <f t="shared" si="59"/>
        <v>80.44</v>
      </c>
      <c r="K107" s="1">
        <f t="shared" si="60"/>
        <v>67.03</v>
      </c>
      <c r="L107" s="13">
        <f t="shared" si="60"/>
        <v>80.44</v>
      </c>
      <c r="M107" s="14"/>
    </row>
    <row r="108" spans="1:13" ht="20.25" customHeight="1" x14ac:dyDescent="0.25">
      <c r="A108" s="5" t="s">
        <v>166</v>
      </c>
      <c r="B108" s="11" t="s">
        <v>154</v>
      </c>
      <c r="C108" s="3" t="s">
        <v>17</v>
      </c>
      <c r="D108" s="20">
        <v>0.12</v>
      </c>
      <c r="E108" s="2"/>
      <c r="F108" s="13"/>
      <c r="G108" s="13"/>
      <c r="H108" s="1">
        <v>187.14999999999998</v>
      </c>
      <c r="I108" s="13">
        <f t="shared" si="58"/>
        <v>22.46</v>
      </c>
      <c r="J108" s="13">
        <f t="shared" si="59"/>
        <v>26.95</v>
      </c>
      <c r="K108" s="1">
        <f t="shared" si="60"/>
        <v>22.46</v>
      </c>
      <c r="L108" s="13">
        <f t="shared" si="60"/>
        <v>26.95</v>
      </c>
      <c r="M108" s="14"/>
    </row>
    <row r="109" spans="1:13" ht="20.25" customHeight="1" x14ac:dyDescent="0.25">
      <c r="A109" s="5" t="s">
        <v>167</v>
      </c>
      <c r="B109" s="11" t="s">
        <v>155</v>
      </c>
      <c r="C109" s="3" t="s">
        <v>17</v>
      </c>
      <c r="D109" s="20">
        <v>0.85</v>
      </c>
      <c r="E109" s="2"/>
      <c r="F109" s="13"/>
      <c r="G109" s="13"/>
      <c r="H109" s="1">
        <v>139.65</v>
      </c>
      <c r="I109" s="13">
        <f t="shared" si="58"/>
        <v>118.7</v>
      </c>
      <c r="J109" s="13">
        <f t="shared" si="59"/>
        <v>142.44</v>
      </c>
      <c r="K109" s="1">
        <f t="shared" si="60"/>
        <v>118.7</v>
      </c>
      <c r="L109" s="13">
        <f t="shared" si="60"/>
        <v>142.44</v>
      </c>
      <c r="M109" s="14"/>
    </row>
    <row r="110" spans="1:13" ht="20.25" customHeight="1" x14ac:dyDescent="0.25">
      <c r="A110" s="5" t="s">
        <v>168</v>
      </c>
      <c r="B110" s="11" t="s">
        <v>156</v>
      </c>
      <c r="C110" s="3" t="s">
        <v>17</v>
      </c>
      <c r="D110" s="20">
        <v>0.2</v>
      </c>
      <c r="E110" s="2"/>
      <c r="F110" s="13"/>
      <c r="G110" s="13"/>
      <c r="H110" s="1">
        <v>187.15</v>
      </c>
      <c r="I110" s="13">
        <f t="shared" si="58"/>
        <v>37.43</v>
      </c>
      <c r="J110" s="13">
        <f t="shared" si="59"/>
        <v>44.92</v>
      </c>
      <c r="K110" s="1">
        <f t="shared" si="60"/>
        <v>37.43</v>
      </c>
      <c r="L110" s="13">
        <f t="shared" si="60"/>
        <v>44.92</v>
      </c>
      <c r="M110" s="14"/>
    </row>
    <row r="111" spans="1:13" ht="23.25" customHeight="1" x14ac:dyDescent="0.25">
      <c r="A111" s="9">
        <f>A97+1</f>
        <v>28</v>
      </c>
      <c r="B111" s="41" t="s">
        <v>170</v>
      </c>
      <c r="C111" s="18" t="s">
        <v>21</v>
      </c>
      <c r="D111" s="66">
        <f>405.34/1000</f>
        <v>0.40533999999999998</v>
      </c>
      <c r="E111" s="42">
        <v>46018.60158311345</v>
      </c>
      <c r="F111" s="6">
        <f>ROUND(E111*D111,2)</f>
        <v>18653.18</v>
      </c>
      <c r="G111" s="6">
        <f t="shared" ref="G111" si="61">ROUND(F111*1.2,2)</f>
        <v>22383.82</v>
      </c>
      <c r="H111" s="7"/>
      <c r="I111" s="6"/>
      <c r="J111" s="6"/>
      <c r="K111" s="7">
        <f t="shared" si="60"/>
        <v>18653.18</v>
      </c>
      <c r="L111" s="6">
        <f t="shared" si="60"/>
        <v>22383.82</v>
      </c>
      <c r="M111" s="14"/>
    </row>
    <row r="112" spans="1:13" ht="20.25" customHeight="1" x14ac:dyDescent="0.25">
      <c r="A112" s="5" t="s">
        <v>55</v>
      </c>
      <c r="B112" s="47" t="s">
        <v>169</v>
      </c>
      <c r="C112" s="3" t="s">
        <v>17</v>
      </c>
      <c r="D112" s="32">
        <f>79.54+134.16+90.4</f>
        <v>304.10000000000002</v>
      </c>
      <c r="E112" s="2"/>
      <c r="F112" s="13"/>
      <c r="G112" s="13"/>
      <c r="H112" s="1"/>
      <c r="I112" s="13">
        <f t="shared" ref="I112:I114" si="62">ROUND(H112*D112,2)</f>
        <v>0</v>
      </c>
      <c r="J112" s="13">
        <f t="shared" ref="J112:J114" si="63">ROUND(I112*1.2,2)</f>
        <v>0</v>
      </c>
      <c r="K112" s="1">
        <f t="shared" si="60"/>
        <v>0</v>
      </c>
      <c r="L112" s="13">
        <f t="shared" si="60"/>
        <v>0</v>
      </c>
      <c r="M112" s="14"/>
    </row>
    <row r="113" spans="1:13" ht="20.25" customHeight="1" x14ac:dyDescent="0.25">
      <c r="A113" s="5" t="s">
        <v>171</v>
      </c>
      <c r="B113" s="11" t="s">
        <v>111</v>
      </c>
      <c r="C113" s="3" t="s">
        <v>17</v>
      </c>
      <c r="D113" s="32">
        <f>10.12+14.72+9.9+2.64+1.08+10.16+10.36+2.64+3.92+1.08+1.24+10.12+10.36+2.64+3.92+1.08+1.24</f>
        <v>97.22</v>
      </c>
      <c r="E113" s="2"/>
      <c r="F113" s="13"/>
      <c r="G113" s="13"/>
      <c r="H113" s="1">
        <v>84.55</v>
      </c>
      <c r="I113" s="13">
        <f t="shared" si="62"/>
        <v>8219.9500000000007</v>
      </c>
      <c r="J113" s="13">
        <f t="shared" si="63"/>
        <v>9863.94</v>
      </c>
      <c r="K113" s="1">
        <f t="shared" si="60"/>
        <v>8219.9500000000007</v>
      </c>
      <c r="L113" s="13">
        <f t="shared" si="60"/>
        <v>9863.94</v>
      </c>
      <c r="M113" s="14"/>
    </row>
    <row r="114" spans="1:13" ht="20.25" customHeight="1" x14ac:dyDescent="0.25">
      <c r="A114" s="5" t="s">
        <v>172</v>
      </c>
      <c r="B114" s="4" t="s">
        <v>173</v>
      </c>
      <c r="C114" s="3" t="s">
        <v>17</v>
      </c>
      <c r="D114" s="32">
        <f>1.88+1.64+1.2</f>
        <v>4.72</v>
      </c>
      <c r="E114" s="2"/>
      <c r="F114" s="13"/>
      <c r="G114" s="13"/>
      <c r="H114" s="1"/>
      <c r="I114" s="13">
        <f t="shared" si="62"/>
        <v>0</v>
      </c>
      <c r="J114" s="13">
        <f t="shared" si="63"/>
        <v>0</v>
      </c>
      <c r="K114" s="1">
        <f t="shared" si="60"/>
        <v>0</v>
      </c>
      <c r="L114" s="13">
        <f t="shared" si="60"/>
        <v>0</v>
      </c>
      <c r="M114" s="14"/>
    </row>
    <row r="115" spans="1:13" ht="32.25" customHeight="1" x14ac:dyDescent="0.25">
      <c r="A115" s="9">
        <f>A111+1</f>
        <v>29</v>
      </c>
      <c r="B115" s="41" t="s">
        <v>174</v>
      </c>
      <c r="C115" s="18" t="s">
        <v>21</v>
      </c>
      <c r="D115" s="66">
        <f>476.45/1000</f>
        <v>0.47644999999999998</v>
      </c>
      <c r="E115" s="42">
        <v>46018.60158311345</v>
      </c>
      <c r="F115" s="6">
        <f>ROUND(E115*D115,2)</f>
        <v>21925.56</v>
      </c>
      <c r="G115" s="6">
        <f t="shared" ref="G115" si="64">ROUND(F115*1.2,2)</f>
        <v>26310.67</v>
      </c>
      <c r="H115" s="7"/>
      <c r="I115" s="6"/>
      <c r="J115" s="6"/>
      <c r="K115" s="7">
        <f t="shared" si="60"/>
        <v>21925.56</v>
      </c>
      <c r="L115" s="6">
        <f t="shared" si="60"/>
        <v>26310.67</v>
      </c>
      <c r="M115" s="14"/>
    </row>
    <row r="116" spans="1:13" ht="20.25" customHeight="1" x14ac:dyDescent="0.25">
      <c r="A116" s="5" t="s">
        <v>9</v>
      </c>
      <c r="B116" s="11" t="s">
        <v>109</v>
      </c>
      <c r="C116" s="3" t="s">
        <v>17</v>
      </c>
      <c r="D116" s="32">
        <f>225.92+54.66</f>
        <v>280.58</v>
      </c>
      <c r="E116" s="2"/>
      <c r="F116" s="13"/>
      <c r="G116" s="13"/>
      <c r="H116" s="1">
        <v>71.25</v>
      </c>
      <c r="I116" s="13">
        <f t="shared" ref="I116:I118" si="65">ROUND(H116*D116,2)</f>
        <v>19991.330000000002</v>
      </c>
      <c r="J116" s="13">
        <f t="shared" ref="J116:J118" si="66">ROUND(I116*1.2,2)</f>
        <v>23989.599999999999</v>
      </c>
      <c r="K116" s="1">
        <f t="shared" si="60"/>
        <v>19991.330000000002</v>
      </c>
      <c r="L116" s="13">
        <f t="shared" si="60"/>
        <v>23989.599999999999</v>
      </c>
      <c r="M116" s="14"/>
    </row>
    <row r="117" spans="1:13" ht="20.25" customHeight="1" x14ac:dyDescent="0.25">
      <c r="A117" s="5" t="s">
        <v>175</v>
      </c>
      <c r="B117" s="11" t="s">
        <v>121</v>
      </c>
      <c r="C117" s="3" t="s">
        <v>17</v>
      </c>
      <c r="D117" s="32">
        <f>66.85</f>
        <v>66.849999999999994</v>
      </c>
      <c r="E117" s="2"/>
      <c r="F117" s="13"/>
      <c r="G117" s="13"/>
      <c r="H117" s="1">
        <v>71.25</v>
      </c>
      <c r="I117" s="13">
        <f t="shared" si="65"/>
        <v>4763.0600000000004</v>
      </c>
      <c r="J117" s="13">
        <f t="shared" si="66"/>
        <v>5715.67</v>
      </c>
      <c r="K117" s="1">
        <f t="shared" si="60"/>
        <v>4763.0600000000004</v>
      </c>
      <c r="L117" s="13">
        <f t="shared" si="60"/>
        <v>5715.67</v>
      </c>
      <c r="M117" s="14"/>
    </row>
    <row r="118" spans="1:13" ht="20.25" customHeight="1" x14ac:dyDescent="0.25">
      <c r="A118" s="5" t="s">
        <v>176</v>
      </c>
      <c r="B118" s="11" t="s">
        <v>110</v>
      </c>
      <c r="C118" s="3" t="s">
        <v>17</v>
      </c>
      <c r="D118" s="32">
        <f>67.64+61.38+179.6</f>
        <v>308.62</v>
      </c>
      <c r="E118" s="2"/>
      <c r="F118" s="13"/>
      <c r="G118" s="13"/>
      <c r="H118" s="1">
        <v>89.774999999999991</v>
      </c>
      <c r="I118" s="13">
        <f t="shared" si="65"/>
        <v>27706.36</v>
      </c>
      <c r="J118" s="13">
        <f t="shared" si="66"/>
        <v>33247.629999999997</v>
      </c>
      <c r="K118" s="1">
        <f t="shared" si="60"/>
        <v>27706.36</v>
      </c>
      <c r="L118" s="13">
        <f t="shared" si="60"/>
        <v>33247.629999999997</v>
      </c>
      <c r="M118" s="14"/>
    </row>
    <row r="119" spans="1:13" ht="20.25" customHeight="1" x14ac:dyDescent="0.25">
      <c r="A119" s="67"/>
      <c r="B119" s="68" t="s">
        <v>177</v>
      </c>
      <c r="C119" s="67"/>
      <c r="D119" s="69"/>
      <c r="E119" s="70"/>
      <c r="F119" s="71"/>
      <c r="G119" s="71"/>
      <c r="H119" s="72"/>
      <c r="I119" s="71"/>
      <c r="J119" s="71"/>
      <c r="K119" s="72"/>
      <c r="L119" s="71"/>
      <c r="M119" s="14"/>
    </row>
    <row r="120" spans="1:13" ht="20.25" customHeight="1" x14ac:dyDescent="0.25">
      <c r="A120" s="9">
        <f>A115+1</f>
        <v>30</v>
      </c>
      <c r="B120" s="41" t="s">
        <v>178</v>
      </c>
      <c r="C120" s="9" t="s">
        <v>1</v>
      </c>
      <c r="D120" s="82">
        <v>1</v>
      </c>
      <c r="E120" s="65">
        <v>129866.9</v>
      </c>
      <c r="F120" s="6">
        <f>ROUND(E120*D120,2)</f>
        <v>129866.9</v>
      </c>
      <c r="G120" s="6">
        <f t="shared" ref="G120" si="67">ROUND(F120*1.2,2)</f>
        <v>155840.28</v>
      </c>
      <c r="H120" s="7"/>
      <c r="I120" s="6"/>
      <c r="J120" s="6"/>
      <c r="K120" s="7">
        <f t="shared" ref="K120:L143" si="68">F120+I120</f>
        <v>129866.9</v>
      </c>
      <c r="L120" s="6">
        <f t="shared" si="68"/>
        <v>155840.28</v>
      </c>
      <c r="M120" s="61" t="s">
        <v>179</v>
      </c>
    </row>
    <row r="121" spans="1:13" ht="20.25" customHeight="1" x14ac:dyDescent="0.25">
      <c r="A121" s="5" t="s">
        <v>8</v>
      </c>
      <c r="B121" s="11" t="s">
        <v>119</v>
      </c>
      <c r="C121" s="3" t="s">
        <v>17</v>
      </c>
      <c r="D121" s="32">
        <f>571.44+210.24+403.36</f>
        <v>1185.04</v>
      </c>
      <c r="E121" s="2"/>
      <c r="F121" s="13"/>
      <c r="G121" s="13"/>
      <c r="H121" s="1">
        <v>71.25</v>
      </c>
      <c r="I121" s="13">
        <f t="shared" ref="I121:I134" si="69">ROUND(H121*D121,2)</f>
        <v>84434.1</v>
      </c>
      <c r="J121" s="13">
        <f t="shared" ref="J121:J134" si="70">ROUND(I121*1.2,2)</f>
        <v>101320.92</v>
      </c>
      <c r="K121" s="1">
        <f t="shared" si="68"/>
        <v>84434.1</v>
      </c>
      <c r="L121" s="13">
        <f t="shared" si="68"/>
        <v>101320.92</v>
      </c>
      <c r="M121" s="14"/>
    </row>
    <row r="122" spans="1:13" ht="20.25" customHeight="1" x14ac:dyDescent="0.25">
      <c r="A122" s="5" t="s">
        <v>180</v>
      </c>
      <c r="B122" s="11" t="s">
        <v>120</v>
      </c>
      <c r="C122" s="3" t="s">
        <v>17</v>
      </c>
      <c r="D122" s="32">
        <f>130.8+134.8</f>
        <v>265.60000000000002</v>
      </c>
      <c r="E122" s="2"/>
      <c r="F122" s="13"/>
      <c r="G122" s="13"/>
      <c r="H122" s="1">
        <v>71.25</v>
      </c>
      <c r="I122" s="13">
        <f t="shared" si="69"/>
        <v>18924</v>
      </c>
      <c r="J122" s="13">
        <f t="shared" si="70"/>
        <v>22708.799999999999</v>
      </c>
      <c r="K122" s="1">
        <f t="shared" si="68"/>
        <v>18924</v>
      </c>
      <c r="L122" s="13">
        <f t="shared" si="68"/>
        <v>22708.799999999999</v>
      </c>
      <c r="M122" s="14"/>
    </row>
    <row r="123" spans="1:13" ht="20.25" customHeight="1" x14ac:dyDescent="0.25">
      <c r="A123" s="5" t="s">
        <v>181</v>
      </c>
      <c r="B123" s="11" t="s">
        <v>109</v>
      </c>
      <c r="C123" s="3" t="s">
        <v>17</v>
      </c>
      <c r="D123" s="32">
        <f>108.12</f>
        <v>108.12</v>
      </c>
      <c r="E123" s="2"/>
      <c r="F123" s="13"/>
      <c r="G123" s="13"/>
      <c r="H123" s="1">
        <v>71.25</v>
      </c>
      <c r="I123" s="13">
        <f t="shared" si="69"/>
        <v>7703.55</v>
      </c>
      <c r="J123" s="13">
        <f t="shared" si="70"/>
        <v>9244.26</v>
      </c>
      <c r="K123" s="1">
        <f t="shared" si="68"/>
        <v>7703.55</v>
      </c>
      <c r="L123" s="13">
        <f t="shared" si="68"/>
        <v>9244.26</v>
      </c>
      <c r="M123" s="14"/>
    </row>
    <row r="124" spans="1:13" ht="20.25" customHeight="1" x14ac:dyDescent="0.25">
      <c r="A124" s="5" t="s">
        <v>182</v>
      </c>
      <c r="B124" s="11" t="s">
        <v>121</v>
      </c>
      <c r="C124" s="3" t="s">
        <v>17</v>
      </c>
      <c r="D124" s="32">
        <f>39.76+26.74</f>
        <v>66.5</v>
      </c>
      <c r="E124" s="2"/>
      <c r="F124" s="13"/>
      <c r="G124" s="13"/>
      <c r="H124" s="1">
        <v>71.25</v>
      </c>
      <c r="I124" s="13">
        <f t="shared" si="69"/>
        <v>4738.13</v>
      </c>
      <c r="J124" s="13">
        <f t="shared" si="70"/>
        <v>5685.76</v>
      </c>
      <c r="K124" s="1">
        <f t="shared" si="68"/>
        <v>4738.13</v>
      </c>
      <c r="L124" s="13">
        <f t="shared" si="68"/>
        <v>5685.76</v>
      </c>
      <c r="M124" s="14"/>
    </row>
    <row r="125" spans="1:13" ht="20.25" customHeight="1" x14ac:dyDescent="0.25">
      <c r="A125" s="5" t="s">
        <v>183</v>
      </c>
      <c r="B125" s="11" t="s">
        <v>110</v>
      </c>
      <c r="C125" s="3" t="s">
        <v>17</v>
      </c>
      <c r="D125" s="32">
        <f>98.88+61.38</f>
        <v>160.26</v>
      </c>
      <c r="E125" s="2"/>
      <c r="F125" s="13"/>
      <c r="G125" s="13"/>
      <c r="H125" s="1">
        <v>89.774999999999991</v>
      </c>
      <c r="I125" s="13">
        <f t="shared" si="69"/>
        <v>14387.34</v>
      </c>
      <c r="J125" s="13">
        <f t="shared" si="70"/>
        <v>17264.810000000001</v>
      </c>
      <c r="K125" s="1">
        <f t="shared" si="68"/>
        <v>14387.34</v>
      </c>
      <c r="L125" s="13">
        <f t="shared" si="68"/>
        <v>17264.810000000001</v>
      </c>
      <c r="M125" s="14"/>
    </row>
    <row r="126" spans="1:13" ht="20.25" customHeight="1" x14ac:dyDescent="0.25">
      <c r="A126" s="5" t="s">
        <v>184</v>
      </c>
      <c r="B126" s="11" t="s">
        <v>123</v>
      </c>
      <c r="C126" s="3" t="s">
        <v>17</v>
      </c>
      <c r="D126" s="32">
        <f>60.8+14.76</f>
        <v>75.56</v>
      </c>
      <c r="E126" s="2"/>
      <c r="F126" s="13"/>
      <c r="G126" s="13"/>
      <c r="H126" s="1">
        <v>84.55</v>
      </c>
      <c r="I126" s="13">
        <f t="shared" si="69"/>
        <v>6388.6</v>
      </c>
      <c r="J126" s="13">
        <f t="shared" si="70"/>
        <v>7666.32</v>
      </c>
      <c r="K126" s="1">
        <f t="shared" si="68"/>
        <v>6388.6</v>
      </c>
      <c r="L126" s="13">
        <f t="shared" si="68"/>
        <v>7666.32</v>
      </c>
      <c r="M126" s="14"/>
    </row>
    <row r="127" spans="1:13" ht="20.25" customHeight="1" x14ac:dyDescent="0.25">
      <c r="A127" s="5" t="s">
        <v>185</v>
      </c>
      <c r="B127" s="11" t="s">
        <v>111</v>
      </c>
      <c r="C127" s="3" t="s">
        <v>17</v>
      </c>
      <c r="D127" s="32">
        <f>94.08+47.12</f>
        <v>141.19999999999999</v>
      </c>
      <c r="E127" s="2"/>
      <c r="F127" s="13"/>
      <c r="G127" s="13"/>
      <c r="H127" s="1">
        <v>84.55</v>
      </c>
      <c r="I127" s="13">
        <f t="shared" si="69"/>
        <v>11938.46</v>
      </c>
      <c r="J127" s="13">
        <f t="shared" si="70"/>
        <v>14326.15</v>
      </c>
      <c r="K127" s="1">
        <f t="shared" si="68"/>
        <v>11938.46</v>
      </c>
      <c r="L127" s="13">
        <f t="shared" si="68"/>
        <v>14326.15</v>
      </c>
      <c r="M127" s="61"/>
    </row>
    <row r="128" spans="1:13" ht="20.25" customHeight="1" x14ac:dyDescent="0.25">
      <c r="A128" s="5" t="s">
        <v>186</v>
      </c>
      <c r="B128" s="11" t="s">
        <v>122</v>
      </c>
      <c r="C128" s="3" t="s">
        <v>17</v>
      </c>
      <c r="D128" s="32">
        <f>8</f>
        <v>8</v>
      </c>
      <c r="E128" s="2"/>
      <c r="F128" s="13"/>
      <c r="G128" s="13"/>
      <c r="H128" s="1">
        <v>84.55</v>
      </c>
      <c r="I128" s="13">
        <f t="shared" si="69"/>
        <v>676.4</v>
      </c>
      <c r="J128" s="13">
        <f t="shared" si="70"/>
        <v>811.68</v>
      </c>
      <c r="K128" s="1">
        <f t="shared" si="68"/>
        <v>676.4</v>
      </c>
      <c r="L128" s="13">
        <f t="shared" si="68"/>
        <v>811.68</v>
      </c>
      <c r="M128" s="14"/>
    </row>
    <row r="129" spans="1:13" ht="20.25" customHeight="1" x14ac:dyDescent="0.25">
      <c r="A129" s="5" t="s">
        <v>187</v>
      </c>
      <c r="B129" s="11" t="s">
        <v>135</v>
      </c>
      <c r="C129" s="3" t="s">
        <v>17</v>
      </c>
      <c r="D129" s="20">
        <v>1.0900000000000001</v>
      </c>
      <c r="E129" s="2"/>
      <c r="F129" s="13"/>
      <c r="G129" s="13"/>
      <c r="H129" s="1">
        <v>120.64999999999999</v>
      </c>
      <c r="I129" s="13">
        <f t="shared" si="69"/>
        <v>131.51</v>
      </c>
      <c r="J129" s="13">
        <f t="shared" si="70"/>
        <v>157.81</v>
      </c>
      <c r="K129" s="1">
        <f t="shared" si="68"/>
        <v>131.51</v>
      </c>
      <c r="L129" s="13">
        <f t="shared" si="68"/>
        <v>157.81</v>
      </c>
      <c r="M129" s="14"/>
    </row>
    <row r="130" spans="1:13" ht="20.25" customHeight="1" x14ac:dyDescent="0.25">
      <c r="A130" s="5" t="s">
        <v>188</v>
      </c>
      <c r="B130" s="11" t="s">
        <v>136</v>
      </c>
      <c r="C130" s="3" t="s">
        <v>17</v>
      </c>
      <c r="D130" s="20">
        <v>0.48</v>
      </c>
      <c r="E130" s="2"/>
      <c r="F130" s="13"/>
      <c r="G130" s="13"/>
      <c r="H130" s="1">
        <v>139.65</v>
      </c>
      <c r="I130" s="13">
        <f t="shared" si="69"/>
        <v>67.03</v>
      </c>
      <c r="J130" s="13">
        <f t="shared" si="70"/>
        <v>80.44</v>
      </c>
      <c r="K130" s="1">
        <f t="shared" si="68"/>
        <v>67.03</v>
      </c>
      <c r="L130" s="13">
        <f t="shared" si="68"/>
        <v>80.44</v>
      </c>
      <c r="M130" s="14"/>
    </row>
    <row r="131" spans="1:13" ht="20.25" customHeight="1" x14ac:dyDescent="0.25">
      <c r="A131" s="5" t="s">
        <v>189</v>
      </c>
      <c r="B131" s="11" t="s">
        <v>154</v>
      </c>
      <c r="C131" s="3" t="s">
        <v>17</v>
      </c>
      <c r="D131" s="20">
        <v>0.12</v>
      </c>
      <c r="E131" s="2"/>
      <c r="F131" s="13"/>
      <c r="G131" s="13"/>
      <c r="H131" s="1">
        <v>187.14999999999998</v>
      </c>
      <c r="I131" s="13">
        <f t="shared" si="69"/>
        <v>22.46</v>
      </c>
      <c r="J131" s="13">
        <f t="shared" si="70"/>
        <v>26.95</v>
      </c>
      <c r="K131" s="1">
        <f t="shared" si="68"/>
        <v>22.46</v>
      </c>
      <c r="L131" s="13">
        <f t="shared" si="68"/>
        <v>26.95</v>
      </c>
      <c r="M131" s="14"/>
    </row>
    <row r="132" spans="1:13" ht="20.25" customHeight="1" x14ac:dyDescent="0.25">
      <c r="A132" s="5" t="s">
        <v>190</v>
      </c>
      <c r="B132" s="11" t="s">
        <v>155</v>
      </c>
      <c r="C132" s="3" t="s">
        <v>17</v>
      </c>
      <c r="D132" s="20">
        <v>0.28000000000000003</v>
      </c>
      <c r="E132" s="2"/>
      <c r="F132" s="13"/>
      <c r="G132" s="13"/>
      <c r="H132" s="1">
        <v>139.65</v>
      </c>
      <c r="I132" s="13">
        <f t="shared" si="69"/>
        <v>39.1</v>
      </c>
      <c r="J132" s="13">
        <f t="shared" si="70"/>
        <v>46.92</v>
      </c>
      <c r="K132" s="1">
        <f t="shared" si="68"/>
        <v>39.1</v>
      </c>
      <c r="L132" s="13">
        <f t="shared" si="68"/>
        <v>46.92</v>
      </c>
      <c r="M132" s="14"/>
    </row>
    <row r="133" spans="1:13" ht="20.25" customHeight="1" x14ac:dyDescent="0.25">
      <c r="A133" s="5" t="s">
        <v>191</v>
      </c>
      <c r="B133" s="11" t="s">
        <v>156</v>
      </c>
      <c r="C133" s="3" t="s">
        <v>17</v>
      </c>
      <c r="D133" s="20">
        <v>7.0000000000000007E-2</v>
      </c>
      <c r="E133" s="2"/>
      <c r="F133" s="13"/>
      <c r="G133" s="13"/>
      <c r="H133" s="1">
        <v>187.15</v>
      </c>
      <c r="I133" s="13">
        <f t="shared" si="69"/>
        <v>13.1</v>
      </c>
      <c r="J133" s="13">
        <f t="shared" si="70"/>
        <v>15.72</v>
      </c>
      <c r="K133" s="1">
        <f t="shared" si="68"/>
        <v>13.1</v>
      </c>
      <c r="L133" s="13">
        <f t="shared" si="68"/>
        <v>15.72</v>
      </c>
      <c r="M133" s="14"/>
    </row>
    <row r="134" spans="1:13" ht="20.25" customHeight="1" x14ac:dyDescent="0.25">
      <c r="A134" s="5" t="s">
        <v>192</v>
      </c>
      <c r="B134" s="4" t="s">
        <v>134</v>
      </c>
      <c r="C134" s="3" t="s">
        <v>17</v>
      </c>
      <c r="D134" s="32">
        <v>60.31</v>
      </c>
      <c r="E134" s="2"/>
      <c r="F134" s="13"/>
      <c r="G134" s="13"/>
      <c r="H134" s="1"/>
      <c r="I134" s="13">
        <f t="shared" si="69"/>
        <v>0</v>
      </c>
      <c r="J134" s="13">
        <f t="shared" si="70"/>
        <v>0</v>
      </c>
      <c r="K134" s="1">
        <f t="shared" si="68"/>
        <v>0</v>
      </c>
      <c r="L134" s="13">
        <f t="shared" si="68"/>
        <v>0</v>
      </c>
      <c r="M134" s="14"/>
    </row>
    <row r="135" spans="1:13" ht="30.75" customHeight="1" x14ac:dyDescent="0.25">
      <c r="A135" s="9">
        <f>A120+1</f>
        <v>31</v>
      </c>
      <c r="B135" s="41" t="s">
        <v>193</v>
      </c>
      <c r="C135" s="18" t="s">
        <v>21</v>
      </c>
      <c r="D135" s="66">
        <f>522.55/1000</f>
        <v>0.52254999999999996</v>
      </c>
      <c r="E135" s="42">
        <v>46018.60158311345</v>
      </c>
      <c r="F135" s="6">
        <f>ROUND(E135*D135,2)</f>
        <v>24047.02</v>
      </c>
      <c r="G135" s="6">
        <f t="shared" ref="G135" si="71">ROUND(F135*1.2,2)</f>
        <v>28856.42</v>
      </c>
      <c r="H135" s="7"/>
      <c r="I135" s="6"/>
      <c r="J135" s="6"/>
      <c r="K135" s="7">
        <f t="shared" si="68"/>
        <v>24047.02</v>
      </c>
      <c r="L135" s="6">
        <f t="shared" si="68"/>
        <v>28856.42</v>
      </c>
      <c r="M135" s="14"/>
    </row>
    <row r="136" spans="1:13" ht="20.25" customHeight="1" x14ac:dyDescent="0.25">
      <c r="A136" s="5" t="s">
        <v>7</v>
      </c>
      <c r="B136" s="11" t="s">
        <v>110</v>
      </c>
      <c r="C136" s="3" t="s">
        <v>17</v>
      </c>
      <c r="D136" s="32">
        <f>(136.32)</f>
        <v>136.32</v>
      </c>
      <c r="E136" s="2"/>
      <c r="F136" s="13"/>
      <c r="G136" s="13"/>
      <c r="H136" s="1">
        <v>89.774999999999991</v>
      </c>
      <c r="I136" s="13">
        <f t="shared" ref="I136:I139" si="72">ROUND(H136*D136,2)</f>
        <v>12238.13</v>
      </c>
      <c r="J136" s="13">
        <f t="shared" ref="J136:J139" si="73">ROUND(I136*1.2,2)</f>
        <v>14685.76</v>
      </c>
      <c r="K136" s="1">
        <f t="shared" si="68"/>
        <v>12238.13</v>
      </c>
      <c r="L136" s="13">
        <f t="shared" si="68"/>
        <v>14685.76</v>
      </c>
      <c r="M136" s="14"/>
    </row>
    <row r="137" spans="1:13" ht="20.25" customHeight="1" x14ac:dyDescent="0.25">
      <c r="A137" s="5" t="s">
        <v>195</v>
      </c>
      <c r="B137" s="47" t="s">
        <v>141</v>
      </c>
      <c r="C137" s="3" t="s">
        <v>17</v>
      </c>
      <c r="D137" s="32">
        <v>283.54000000000002</v>
      </c>
      <c r="E137" s="2"/>
      <c r="F137" s="13"/>
      <c r="G137" s="13"/>
      <c r="H137" s="1"/>
      <c r="I137" s="13">
        <f t="shared" si="72"/>
        <v>0</v>
      </c>
      <c r="J137" s="13">
        <f t="shared" si="73"/>
        <v>0</v>
      </c>
      <c r="K137" s="1">
        <f t="shared" si="68"/>
        <v>0</v>
      </c>
      <c r="L137" s="13">
        <f t="shared" si="68"/>
        <v>0</v>
      </c>
      <c r="M137" s="14"/>
    </row>
    <row r="138" spans="1:13" ht="20.25" customHeight="1" x14ac:dyDescent="0.25">
      <c r="A138" s="5" t="s">
        <v>196</v>
      </c>
      <c r="B138" s="11" t="s">
        <v>142</v>
      </c>
      <c r="C138" s="3" t="s">
        <v>17</v>
      </c>
      <c r="D138" s="32">
        <v>98.91</v>
      </c>
      <c r="E138" s="2"/>
      <c r="F138" s="13"/>
      <c r="G138" s="13"/>
      <c r="H138" s="1">
        <v>84.55</v>
      </c>
      <c r="I138" s="13">
        <f t="shared" si="72"/>
        <v>8362.84</v>
      </c>
      <c r="J138" s="13">
        <f t="shared" si="73"/>
        <v>10035.41</v>
      </c>
      <c r="K138" s="1">
        <f t="shared" si="68"/>
        <v>8362.84</v>
      </c>
      <c r="L138" s="13">
        <f t="shared" si="68"/>
        <v>10035.41</v>
      </c>
      <c r="M138" s="14"/>
    </row>
    <row r="139" spans="1:13" ht="20.25" customHeight="1" x14ac:dyDescent="0.25">
      <c r="A139" s="5" t="s">
        <v>197</v>
      </c>
      <c r="B139" s="11" t="s">
        <v>111</v>
      </c>
      <c r="C139" s="3" t="s">
        <v>17</v>
      </c>
      <c r="D139" s="32">
        <f>(3.77)</f>
        <v>3.77</v>
      </c>
      <c r="E139" s="2"/>
      <c r="F139" s="13"/>
      <c r="G139" s="13"/>
      <c r="H139" s="1">
        <v>84.55</v>
      </c>
      <c r="I139" s="13">
        <f t="shared" si="72"/>
        <v>318.75</v>
      </c>
      <c r="J139" s="13">
        <f t="shared" si="73"/>
        <v>382.5</v>
      </c>
      <c r="K139" s="1">
        <f t="shared" si="68"/>
        <v>318.75</v>
      </c>
      <c r="L139" s="13">
        <f t="shared" si="68"/>
        <v>382.5</v>
      </c>
      <c r="M139" s="14"/>
    </row>
    <row r="140" spans="1:13" ht="29.25" customHeight="1" x14ac:dyDescent="0.25">
      <c r="A140" s="9">
        <f>A135+1</f>
        <v>32</v>
      </c>
      <c r="B140" s="41" t="s">
        <v>194</v>
      </c>
      <c r="C140" s="18" t="s">
        <v>21</v>
      </c>
      <c r="D140" s="66">
        <f>263.82/1000</f>
        <v>0.26382</v>
      </c>
      <c r="E140" s="42">
        <v>46018.60158311345</v>
      </c>
      <c r="F140" s="6">
        <f>ROUND(E140*D140,2)</f>
        <v>12140.63</v>
      </c>
      <c r="G140" s="6">
        <f t="shared" ref="G140" si="74">ROUND(F140*1.2,2)</f>
        <v>14568.76</v>
      </c>
      <c r="H140" s="7"/>
      <c r="I140" s="6"/>
      <c r="J140" s="6"/>
      <c r="K140" s="7">
        <f t="shared" si="68"/>
        <v>12140.63</v>
      </c>
      <c r="L140" s="6">
        <f t="shared" si="68"/>
        <v>14568.76</v>
      </c>
      <c r="M140" s="14"/>
    </row>
    <row r="141" spans="1:13" ht="20.25" customHeight="1" x14ac:dyDescent="0.25">
      <c r="A141" s="5" t="s">
        <v>6</v>
      </c>
      <c r="B141" s="11" t="s">
        <v>121</v>
      </c>
      <c r="C141" s="3" t="s">
        <v>17</v>
      </c>
      <c r="D141" s="32">
        <v>26.74</v>
      </c>
      <c r="E141" s="2"/>
      <c r="F141" s="13"/>
      <c r="G141" s="13"/>
      <c r="H141" s="1">
        <v>71.25</v>
      </c>
      <c r="I141" s="13">
        <f t="shared" ref="I141:I143" si="75">ROUND(H141*D141,2)</f>
        <v>1905.23</v>
      </c>
      <c r="J141" s="13">
        <f t="shared" ref="J141:J143" si="76">ROUND(I141*1.2,2)</f>
        <v>2286.2800000000002</v>
      </c>
      <c r="K141" s="1">
        <f t="shared" si="68"/>
        <v>1905.23</v>
      </c>
      <c r="L141" s="13">
        <f t="shared" si="68"/>
        <v>2286.2800000000002</v>
      </c>
      <c r="M141" s="14"/>
    </row>
    <row r="142" spans="1:13" ht="20.25" customHeight="1" x14ac:dyDescent="0.25">
      <c r="A142" s="5" t="s">
        <v>198</v>
      </c>
      <c r="B142" s="11" t="s">
        <v>109</v>
      </c>
      <c r="C142" s="3" t="s">
        <v>17</v>
      </c>
      <c r="D142" s="32">
        <v>169.44</v>
      </c>
      <c r="E142" s="2"/>
      <c r="F142" s="13"/>
      <c r="G142" s="13"/>
      <c r="H142" s="1">
        <v>71.25</v>
      </c>
      <c r="I142" s="13">
        <f t="shared" si="75"/>
        <v>12072.6</v>
      </c>
      <c r="J142" s="13">
        <f t="shared" si="76"/>
        <v>14487.12</v>
      </c>
      <c r="K142" s="1">
        <f t="shared" si="68"/>
        <v>12072.6</v>
      </c>
      <c r="L142" s="13">
        <f t="shared" si="68"/>
        <v>14487.12</v>
      </c>
      <c r="M142" s="14"/>
    </row>
    <row r="143" spans="1:13" ht="20.25" customHeight="1" x14ac:dyDescent="0.25">
      <c r="A143" s="5" t="s">
        <v>199</v>
      </c>
      <c r="B143" s="11" t="s">
        <v>110</v>
      </c>
      <c r="C143" s="3" t="s">
        <v>17</v>
      </c>
      <c r="D143" s="32">
        <f>(67.64+89.8)</f>
        <v>157.44</v>
      </c>
      <c r="E143" s="2"/>
      <c r="F143" s="13"/>
      <c r="G143" s="13"/>
      <c r="H143" s="1">
        <v>89.774999999999991</v>
      </c>
      <c r="I143" s="13">
        <f t="shared" si="75"/>
        <v>14134.18</v>
      </c>
      <c r="J143" s="13">
        <f t="shared" si="76"/>
        <v>16961.02</v>
      </c>
      <c r="K143" s="1">
        <f t="shared" si="68"/>
        <v>14134.18</v>
      </c>
      <c r="L143" s="13">
        <f t="shared" si="68"/>
        <v>16961.02</v>
      </c>
      <c r="M143" s="14"/>
    </row>
    <row r="144" spans="1:13" ht="20.25" customHeight="1" x14ac:dyDescent="0.25">
      <c r="A144" s="9">
        <f>A140+1</f>
        <v>33</v>
      </c>
      <c r="B144" s="41" t="s">
        <v>200</v>
      </c>
      <c r="C144" s="18" t="s">
        <v>18</v>
      </c>
      <c r="D144" s="62">
        <v>361.75</v>
      </c>
      <c r="E144" s="42">
        <v>144.4</v>
      </c>
      <c r="F144" s="6">
        <f t="shared" ref="F144:F149" si="77">ROUND(E144*D144,2)</f>
        <v>52236.7</v>
      </c>
      <c r="G144" s="6">
        <f t="shared" ref="G144:G149" si="78">ROUND(F144*1.2,2)</f>
        <v>62684.04</v>
      </c>
      <c r="H144" s="7"/>
      <c r="I144" s="6"/>
      <c r="J144" s="6"/>
      <c r="K144" s="7">
        <f t="shared" ref="K144:L154" si="79">F144+I144</f>
        <v>52236.7</v>
      </c>
      <c r="L144" s="6">
        <f t="shared" si="79"/>
        <v>62684.04</v>
      </c>
      <c r="M144" s="14"/>
    </row>
    <row r="145" spans="1:13" ht="20.25" customHeight="1" x14ac:dyDescent="0.25">
      <c r="A145" s="5" t="s">
        <v>5</v>
      </c>
      <c r="B145" s="11" t="s">
        <v>208</v>
      </c>
      <c r="C145" s="3" t="s">
        <v>17</v>
      </c>
      <c r="D145" s="32">
        <f>(67.64+89.8)</f>
        <v>157.44</v>
      </c>
      <c r="E145" s="2"/>
      <c r="F145" s="13"/>
      <c r="G145" s="13"/>
      <c r="H145" s="1">
        <v>149.15</v>
      </c>
      <c r="I145" s="13">
        <f t="shared" ref="I145" si="80">ROUND(H145*D145,2)</f>
        <v>23482.18</v>
      </c>
      <c r="J145" s="13">
        <f t="shared" ref="J145" si="81">ROUND(I145*1.2,2)</f>
        <v>28178.62</v>
      </c>
      <c r="K145" s="1">
        <f t="shared" si="79"/>
        <v>23482.18</v>
      </c>
      <c r="L145" s="13">
        <f t="shared" si="79"/>
        <v>28178.62</v>
      </c>
      <c r="M145" s="14"/>
    </row>
    <row r="146" spans="1:13" ht="20.25" customHeight="1" x14ac:dyDescent="0.25">
      <c r="A146" s="9">
        <f>A144+1</f>
        <v>34</v>
      </c>
      <c r="B146" s="41" t="s">
        <v>201</v>
      </c>
      <c r="C146" s="18" t="s">
        <v>18</v>
      </c>
      <c r="D146" s="63">
        <v>145.80000000000001</v>
      </c>
      <c r="E146" s="42">
        <v>909.45</v>
      </c>
      <c r="F146" s="6">
        <f t="shared" si="77"/>
        <v>132597.81</v>
      </c>
      <c r="G146" s="6">
        <f t="shared" si="78"/>
        <v>159117.37</v>
      </c>
      <c r="H146" s="7"/>
      <c r="I146" s="6"/>
      <c r="J146" s="6"/>
      <c r="K146" s="7">
        <f t="shared" si="79"/>
        <v>132597.81</v>
      </c>
      <c r="L146" s="6">
        <f t="shared" si="79"/>
        <v>159117.37</v>
      </c>
      <c r="M146" s="14"/>
    </row>
    <row r="147" spans="1:13" ht="32.25" customHeight="1" x14ac:dyDescent="0.25">
      <c r="A147" s="9">
        <f t="shared" ref="A147:A149" si="82">A146+1</f>
        <v>35</v>
      </c>
      <c r="B147" s="41" t="s">
        <v>202</v>
      </c>
      <c r="C147" s="18" t="s">
        <v>18</v>
      </c>
      <c r="D147" s="62">
        <v>507.55</v>
      </c>
      <c r="E147" s="42">
        <v>80.75</v>
      </c>
      <c r="F147" s="6">
        <f t="shared" si="77"/>
        <v>40984.660000000003</v>
      </c>
      <c r="G147" s="6">
        <f t="shared" si="78"/>
        <v>49181.59</v>
      </c>
      <c r="H147" s="7"/>
      <c r="I147" s="6"/>
      <c r="J147" s="6"/>
      <c r="K147" s="7">
        <f t="shared" si="79"/>
        <v>40984.660000000003</v>
      </c>
      <c r="L147" s="6">
        <f t="shared" si="79"/>
        <v>49181.59</v>
      </c>
      <c r="M147" s="14"/>
    </row>
    <row r="148" spans="1:13" ht="20.25" customHeight="1" x14ac:dyDescent="0.25">
      <c r="A148" s="9">
        <f t="shared" si="82"/>
        <v>36</v>
      </c>
      <c r="B148" s="41" t="s">
        <v>203</v>
      </c>
      <c r="C148" s="18" t="s">
        <v>18</v>
      </c>
      <c r="D148" s="62">
        <v>507.55</v>
      </c>
      <c r="E148" s="42">
        <v>172.9</v>
      </c>
      <c r="F148" s="6">
        <f t="shared" si="77"/>
        <v>87755.4</v>
      </c>
      <c r="G148" s="6">
        <f t="shared" si="78"/>
        <v>105306.48</v>
      </c>
      <c r="H148" s="7"/>
      <c r="I148" s="6"/>
      <c r="J148" s="6"/>
      <c r="K148" s="7">
        <f t="shared" si="79"/>
        <v>87755.4</v>
      </c>
      <c r="L148" s="6">
        <f t="shared" si="79"/>
        <v>105306.48</v>
      </c>
      <c r="M148" s="14"/>
    </row>
    <row r="149" spans="1:13" ht="34.5" customHeight="1" x14ac:dyDescent="0.25">
      <c r="A149" s="9">
        <f t="shared" si="82"/>
        <v>37</v>
      </c>
      <c r="B149" s="41" t="s">
        <v>204</v>
      </c>
      <c r="C149" s="18" t="s">
        <v>13</v>
      </c>
      <c r="D149" s="63">
        <v>0.1</v>
      </c>
      <c r="E149" s="42">
        <v>3780.0499999999997</v>
      </c>
      <c r="F149" s="6">
        <f t="shared" si="77"/>
        <v>378.01</v>
      </c>
      <c r="G149" s="6">
        <f t="shared" si="78"/>
        <v>453.61</v>
      </c>
      <c r="H149" s="7"/>
      <c r="I149" s="6"/>
      <c r="J149" s="6"/>
      <c r="K149" s="7">
        <f t="shared" si="79"/>
        <v>378.01</v>
      </c>
      <c r="L149" s="6">
        <f t="shared" si="79"/>
        <v>453.61</v>
      </c>
      <c r="M149" s="14"/>
    </row>
    <row r="150" spans="1:13" ht="20.25" customHeight="1" x14ac:dyDescent="0.25">
      <c r="A150" s="5" t="s">
        <v>4</v>
      </c>
      <c r="B150" s="47" t="s">
        <v>205</v>
      </c>
      <c r="C150" s="3" t="s">
        <v>13</v>
      </c>
      <c r="D150" s="83">
        <v>0.10199999999999999</v>
      </c>
      <c r="E150" s="2"/>
      <c r="F150" s="13"/>
      <c r="G150" s="13"/>
      <c r="H150" s="1"/>
      <c r="I150" s="13">
        <f t="shared" ref="I150" si="83">ROUND(H150*D150,2)</f>
        <v>0</v>
      </c>
      <c r="J150" s="13">
        <f t="shared" ref="J150" si="84">ROUND(I150*1.2,2)</f>
        <v>0</v>
      </c>
      <c r="K150" s="1">
        <f t="shared" si="79"/>
        <v>0</v>
      </c>
      <c r="L150" s="13">
        <f t="shared" si="79"/>
        <v>0</v>
      </c>
      <c r="M150" s="14"/>
    </row>
    <row r="151" spans="1:13" ht="27" customHeight="1" x14ac:dyDescent="0.25">
      <c r="A151" s="9">
        <f>A149+1</f>
        <v>38</v>
      </c>
      <c r="B151" s="15" t="s">
        <v>206</v>
      </c>
      <c r="C151" s="9" t="s">
        <v>18</v>
      </c>
      <c r="D151" s="31">
        <v>1.29</v>
      </c>
      <c r="E151" s="7">
        <v>144.4</v>
      </c>
      <c r="F151" s="6">
        <f>ROUND(E151*D151,2)</f>
        <v>186.28</v>
      </c>
      <c r="G151" s="6">
        <f t="shared" ref="G151" si="85">ROUND(F151*1.2,2)</f>
        <v>223.54</v>
      </c>
      <c r="H151" s="7"/>
      <c r="I151" s="6"/>
      <c r="J151" s="6"/>
      <c r="K151" s="7">
        <f t="shared" si="79"/>
        <v>186.28</v>
      </c>
      <c r="L151" s="6">
        <f t="shared" si="79"/>
        <v>223.54</v>
      </c>
      <c r="M151" s="14"/>
    </row>
    <row r="152" spans="1:13" ht="17.25" customHeight="1" x14ac:dyDescent="0.25">
      <c r="A152" s="5" t="s">
        <v>3</v>
      </c>
      <c r="B152" s="4" t="s">
        <v>41</v>
      </c>
      <c r="C152" s="3" t="s">
        <v>19</v>
      </c>
      <c r="D152" s="32">
        <f>D151*0.3*20/16</f>
        <v>0.48375000000000001</v>
      </c>
      <c r="E152" s="1"/>
      <c r="F152" s="13"/>
      <c r="G152" s="13"/>
      <c r="H152" s="37">
        <v>237.5</v>
      </c>
      <c r="I152" s="13">
        <f>ROUND(H152*D152,2)</f>
        <v>114.89</v>
      </c>
      <c r="J152" s="13">
        <f t="shared" ref="J152" si="86">ROUND(I152*1.2,2)</f>
        <v>137.87</v>
      </c>
      <c r="K152" s="1">
        <f t="shared" si="79"/>
        <v>114.89</v>
      </c>
      <c r="L152" s="13">
        <f t="shared" si="79"/>
        <v>137.87</v>
      </c>
      <c r="M152" s="14"/>
    </row>
    <row r="153" spans="1:13" ht="27.75" customHeight="1" x14ac:dyDescent="0.25">
      <c r="A153" s="9">
        <f>A151+1</f>
        <v>39</v>
      </c>
      <c r="B153" s="15" t="s">
        <v>207</v>
      </c>
      <c r="C153" s="9" t="s">
        <v>18</v>
      </c>
      <c r="D153" s="31">
        <v>1.29</v>
      </c>
      <c r="E153" s="7">
        <v>299.76</v>
      </c>
      <c r="F153" s="6">
        <f>ROUND(E153*D153,2)</f>
        <v>386.69</v>
      </c>
      <c r="G153" s="6">
        <f t="shared" ref="G153" si="87">ROUND(F153*1.2,2)</f>
        <v>464.03</v>
      </c>
      <c r="H153" s="7"/>
      <c r="I153" s="6"/>
      <c r="J153" s="6"/>
      <c r="K153" s="7">
        <f t="shared" si="79"/>
        <v>386.69</v>
      </c>
      <c r="L153" s="6">
        <f t="shared" si="79"/>
        <v>464.03</v>
      </c>
      <c r="M153" s="14"/>
    </row>
    <row r="154" spans="1:13" x14ac:dyDescent="0.25">
      <c r="A154" s="5" t="s">
        <v>2</v>
      </c>
      <c r="B154" s="4" t="s">
        <v>42</v>
      </c>
      <c r="C154" s="3" t="s">
        <v>17</v>
      </c>
      <c r="D154" s="20">
        <f>D153*0.7*2</f>
        <v>1.8059999999999998</v>
      </c>
      <c r="E154" s="1"/>
      <c r="F154" s="13"/>
      <c r="G154" s="13"/>
      <c r="H154" s="37">
        <v>296.39999999999998</v>
      </c>
      <c r="I154" s="13">
        <f t="shared" ref="I154" si="88">ROUND(H154*D154,2)</f>
        <v>535.29999999999995</v>
      </c>
      <c r="J154" s="13">
        <f t="shared" ref="J154" si="89">ROUND(I154*1.2,2)</f>
        <v>642.36</v>
      </c>
      <c r="K154" s="1">
        <f t="shared" si="79"/>
        <v>535.29999999999995</v>
      </c>
      <c r="L154" s="13">
        <f t="shared" si="79"/>
        <v>642.36</v>
      </c>
      <c r="M154" s="14"/>
    </row>
    <row r="155" spans="1:13" ht="15.75" x14ac:dyDescent="0.25">
      <c r="A155" s="164" t="s">
        <v>0</v>
      </c>
      <c r="B155" s="165"/>
      <c r="C155" s="165"/>
      <c r="D155" s="165"/>
      <c r="E155" s="166"/>
      <c r="F155" s="38">
        <f>SUM(F12:F154)</f>
        <v>2972569.8299999996</v>
      </c>
      <c r="G155" s="39">
        <f>ROUND(F155*1.2,2)</f>
        <v>3567083.8</v>
      </c>
      <c r="I155" s="38">
        <f>SUM(I12:I154)</f>
        <v>1145087.6300000001</v>
      </c>
      <c r="J155" s="39">
        <f>ROUND(I155*1.2,2)</f>
        <v>1374105.16</v>
      </c>
      <c r="K155" s="38">
        <f>SUM(K12:K154)</f>
        <v>4117657.4599999986</v>
      </c>
      <c r="L155" s="39">
        <f>ROUND(K155*1.2,2)</f>
        <v>4941188.95</v>
      </c>
    </row>
  </sheetData>
  <mergeCells count="10">
    <mergeCell ref="B6:D6"/>
    <mergeCell ref="A155:E15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АС4</vt:lpstr>
      <vt:lpstr>АС4 (2)</vt:lpstr>
      <vt:lpstr>АС4!Область_печати</vt:lpstr>
      <vt:lpstr>'АС4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2024-06-06T11:16:19Z</dcterms:created>
  <dcterms:modified xsi:type="dcterms:W3CDTF">2024-10-22T13:04:03Z</dcterms:modified>
</cp:coreProperties>
</file>