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1CBF647B-4C80-46FA-BBFD-6BBBC5612D48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Свод" sheetId="6" state="hidden" r:id="rId1"/>
    <sheet name="ГП2 " sheetId="8" r:id="rId2"/>
    <sheet name="ГП2  (2)" sheetId="10" state="hidden" r:id="rId3"/>
    <sheet name="ГП1" sheetId="9" state="hidden" r:id="rId4"/>
  </sheets>
  <definedNames>
    <definedName name="_xlnm.Print_Area" localSheetId="3">ГП1!$A$1:$L$60</definedName>
    <definedName name="_xlnm.Print_Area" localSheetId="1">'ГП2 '!$A$1:$L$164</definedName>
    <definedName name="_xlnm.Print_Area" localSheetId="2">'ГП2  (2)'!$A$1:$L$265</definedName>
    <definedName name="_xlnm.Print_Area" localSheetId="0">Свод!$A$1:$H$7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2" i="8" l="1"/>
  <c r="F160" i="8"/>
  <c r="K160" i="8" s="1"/>
  <c r="D158" i="8"/>
  <c r="I158" i="8" s="1"/>
  <c r="F157" i="8"/>
  <c r="G157" i="8" s="1"/>
  <c r="L157" i="8" s="1"/>
  <c r="D156" i="8"/>
  <c r="I156" i="8" s="1"/>
  <c r="F155" i="8"/>
  <c r="K155" i="8" s="1"/>
  <c r="D154" i="8"/>
  <c r="I154" i="8" s="1"/>
  <c r="F153" i="8"/>
  <c r="G153" i="8" s="1"/>
  <c r="L153" i="8" s="1"/>
  <c r="I152" i="8"/>
  <c r="K152" i="8" s="1"/>
  <c r="I151" i="8"/>
  <c r="K151" i="8" s="1"/>
  <c r="L150" i="8"/>
  <c r="J150" i="8"/>
  <c r="I150" i="8"/>
  <c r="K150" i="8" s="1"/>
  <c r="J149" i="8"/>
  <c r="L149" i="8" s="1"/>
  <c r="I149" i="8"/>
  <c r="K149" i="8" s="1"/>
  <c r="L148" i="8"/>
  <c r="J148" i="8"/>
  <c r="I148" i="8"/>
  <c r="K148" i="8" s="1"/>
  <c r="I147" i="8"/>
  <c r="K147" i="8" s="1"/>
  <c r="J146" i="8"/>
  <c r="L146" i="8" s="1"/>
  <c r="I146" i="8"/>
  <c r="K146" i="8" s="1"/>
  <c r="J145" i="8"/>
  <c r="L145" i="8" s="1"/>
  <c r="I145" i="8"/>
  <c r="K145" i="8" s="1"/>
  <c r="I144" i="8"/>
  <c r="K144" i="8" s="1"/>
  <c r="J143" i="8"/>
  <c r="L143" i="8" s="1"/>
  <c r="I143" i="8"/>
  <c r="K143" i="8" s="1"/>
  <c r="D142" i="8"/>
  <c r="F142" i="8" s="1"/>
  <c r="E140" i="8"/>
  <c r="F140" i="8" s="1"/>
  <c r="D140" i="8"/>
  <c r="E139" i="8"/>
  <c r="F139" i="8" s="1"/>
  <c r="K139" i="8" s="1"/>
  <c r="E138" i="8"/>
  <c r="F138" i="8" s="1"/>
  <c r="F129" i="8"/>
  <c r="K129" i="8" s="1"/>
  <c r="E129" i="8"/>
  <c r="D129" i="8"/>
  <c r="J126" i="8"/>
  <c r="L126" i="8" s="1"/>
  <c r="I126" i="8"/>
  <c r="K126" i="8" s="1"/>
  <c r="F125" i="8"/>
  <c r="K125" i="8" s="1"/>
  <c r="H124" i="8"/>
  <c r="I124" i="8" s="1"/>
  <c r="K124" i="8" s="1"/>
  <c r="H123" i="8"/>
  <c r="I123" i="8" s="1"/>
  <c r="I122" i="8"/>
  <c r="J122" i="8" s="1"/>
  <c r="L122" i="8" s="1"/>
  <c r="H122" i="8"/>
  <c r="G121" i="8"/>
  <c r="L121" i="8" s="1"/>
  <c r="F121" i="8"/>
  <c r="K121" i="8" s="1"/>
  <c r="I119" i="8"/>
  <c r="K119" i="8" s="1"/>
  <c r="F118" i="8"/>
  <c r="K118" i="8" s="1"/>
  <c r="I117" i="8"/>
  <c r="K117" i="8" s="1"/>
  <c r="I116" i="8"/>
  <c r="K116" i="8" s="1"/>
  <c r="F115" i="8"/>
  <c r="K115" i="8" s="1"/>
  <c r="K113" i="8"/>
  <c r="F113" i="8"/>
  <c r="G113" i="8" s="1"/>
  <c r="L113" i="8" s="1"/>
  <c r="E112" i="8"/>
  <c r="F112" i="8" s="1"/>
  <c r="E111" i="8"/>
  <c r="F111" i="8" s="1"/>
  <c r="D111" i="8"/>
  <c r="E110" i="8"/>
  <c r="F110" i="8" s="1"/>
  <c r="K110" i="8" s="1"/>
  <c r="D110" i="8"/>
  <c r="E109" i="8"/>
  <c r="F109" i="8" s="1"/>
  <c r="E108" i="8"/>
  <c r="F108" i="8" s="1"/>
  <c r="D108" i="8"/>
  <c r="D105" i="8"/>
  <c r="I105" i="8" s="1"/>
  <c r="K105" i="8" s="1"/>
  <c r="F104" i="8"/>
  <c r="K104" i="8" s="1"/>
  <c r="I103" i="8"/>
  <c r="J103" i="8" s="1"/>
  <c r="L103" i="8" s="1"/>
  <c r="D102" i="8"/>
  <c r="I102" i="8" s="1"/>
  <c r="E101" i="8"/>
  <c r="F101" i="8" s="1"/>
  <c r="E100" i="8"/>
  <c r="F100" i="8" s="1"/>
  <c r="D98" i="8"/>
  <c r="I98" i="8" s="1"/>
  <c r="F97" i="8"/>
  <c r="K97" i="8" s="1"/>
  <c r="F96" i="8"/>
  <c r="K96" i="8" s="1"/>
  <c r="D95" i="8"/>
  <c r="I95" i="8" s="1"/>
  <c r="F94" i="8"/>
  <c r="K94" i="8" s="1"/>
  <c r="I93" i="8"/>
  <c r="K93" i="8" s="1"/>
  <c r="D93" i="8"/>
  <c r="F92" i="8"/>
  <c r="K92" i="8" s="1"/>
  <c r="F91" i="8"/>
  <c r="G91" i="8" s="1"/>
  <c r="L91" i="8" s="1"/>
  <c r="D90" i="8"/>
  <c r="I90" i="8" s="1"/>
  <c r="F89" i="8"/>
  <c r="K89" i="8" s="1"/>
  <c r="D88" i="8"/>
  <c r="I88" i="8" s="1"/>
  <c r="K87" i="8"/>
  <c r="F87" i="8"/>
  <c r="G87" i="8" s="1"/>
  <c r="L87" i="8" s="1"/>
  <c r="I86" i="8"/>
  <c r="K86" i="8" s="1"/>
  <c r="I85" i="8"/>
  <c r="K85" i="8" s="1"/>
  <c r="I84" i="8"/>
  <c r="K84" i="8" s="1"/>
  <c r="F83" i="8"/>
  <c r="K83" i="8" s="1"/>
  <c r="I82" i="8"/>
  <c r="K82" i="8" s="1"/>
  <c r="F81" i="8"/>
  <c r="K81" i="8" s="1"/>
  <c r="H79" i="8"/>
  <c r="I79" i="8" s="1"/>
  <c r="F78" i="8"/>
  <c r="G78" i="8" s="1"/>
  <c r="L78" i="8" s="1"/>
  <c r="I76" i="8"/>
  <c r="K76" i="8" s="1"/>
  <c r="I75" i="8"/>
  <c r="K75" i="8" s="1"/>
  <c r="I74" i="8"/>
  <c r="K74" i="8" s="1"/>
  <c r="F73" i="8"/>
  <c r="K73" i="8" s="1"/>
  <c r="I72" i="8"/>
  <c r="K72" i="8" s="1"/>
  <c r="D72" i="8"/>
  <c r="F71" i="8"/>
  <c r="G71" i="8" s="1"/>
  <c r="L71" i="8" s="1"/>
  <c r="A71" i="8"/>
  <c r="A73" i="8" s="1"/>
  <c r="A78" i="8" s="1"/>
  <c r="A81" i="8" s="1"/>
  <c r="A83" i="8" s="1"/>
  <c r="A87" i="8" s="1"/>
  <c r="A89" i="8" s="1"/>
  <c r="A91" i="8" s="1"/>
  <c r="A92" i="8" s="1"/>
  <c r="A94" i="8" s="1"/>
  <c r="A96" i="8" s="1"/>
  <c r="A97" i="8" s="1"/>
  <c r="A100" i="8" s="1"/>
  <c r="A101" i="8" s="1"/>
  <c r="A104" i="8" s="1"/>
  <c r="A108" i="8" s="1"/>
  <c r="A109" i="8" s="1"/>
  <c r="A110" i="8" s="1"/>
  <c r="A111" i="8" s="1"/>
  <c r="A112" i="8" s="1"/>
  <c r="A113" i="8" s="1"/>
  <c r="A115" i="8" s="1"/>
  <c r="A118" i="8" s="1"/>
  <c r="A121" i="8" s="1"/>
  <c r="A125" i="8" s="1"/>
  <c r="A129" i="8" s="1"/>
  <c r="A138" i="8" s="1"/>
  <c r="A139" i="8" s="1"/>
  <c r="A140" i="8" s="1"/>
  <c r="A142" i="8" s="1"/>
  <c r="A153" i="8" s="1"/>
  <c r="A155" i="8" s="1"/>
  <c r="A157" i="8" s="1"/>
  <c r="A160" i="8" s="1"/>
  <c r="G138" i="8" l="1"/>
  <c r="L138" i="8" s="1"/>
  <c r="K138" i="8"/>
  <c r="J102" i="8"/>
  <c r="L102" i="8" s="1"/>
  <c r="K102" i="8"/>
  <c r="J95" i="8"/>
  <c r="L95" i="8" s="1"/>
  <c r="K95" i="8"/>
  <c r="G92" i="8"/>
  <c r="L92" i="8" s="1"/>
  <c r="J151" i="8"/>
  <c r="L151" i="8" s="1"/>
  <c r="G104" i="8"/>
  <c r="L104" i="8" s="1"/>
  <c r="K78" i="8"/>
  <c r="K122" i="8"/>
  <c r="G94" i="8"/>
  <c r="L94" i="8" s="1"/>
  <c r="G115" i="8"/>
  <c r="L115" i="8" s="1"/>
  <c r="J152" i="8"/>
  <c r="L152" i="8" s="1"/>
  <c r="J147" i="8"/>
  <c r="L147" i="8" s="1"/>
  <c r="K71" i="8"/>
  <c r="J116" i="8"/>
  <c r="L116" i="8" s="1"/>
  <c r="K153" i="8"/>
  <c r="G125" i="8"/>
  <c r="L125" i="8" s="1"/>
  <c r="G96" i="8"/>
  <c r="L96" i="8" s="1"/>
  <c r="J117" i="8"/>
  <c r="L117" i="8" s="1"/>
  <c r="J144" i="8"/>
  <c r="L144" i="8" s="1"/>
  <c r="K157" i="8"/>
  <c r="K103" i="8"/>
  <c r="K91" i="8"/>
  <c r="G111" i="8"/>
  <c r="L111" i="8" s="1"/>
  <c r="K111" i="8"/>
  <c r="K123" i="8"/>
  <c r="J123" i="8"/>
  <c r="L123" i="8" s="1"/>
  <c r="K154" i="8"/>
  <c r="J154" i="8"/>
  <c r="L154" i="8" s="1"/>
  <c r="J79" i="8"/>
  <c r="L79" i="8" s="1"/>
  <c r="K79" i="8"/>
  <c r="K100" i="8"/>
  <c r="G100" i="8"/>
  <c r="L100" i="8" s="1"/>
  <c r="G108" i="8"/>
  <c r="L108" i="8" s="1"/>
  <c r="K108" i="8"/>
  <c r="K158" i="8"/>
  <c r="J158" i="8"/>
  <c r="L158" i="8" s="1"/>
  <c r="K142" i="8"/>
  <c r="G142" i="8"/>
  <c r="L142" i="8" s="1"/>
  <c r="K90" i="8"/>
  <c r="J90" i="8"/>
  <c r="L90" i="8" s="1"/>
  <c r="K98" i="8"/>
  <c r="J98" i="8"/>
  <c r="L98" i="8" s="1"/>
  <c r="K112" i="8"/>
  <c r="G112" i="8"/>
  <c r="L112" i="8" s="1"/>
  <c r="J88" i="8"/>
  <c r="L88" i="8" s="1"/>
  <c r="K88" i="8"/>
  <c r="K101" i="8"/>
  <c r="G101" i="8"/>
  <c r="L101" i="8" s="1"/>
  <c r="K109" i="8"/>
  <c r="G109" i="8"/>
  <c r="L109" i="8" s="1"/>
  <c r="K140" i="8"/>
  <c r="G140" i="8"/>
  <c r="L140" i="8" s="1"/>
  <c r="K156" i="8"/>
  <c r="J156" i="8"/>
  <c r="L156" i="8" s="1"/>
  <c r="J72" i="8"/>
  <c r="L72" i="8" s="1"/>
  <c r="G81" i="8"/>
  <c r="L81" i="8" s="1"/>
  <c r="J82" i="8"/>
  <c r="L82" i="8" s="1"/>
  <c r="G89" i="8"/>
  <c r="L89" i="8" s="1"/>
  <c r="J93" i="8"/>
  <c r="L93" i="8" s="1"/>
  <c r="G97" i="8"/>
  <c r="L97" i="8" s="1"/>
  <c r="J105" i="8"/>
  <c r="L105" i="8" s="1"/>
  <c r="G110" i="8"/>
  <c r="L110" i="8" s="1"/>
  <c r="G118" i="8"/>
  <c r="L118" i="8" s="1"/>
  <c r="J119" i="8"/>
  <c r="L119" i="8" s="1"/>
  <c r="J124" i="8"/>
  <c r="L124" i="8" s="1"/>
  <c r="G129" i="8"/>
  <c r="L129" i="8" s="1"/>
  <c r="G139" i="8"/>
  <c r="L139" i="8" s="1"/>
  <c r="G155" i="8"/>
  <c r="L155" i="8" s="1"/>
  <c r="G160" i="8"/>
  <c r="L160" i="8" s="1"/>
  <c r="G73" i="8"/>
  <c r="L73" i="8" s="1"/>
  <c r="J74" i="8"/>
  <c r="L74" i="8" s="1"/>
  <c r="J75" i="8"/>
  <c r="L75" i="8" s="1"/>
  <c r="J76" i="8"/>
  <c r="L76" i="8" s="1"/>
  <c r="G83" i="8"/>
  <c r="L83" i="8" s="1"/>
  <c r="J84" i="8"/>
  <c r="L84" i="8" s="1"/>
  <c r="J85" i="8"/>
  <c r="L85" i="8" s="1"/>
  <c r="J86" i="8"/>
  <c r="L86" i="8" s="1"/>
  <c r="F64" i="8" l="1"/>
  <c r="K64" i="8" s="1"/>
  <c r="I69" i="8"/>
  <c r="K69" i="8" s="1"/>
  <c r="I68" i="8"/>
  <c r="J68" i="8" s="1"/>
  <c r="L68" i="8" s="1"/>
  <c r="I67" i="8"/>
  <c r="K67" i="8" s="1"/>
  <c r="I66" i="8"/>
  <c r="K66" i="8" s="1"/>
  <c r="I65" i="8"/>
  <c r="K65" i="8" s="1"/>
  <c r="F63" i="8"/>
  <c r="G63" i="8" s="1"/>
  <c r="L63" i="8" s="1"/>
  <c r="F62" i="8"/>
  <c r="K62" i="8" s="1"/>
  <c r="F61" i="8"/>
  <c r="K61" i="8" s="1"/>
  <c r="G64" i="8" l="1"/>
  <c r="L64" i="8" s="1"/>
  <c r="K68" i="8"/>
  <c r="J67" i="8"/>
  <c r="L67" i="8" s="1"/>
  <c r="J66" i="8"/>
  <c r="L66" i="8" s="1"/>
  <c r="J69" i="8"/>
  <c r="L69" i="8" s="1"/>
  <c r="K63" i="8"/>
  <c r="G62" i="8"/>
  <c r="L62" i="8" s="1"/>
  <c r="G61" i="8"/>
  <c r="L61" i="8" s="1"/>
  <c r="J65" i="8"/>
  <c r="L65" i="8" s="1"/>
  <c r="H59" i="8" l="1"/>
  <c r="H58" i="8"/>
  <c r="I264" i="10" l="1"/>
  <c r="K264" i="10" s="1"/>
  <c r="F263" i="10"/>
  <c r="G263" i="10" s="1"/>
  <c r="L263" i="10" s="1"/>
  <c r="H262" i="10"/>
  <c r="I262" i="10" s="1"/>
  <c r="K262" i="10" s="1"/>
  <c r="H261" i="10"/>
  <c r="I261" i="10" s="1"/>
  <c r="H260" i="10"/>
  <c r="I260" i="10" s="1"/>
  <c r="H259" i="10"/>
  <c r="I259" i="10" s="1"/>
  <c r="H258" i="10"/>
  <c r="I258" i="10" s="1"/>
  <c r="K258" i="10" s="1"/>
  <c r="K257" i="10"/>
  <c r="H257" i="10"/>
  <c r="I257" i="10" s="1"/>
  <c r="J257" i="10" s="1"/>
  <c r="L257" i="10" s="1"/>
  <c r="H256" i="10"/>
  <c r="I256" i="10" s="1"/>
  <c r="J256" i="10" s="1"/>
  <c r="L256" i="10" s="1"/>
  <c r="H255" i="10"/>
  <c r="I255" i="10" s="1"/>
  <c r="K255" i="10" s="1"/>
  <c r="H254" i="10"/>
  <c r="I254" i="10" s="1"/>
  <c r="H253" i="10"/>
  <c r="I253" i="10" s="1"/>
  <c r="H252" i="10"/>
  <c r="I252" i="10" s="1"/>
  <c r="K252" i="10" s="1"/>
  <c r="H251" i="10"/>
  <c r="I251" i="10" s="1"/>
  <c r="J251" i="10" s="1"/>
  <c r="L251" i="10" s="1"/>
  <c r="H250" i="10"/>
  <c r="I250" i="10" s="1"/>
  <c r="K250" i="10" s="1"/>
  <c r="F249" i="10"/>
  <c r="K249" i="10" s="1"/>
  <c r="H248" i="10"/>
  <c r="I248" i="10" s="1"/>
  <c r="H247" i="10"/>
  <c r="I247" i="10" s="1"/>
  <c r="H246" i="10"/>
  <c r="I246" i="10" s="1"/>
  <c r="K246" i="10" s="1"/>
  <c r="F245" i="10"/>
  <c r="G245" i="10" s="1"/>
  <c r="L245" i="10" s="1"/>
  <c r="K243" i="10"/>
  <c r="F243" i="10"/>
  <c r="G243" i="10" s="1"/>
  <c r="L243" i="10" s="1"/>
  <c r="D240" i="10"/>
  <c r="D241" i="10" s="1"/>
  <c r="I241" i="10" s="1"/>
  <c r="D238" i="10"/>
  <c r="F238" i="10" s="1"/>
  <c r="I236" i="10"/>
  <c r="K236" i="10" s="1"/>
  <c r="F235" i="10"/>
  <c r="G235" i="10" s="1"/>
  <c r="L235" i="10" s="1"/>
  <c r="I233" i="10"/>
  <c r="K233" i="10" s="1"/>
  <c r="F232" i="10"/>
  <c r="D230" i="10"/>
  <c r="D231" i="10" s="1"/>
  <c r="I231" i="10" s="1"/>
  <c r="I227" i="10"/>
  <c r="K227" i="10" s="1"/>
  <c r="I226" i="10"/>
  <c r="K226" i="10" s="1"/>
  <c r="F225" i="10"/>
  <c r="E222" i="10"/>
  <c r="F222" i="10" s="1"/>
  <c r="D222" i="10"/>
  <c r="E221" i="10"/>
  <c r="F221" i="10" s="1"/>
  <c r="E220" i="10"/>
  <c r="F220" i="10" s="1"/>
  <c r="D220" i="10"/>
  <c r="I217" i="10"/>
  <c r="K217" i="10" s="1"/>
  <c r="I216" i="10"/>
  <c r="K216" i="10" s="1"/>
  <c r="I215" i="10"/>
  <c r="J215" i="10" s="1"/>
  <c r="L215" i="10" s="1"/>
  <c r="D214" i="10"/>
  <c r="F214" i="10" s="1"/>
  <c r="K214" i="10" s="1"/>
  <c r="E211" i="10"/>
  <c r="F211" i="10" s="1"/>
  <c r="K211" i="10" s="1"/>
  <c r="D211" i="10"/>
  <c r="I208" i="10"/>
  <c r="K208" i="10" s="1"/>
  <c r="I207" i="10"/>
  <c r="I206" i="10"/>
  <c r="K206" i="10" s="1"/>
  <c r="D205" i="10"/>
  <c r="F205" i="10" s="1"/>
  <c r="K205" i="10" s="1"/>
  <c r="E202" i="10"/>
  <c r="F202" i="10" s="1"/>
  <c r="I199" i="10"/>
  <c r="K199" i="10" s="1"/>
  <c r="D198" i="10"/>
  <c r="F198" i="10" s="1"/>
  <c r="E196" i="10"/>
  <c r="F196" i="10" s="1"/>
  <c r="I193" i="10"/>
  <c r="I192" i="10"/>
  <c r="K192" i="10" s="1"/>
  <c r="I191" i="10"/>
  <c r="K191" i="10" s="1"/>
  <c r="D190" i="10"/>
  <c r="F190" i="10" s="1"/>
  <c r="E187" i="10"/>
  <c r="F187" i="10" s="1"/>
  <c r="I184" i="10"/>
  <c r="I183" i="10"/>
  <c r="K183" i="10" s="1"/>
  <c r="I182" i="10"/>
  <c r="K182" i="10" s="1"/>
  <c r="F181" i="10"/>
  <c r="D181" i="10"/>
  <c r="E179" i="10"/>
  <c r="F179" i="10" s="1"/>
  <c r="I176" i="10"/>
  <c r="I175" i="10"/>
  <c r="K175" i="10" s="1"/>
  <c r="I174" i="10"/>
  <c r="K174" i="10" s="1"/>
  <c r="D173" i="10"/>
  <c r="F173" i="10" s="1"/>
  <c r="E170" i="10"/>
  <c r="F170" i="10" s="1"/>
  <c r="I167" i="10"/>
  <c r="I166" i="10"/>
  <c r="K166" i="10" s="1"/>
  <c r="D165" i="10"/>
  <c r="F165" i="10" s="1"/>
  <c r="K165" i="10" s="1"/>
  <c r="E163" i="10"/>
  <c r="F163" i="10" s="1"/>
  <c r="K163" i="10" s="1"/>
  <c r="I160" i="10"/>
  <c r="K160" i="10" s="1"/>
  <c r="I159" i="10"/>
  <c r="I158" i="10"/>
  <c r="K158" i="10" s="1"/>
  <c r="D157" i="10"/>
  <c r="F157" i="10" s="1"/>
  <c r="K157" i="10" s="1"/>
  <c r="E154" i="10"/>
  <c r="F154" i="10" s="1"/>
  <c r="K154" i="10" s="1"/>
  <c r="E151" i="10"/>
  <c r="F151" i="10" s="1"/>
  <c r="K151" i="10" s="1"/>
  <c r="E150" i="10"/>
  <c r="F150" i="10" s="1"/>
  <c r="K150" i="10" s="1"/>
  <c r="E149" i="10"/>
  <c r="F149" i="10" s="1"/>
  <c r="K149" i="10" s="1"/>
  <c r="D149" i="10"/>
  <c r="I146" i="10"/>
  <c r="J146" i="10" s="1"/>
  <c r="L146" i="10" s="1"/>
  <c r="I145" i="10"/>
  <c r="K144" i="10"/>
  <c r="I144" i="10"/>
  <c r="J144" i="10" s="1"/>
  <c r="L144" i="10" s="1"/>
  <c r="D143" i="10"/>
  <c r="F143" i="10" s="1"/>
  <c r="E140" i="10"/>
  <c r="F140" i="10" s="1"/>
  <c r="H136" i="10"/>
  <c r="I136" i="10" s="1"/>
  <c r="J136" i="10" s="1"/>
  <c r="L136" i="10" s="1"/>
  <c r="F135" i="10"/>
  <c r="K135" i="10" s="1"/>
  <c r="F133" i="10"/>
  <c r="K133" i="10" s="1"/>
  <c r="F132" i="10"/>
  <c r="E130" i="10"/>
  <c r="D130" i="10"/>
  <c r="F129" i="10"/>
  <c r="G129" i="10" s="1"/>
  <c r="L129" i="10" s="1"/>
  <c r="D128" i="10"/>
  <c r="I128" i="10" s="1"/>
  <c r="F127" i="10"/>
  <c r="K127" i="10" s="1"/>
  <c r="I126" i="10"/>
  <c r="I125" i="10"/>
  <c r="K125" i="10" s="1"/>
  <c r="D124" i="10"/>
  <c r="F124" i="10" s="1"/>
  <c r="F122" i="10"/>
  <c r="K122" i="10" s="1"/>
  <c r="H120" i="10"/>
  <c r="D120" i="10"/>
  <c r="F119" i="10"/>
  <c r="K119" i="10" s="1"/>
  <c r="I118" i="10"/>
  <c r="J118" i="10" s="1"/>
  <c r="L118" i="10" s="1"/>
  <c r="D117" i="10"/>
  <c r="I117" i="10" s="1"/>
  <c r="E116" i="10"/>
  <c r="F116" i="10" s="1"/>
  <c r="E115" i="10"/>
  <c r="F115" i="10" s="1"/>
  <c r="I113" i="10"/>
  <c r="J113" i="10" s="1"/>
  <c r="L113" i="10" s="1"/>
  <c r="I112" i="10"/>
  <c r="K112" i="10" s="1"/>
  <c r="I111" i="10"/>
  <c r="K111" i="10" s="1"/>
  <c r="F110" i="10"/>
  <c r="G110" i="10" s="1"/>
  <c r="L110" i="10" s="1"/>
  <c r="D109" i="10"/>
  <c r="I109" i="10" s="1"/>
  <c r="J109" i="10" s="1"/>
  <c r="L109" i="10" s="1"/>
  <c r="F108" i="10"/>
  <c r="K108" i="10" s="1"/>
  <c r="D107" i="10"/>
  <c r="I107" i="10" s="1"/>
  <c r="F106" i="10"/>
  <c r="K106" i="10" s="1"/>
  <c r="H104" i="10"/>
  <c r="I104" i="10" s="1"/>
  <c r="K104" i="10" s="1"/>
  <c r="F103" i="10"/>
  <c r="G103" i="10" s="1"/>
  <c r="L103" i="10" s="1"/>
  <c r="F102" i="10"/>
  <c r="K102" i="10" s="1"/>
  <c r="F101" i="10"/>
  <c r="F100" i="10"/>
  <c r="K100" i="10" s="1"/>
  <c r="I98" i="10"/>
  <c r="J98" i="10" s="1"/>
  <c r="L98" i="10" s="1"/>
  <c r="F97" i="10"/>
  <c r="G96" i="10"/>
  <c r="L96" i="10" s="1"/>
  <c r="F96" i="10"/>
  <c r="K96" i="10" s="1"/>
  <c r="F95" i="10"/>
  <c r="K95" i="10" s="1"/>
  <c r="A95" i="10"/>
  <c r="A96" i="10" s="1"/>
  <c r="A97" i="10" s="1"/>
  <c r="A100" i="10" s="1"/>
  <c r="A101" i="10" s="1"/>
  <c r="A102" i="10" s="1"/>
  <c r="A103" i="10" s="1"/>
  <c r="A106" i="10" s="1"/>
  <c r="A108" i="10" s="1"/>
  <c r="A110" i="10" s="1"/>
  <c r="A115" i="10" s="1"/>
  <c r="A116" i="10" s="1"/>
  <c r="A119" i="10" s="1"/>
  <c r="A122" i="10" s="1"/>
  <c r="A124" i="10" s="1"/>
  <c r="A127" i="10" s="1"/>
  <c r="A129" i="10" s="1"/>
  <c r="A130" i="10" s="1"/>
  <c r="A132" i="10" s="1"/>
  <c r="A133" i="10" s="1"/>
  <c r="A135" i="10" s="1"/>
  <c r="A140" i="10" s="1"/>
  <c r="A143" i="10" s="1"/>
  <c r="A149" i="10" s="1"/>
  <c r="A150" i="10" s="1"/>
  <c r="A151" i="10" s="1"/>
  <c r="A154" i="10" s="1"/>
  <c r="A157" i="10" s="1"/>
  <c r="A163" i="10" s="1"/>
  <c r="A165" i="10" s="1"/>
  <c r="A170" i="10" s="1"/>
  <c r="A173" i="10" s="1"/>
  <c r="A179" i="10" s="1"/>
  <c r="A181" i="10" s="1"/>
  <c r="A187" i="10" s="1"/>
  <c r="A190" i="10" s="1"/>
  <c r="A196" i="10" s="1"/>
  <c r="A198" i="10" s="1"/>
  <c r="A202" i="10" s="1"/>
  <c r="A205" i="10" s="1"/>
  <c r="A211" i="10" s="1"/>
  <c r="A214" i="10" s="1"/>
  <c r="A220" i="10" s="1"/>
  <c r="A221" i="10" s="1"/>
  <c r="A222" i="10" s="1"/>
  <c r="A225" i="10" s="1"/>
  <c r="A230" i="10" s="1"/>
  <c r="A232" i="10" s="1"/>
  <c r="D93" i="10"/>
  <c r="I93" i="10" s="1"/>
  <c r="F92" i="10"/>
  <c r="G92" i="10" s="1"/>
  <c r="L92" i="10" s="1"/>
  <c r="I90" i="10"/>
  <c r="K90" i="10" s="1"/>
  <c r="F89" i="10"/>
  <c r="K89" i="10" s="1"/>
  <c r="D88" i="10"/>
  <c r="I88" i="10" s="1"/>
  <c r="K88" i="10" s="1"/>
  <c r="F87" i="10"/>
  <c r="K87" i="10" s="1"/>
  <c r="D86" i="10"/>
  <c r="I86" i="10" s="1"/>
  <c r="J86" i="10" s="1"/>
  <c r="L86" i="10" s="1"/>
  <c r="F85" i="10"/>
  <c r="K85" i="10" s="1"/>
  <c r="D84" i="10"/>
  <c r="I84" i="10" s="1"/>
  <c r="J84" i="10" s="1"/>
  <c r="L84" i="10" s="1"/>
  <c r="F83" i="10"/>
  <c r="K83" i="10" s="1"/>
  <c r="D82" i="10"/>
  <c r="I82" i="10" s="1"/>
  <c r="D81" i="10"/>
  <c r="I81" i="10" s="1"/>
  <c r="F80" i="10"/>
  <c r="G80" i="10" s="1"/>
  <c r="L80" i="10" s="1"/>
  <c r="D79" i="10"/>
  <c r="I79" i="10" s="1"/>
  <c r="K79" i="10" s="1"/>
  <c r="F78" i="10"/>
  <c r="G78" i="10" s="1"/>
  <c r="L78" i="10" s="1"/>
  <c r="D77" i="10"/>
  <c r="I77" i="10" s="1"/>
  <c r="K77" i="10" s="1"/>
  <c r="F76" i="10"/>
  <c r="D74" i="10"/>
  <c r="I74" i="10" s="1"/>
  <c r="F73" i="10"/>
  <c r="G73" i="10" s="1"/>
  <c r="L73" i="10" s="1"/>
  <c r="D72" i="10"/>
  <c r="I72" i="10" s="1"/>
  <c r="K72" i="10" s="1"/>
  <c r="F71" i="10"/>
  <c r="G71" i="10" s="1"/>
  <c r="L71" i="10" s="1"/>
  <c r="D70" i="10"/>
  <c r="I70" i="10" s="1"/>
  <c r="K70" i="10" s="1"/>
  <c r="F69" i="10"/>
  <c r="D68" i="10"/>
  <c r="F68" i="10" s="1"/>
  <c r="F67" i="10"/>
  <c r="K67" i="10" s="1"/>
  <c r="H65" i="10"/>
  <c r="D65" i="10"/>
  <c r="K64" i="10"/>
  <c r="F64" i="10"/>
  <c r="G64" i="10" s="1"/>
  <c r="L64" i="10" s="1"/>
  <c r="H63" i="10"/>
  <c r="D63" i="10"/>
  <c r="K62" i="10"/>
  <c r="F62" i="10"/>
  <c r="G62" i="10" s="1"/>
  <c r="L62" i="10" s="1"/>
  <c r="A62" i="10"/>
  <c r="A64" i="10" s="1"/>
  <c r="A67" i="10" s="1"/>
  <c r="A68" i="10" s="1"/>
  <c r="A69" i="10" s="1"/>
  <c r="A71" i="10" s="1"/>
  <c r="A73" i="10" s="1"/>
  <c r="A76" i="10" s="1"/>
  <c r="A78" i="10" s="1"/>
  <c r="A80" i="10" s="1"/>
  <c r="A83" i="10" s="1"/>
  <c r="A85" i="10" s="1"/>
  <c r="A87" i="10" s="1"/>
  <c r="A89" i="10" s="1"/>
  <c r="A92" i="10" s="1"/>
  <c r="I60" i="10"/>
  <c r="J60" i="10" s="1"/>
  <c r="L60" i="10" s="1"/>
  <c r="I59" i="10"/>
  <c r="K59" i="10" s="1"/>
  <c r="I58" i="10"/>
  <c r="J58" i="10" s="1"/>
  <c r="L58" i="10" s="1"/>
  <c r="D57" i="10"/>
  <c r="F57" i="10" s="1"/>
  <c r="G57" i="10" s="1"/>
  <c r="L57" i="10" s="1"/>
  <c r="I55" i="10"/>
  <c r="J55" i="10" s="1"/>
  <c r="L55" i="10" s="1"/>
  <c r="F54" i="10"/>
  <c r="G54" i="10" s="1"/>
  <c r="L54" i="10" s="1"/>
  <c r="H53" i="10"/>
  <c r="I53" i="10" s="1"/>
  <c r="F52" i="10"/>
  <c r="G52" i="10" s="1"/>
  <c r="L52" i="10" s="1"/>
  <c r="H51" i="10"/>
  <c r="I51" i="10" s="1"/>
  <c r="K51" i="10" s="1"/>
  <c r="D50" i="10"/>
  <c r="F50" i="10" s="1"/>
  <c r="F48" i="10"/>
  <c r="G48" i="10" s="1"/>
  <c r="L48" i="10" s="1"/>
  <c r="F47" i="10"/>
  <c r="K47" i="10" s="1"/>
  <c r="I46" i="10"/>
  <c r="K46" i="10" s="1"/>
  <c r="H45" i="10"/>
  <c r="I45" i="10" s="1"/>
  <c r="J45" i="10" s="1"/>
  <c r="L45" i="10" s="1"/>
  <c r="I44" i="10"/>
  <c r="K44" i="10" s="1"/>
  <c r="I43" i="10"/>
  <c r="K43" i="10" s="1"/>
  <c r="I42" i="10"/>
  <c r="K42" i="10" s="1"/>
  <c r="D41" i="10"/>
  <c r="F41" i="10" s="1"/>
  <c r="K41" i="10" s="1"/>
  <c r="D38" i="10"/>
  <c r="D39" i="10" s="1"/>
  <c r="I39" i="10" s="1"/>
  <c r="H37" i="10"/>
  <c r="D36" i="10"/>
  <c r="D37" i="10" s="1"/>
  <c r="I37" i="10" s="1"/>
  <c r="H35" i="10"/>
  <c r="D35" i="10"/>
  <c r="F34" i="10"/>
  <c r="G34" i="10" s="1"/>
  <c r="L34" i="10" s="1"/>
  <c r="I33" i="10"/>
  <c r="K33" i="10" s="1"/>
  <c r="I32" i="10"/>
  <c r="K32" i="10" s="1"/>
  <c r="I31" i="10"/>
  <c r="K31" i="10" s="1"/>
  <c r="F30" i="10"/>
  <c r="K30" i="10" s="1"/>
  <c r="H29" i="10"/>
  <c r="D29" i="10"/>
  <c r="F28" i="10"/>
  <c r="K28" i="10" s="1"/>
  <c r="A28" i="10"/>
  <c r="A30" i="10" s="1"/>
  <c r="A34" i="10" s="1"/>
  <c r="A36" i="10" s="1"/>
  <c r="A38" i="10" s="1"/>
  <c r="A41" i="10" s="1"/>
  <c r="A47" i="10" s="1"/>
  <c r="A48" i="10" s="1"/>
  <c r="A50" i="10" s="1"/>
  <c r="A52" i="10" s="1"/>
  <c r="A54" i="10" s="1"/>
  <c r="A57" i="10" s="1"/>
  <c r="I27" i="10"/>
  <c r="F26" i="10"/>
  <c r="G26" i="10" s="1"/>
  <c r="L26" i="10" s="1"/>
  <c r="F24" i="10"/>
  <c r="K24" i="10" s="1"/>
  <c r="F23" i="10"/>
  <c r="K23" i="10" s="1"/>
  <c r="E21" i="10"/>
  <c r="F21" i="10" s="1"/>
  <c r="E20" i="10"/>
  <c r="F20" i="10" s="1"/>
  <c r="F19" i="10"/>
  <c r="K19" i="10" s="1"/>
  <c r="F18" i="10"/>
  <c r="G18" i="10" s="1"/>
  <c r="L18" i="10" s="1"/>
  <c r="K17" i="10"/>
  <c r="F17" i="10"/>
  <c r="G17" i="10" s="1"/>
  <c r="L17" i="10" s="1"/>
  <c r="F16" i="10"/>
  <c r="K16" i="10" s="1"/>
  <c r="F15" i="10"/>
  <c r="G15" i="10" s="1"/>
  <c r="L15" i="10" s="1"/>
  <c r="F14" i="10"/>
  <c r="K14" i="10" s="1"/>
  <c r="F13" i="10"/>
  <c r="K13" i="10" s="1"/>
  <c r="F12" i="10"/>
  <c r="G12" i="10" s="1"/>
  <c r="L12" i="10" s="1"/>
  <c r="F11" i="10"/>
  <c r="K11" i="10" s="1"/>
  <c r="F10" i="10"/>
  <c r="G10" i="10" s="1"/>
  <c r="L10" i="10" s="1"/>
  <c r="F9" i="10"/>
  <c r="K9" i="10" s="1"/>
  <c r="A9" i="10"/>
  <c r="F8" i="10"/>
  <c r="K8" i="10" s="1"/>
  <c r="A8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3" i="10" s="1"/>
  <c r="A24" i="10" s="1"/>
  <c r="G106" i="10" l="1"/>
  <c r="L106" i="10" s="1"/>
  <c r="K78" i="10"/>
  <c r="J90" i="10"/>
  <c r="L90" i="10" s="1"/>
  <c r="J233" i="10"/>
  <c r="L233" i="10" s="1"/>
  <c r="G165" i="10"/>
  <c r="L165" i="10" s="1"/>
  <c r="K146" i="10"/>
  <c r="K55" i="10"/>
  <c r="J111" i="10"/>
  <c r="L111" i="10" s="1"/>
  <c r="J43" i="10"/>
  <c r="L43" i="10" s="1"/>
  <c r="K58" i="10"/>
  <c r="G150" i="10"/>
  <c r="L150" i="10" s="1"/>
  <c r="G24" i="10"/>
  <c r="L24" i="10" s="1"/>
  <c r="G85" i="10"/>
  <c r="L85" i="10" s="1"/>
  <c r="J44" i="10"/>
  <c r="L44" i="10" s="1"/>
  <c r="J72" i="10"/>
  <c r="L72" i="10" s="1"/>
  <c r="F36" i="10"/>
  <c r="G36" i="10" s="1"/>
  <c r="L36" i="10" s="1"/>
  <c r="K80" i="10"/>
  <c r="G108" i="10"/>
  <c r="L108" i="10" s="1"/>
  <c r="J32" i="10"/>
  <c r="L32" i="10" s="1"/>
  <c r="G157" i="10"/>
  <c r="L157" i="10" s="1"/>
  <c r="J70" i="10"/>
  <c r="L70" i="10" s="1"/>
  <c r="J160" i="10"/>
  <c r="L160" i="10" s="1"/>
  <c r="G214" i="10"/>
  <c r="L214" i="10" s="1"/>
  <c r="F230" i="10"/>
  <c r="K230" i="10" s="1"/>
  <c r="J250" i="10"/>
  <c r="L250" i="10" s="1"/>
  <c r="K15" i="10"/>
  <c r="K26" i="10"/>
  <c r="I29" i="10"/>
  <c r="K29" i="10" s="1"/>
  <c r="I35" i="10"/>
  <c r="J35" i="10" s="1"/>
  <c r="L35" i="10" s="1"/>
  <c r="K60" i="10"/>
  <c r="G154" i="10"/>
  <c r="L154" i="10" s="1"/>
  <c r="J217" i="10"/>
  <c r="L217" i="10" s="1"/>
  <c r="J226" i="10"/>
  <c r="L226" i="10" s="1"/>
  <c r="K235" i="10"/>
  <c r="K86" i="10"/>
  <c r="G89" i="10"/>
  <c r="L89" i="10" s="1"/>
  <c r="K98" i="10"/>
  <c r="G102" i="10"/>
  <c r="L102" i="10" s="1"/>
  <c r="K113" i="10"/>
  <c r="F130" i="10"/>
  <c r="K130" i="10" s="1"/>
  <c r="G135" i="10"/>
  <c r="L135" i="10" s="1"/>
  <c r="K117" i="10"/>
  <c r="J117" i="10"/>
  <c r="L117" i="10" s="1"/>
  <c r="G50" i="10"/>
  <c r="L50" i="10" s="1"/>
  <c r="K50" i="10"/>
  <c r="K39" i="10"/>
  <c r="J39" i="10"/>
  <c r="L39" i="10" s="1"/>
  <c r="K261" i="10"/>
  <c r="J261" i="10"/>
  <c r="L261" i="10" s="1"/>
  <c r="G11" i="10"/>
  <c r="L11" i="10" s="1"/>
  <c r="G30" i="10"/>
  <c r="L30" i="10" s="1"/>
  <c r="J31" i="10"/>
  <c r="L31" i="10" s="1"/>
  <c r="F38" i="10"/>
  <c r="G38" i="10" s="1"/>
  <c r="L38" i="10" s="1"/>
  <c r="G41" i="10"/>
  <c r="L41" i="10" s="1"/>
  <c r="K54" i="10"/>
  <c r="J59" i="10"/>
  <c r="L59" i="10" s="1"/>
  <c r="I63" i="10"/>
  <c r="K63" i="10" s="1"/>
  <c r="G83" i="10"/>
  <c r="L83" i="10" s="1"/>
  <c r="K84" i="10"/>
  <c r="K109" i="10"/>
  <c r="G119" i="10"/>
  <c r="L119" i="10" s="1"/>
  <c r="G122" i="10"/>
  <c r="L122" i="10" s="1"/>
  <c r="G149" i="10"/>
  <c r="L149" i="10" s="1"/>
  <c r="J174" i="10"/>
  <c r="L174" i="10" s="1"/>
  <c r="J182" i="10"/>
  <c r="L182" i="10" s="1"/>
  <c r="J191" i="10"/>
  <c r="L191" i="10" s="1"/>
  <c r="J208" i="10"/>
  <c r="L208" i="10" s="1"/>
  <c r="J216" i="10"/>
  <c r="L216" i="10" s="1"/>
  <c r="J236" i="10"/>
  <c r="L236" i="10" s="1"/>
  <c r="F240" i="10"/>
  <c r="G249" i="10"/>
  <c r="L249" i="10" s="1"/>
  <c r="J262" i="10"/>
  <c r="L262" i="10" s="1"/>
  <c r="J33" i="10"/>
  <c r="L33" i="10" s="1"/>
  <c r="G47" i="10"/>
  <c r="L47" i="10" s="1"/>
  <c r="K71" i="10"/>
  <c r="K73" i="10"/>
  <c r="J77" i="10"/>
  <c r="L77" i="10" s="1"/>
  <c r="J79" i="10"/>
  <c r="L79" i="10" s="1"/>
  <c r="K92" i="10"/>
  <c r="I120" i="10"/>
  <c r="J120" i="10" s="1"/>
  <c r="L120" i="10" s="1"/>
  <c r="J199" i="10"/>
  <c r="L199" i="10" s="1"/>
  <c r="K215" i="10"/>
  <c r="K245" i="10"/>
  <c r="K256" i="10"/>
  <c r="J264" i="10"/>
  <c r="L264" i="10" s="1"/>
  <c r="G19" i="10"/>
  <c r="L19" i="10" s="1"/>
  <c r="K263" i="10"/>
  <c r="J37" i="10"/>
  <c r="L37" i="10" s="1"/>
  <c r="K37" i="10"/>
  <c r="K20" i="10"/>
  <c r="G20" i="10"/>
  <c r="L20" i="10" s="1"/>
  <c r="K21" i="10"/>
  <c r="G21" i="10"/>
  <c r="L21" i="10" s="1"/>
  <c r="A235" i="10"/>
  <c r="A238" i="10"/>
  <c r="A240" i="10" s="1"/>
  <c r="A243" i="10" s="1"/>
  <c r="A245" i="10" s="1"/>
  <c r="A249" i="10" s="1"/>
  <c r="A263" i="10" s="1"/>
  <c r="K53" i="10"/>
  <c r="J53" i="10"/>
  <c r="L53" i="10" s="1"/>
  <c r="K76" i="10"/>
  <c r="G76" i="10"/>
  <c r="L76" i="10" s="1"/>
  <c r="G14" i="10"/>
  <c r="L14" i="10" s="1"/>
  <c r="K18" i="10"/>
  <c r="G28" i="10"/>
  <c r="L28" i="10" s="1"/>
  <c r="K34" i="10"/>
  <c r="J42" i="10"/>
  <c r="L42" i="10" s="1"/>
  <c r="K45" i="10"/>
  <c r="J51" i="10"/>
  <c r="L51" i="10" s="1"/>
  <c r="K57" i="10"/>
  <c r="K82" i="10"/>
  <c r="J82" i="10"/>
  <c r="L82" i="10" s="1"/>
  <c r="K120" i="10"/>
  <c r="K124" i="10"/>
  <c r="G124" i="10"/>
  <c r="L124" i="10" s="1"/>
  <c r="G143" i="10"/>
  <c r="L143" i="10" s="1"/>
  <c r="K143" i="10"/>
  <c r="K179" i="10"/>
  <c r="G179" i="10"/>
  <c r="L179" i="10" s="1"/>
  <c r="K254" i="10"/>
  <c r="J254" i="10"/>
  <c r="L254" i="10" s="1"/>
  <c r="K69" i="10"/>
  <c r="G69" i="10"/>
  <c r="L69" i="10" s="1"/>
  <c r="K27" i="10"/>
  <c r="K184" i="10"/>
  <c r="J184" i="10"/>
  <c r="L184" i="10" s="1"/>
  <c r="K97" i="10"/>
  <c r="G97" i="10"/>
  <c r="L97" i="10" s="1"/>
  <c r="K202" i="10"/>
  <c r="G202" i="10"/>
  <c r="L202" i="10" s="1"/>
  <c r="G9" i="10"/>
  <c r="L9" i="10" s="1"/>
  <c r="G13" i="10"/>
  <c r="L13" i="10" s="1"/>
  <c r="G16" i="10"/>
  <c r="L16" i="10" s="1"/>
  <c r="G23" i="10"/>
  <c r="L23" i="10" s="1"/>
  <c r="J27" i="10"/>
  <c r="L27" i="10" s="1"/>
  <c r="J46" i="10"/>
  <c r="L46" i="10" s="1"/>
  <c r="J107" i="10"/>
  <c r="L107" i="10" s="1"/>
  <c r="K107" i="10"/>
  <c r="J126" i="10"/>
  <c r="L126" i="10" s="1"/>
  <c r="K126" i="10"/>
  <c r="K181" i="10"/>
  <c r="G181" i="10"/>
  <c r="L181" i="10" s="1"/>
  <c r="K241" i="10"/>
  <c r="J241" i="10"/>
  <c r="L241" i="10" s="1"/>
  <c r="G140" i="10"/>
  <c r="L140" i="10" s="1"/>
  <c r="K140" i="10"/>
  <c r="K260" i="10"/>
  <c r="J260" i="10"/>
  <c r="L260" i="10" s="1"/>
  <c r="K10" i="10"/>
  <c r="K74" i="10"/>
  <c r="J74" i="10"/>
  <c r="L74" i="10" s="1"/>
  <c r="K81" i="10"/>
  <c r="J81" i="10"/>
  <c r="L81" i="10" s="1"/>
  <c r="K93" i="10"/>
  <c r="J93" i="10"/>
  <c r="L93" i="10" s="1"/>
  <c r="K101" i="10"/>
  <c r="G101" i="10"/>
  <c r="L101" i="10" s="1"/>
  <c r="G132" i="10"/>
  <c r="L132" i="10" s="1"/>
  <c r="K132" i="10"/>
  <c r="K220" i="10"/>
  <c r="G220" i="10"/>
  <c r="L220" i="10" s="1"/>
  <c r="G116" i="10"/>
  <c r="L116" i="10" s="1"/>
  <c r="K116" i="10"/>
  <c r="K196" i="10"/>
  <c r="G196" i="10"/>
  <c r="L196" i="10" s="1"/>
  <c r="K68" i="10"/>
  <c r="G68" i="10"/>
  <c r="L68" i="10" s="1"/>
  <c r="G8" i="10"/>
  <c r="L8" i="10" s="1"/>
  <c r="K12" i="10"/>
  <c r="K36" i="10"/>
  <c r="K48" i="10"/>
  <c r="K52" i="10"/>
  <c r="I65" i="10"/>
  <c r="G115" i="10"/>
  <c r="L115" i="10" s="1"/>
  <c r="K115" i="10"/>
  <c r="K128" i="10"/>
  <c r="J128" i="10"/>
  <c r="L128" i="10" s="1"/>
  <c r="K136" i="10"/>
  <c r="K145" i="10"/>
  <c r="J145" i="10"/>
  <c r="L145" i="10" s="1"/>
  <c r="K170" i="10"/>
  <c r="G170" i="10"/>
  <c r="L170" i="10" s="1"/>
  <c r="K190" i="10"/>
  <c r="G190" i="10"/>
  <c r="L190" i="10" s="1"/>
  <c r="K221" i="10"/>
  <c r="G221" i="10"/>
  <c r="L221" i="10" s="1"/>
  <c r="K259" i="10"/>
  <c r="J259" i="10"/>
  <c r="L259" i="10" s="1"/>
  <c r="K173" i="10"/>
  <c r="G173" i="10"/>
  <c r="L173" i="10" s="1"/>
  <c r="K176" i="10"/>
  <c r="J176" i="10"/>
  <c r="L176" i="10" s="1"/>
  <c r="K187" i="10"/>
  <c r="G187" i="10"/>
  <c r="L187" i="10" s="1"/>
  <c r="K198" i="10"/>
  <c r="G198" i="10"/>
  <c r="L198" i="10" s="1"/>
  <c r="K207" i="10"/>
  <c r="J207" i="10"/>
  <c r="L207" i="10" s="1"/>
  <c r="K240" i="10"/>
  <c r="G240" i="10"/>
  <c r="L240" i="10" s="1"/>
  <c r="K247" i="10"/>
  <c r="J247" i="10"/>
  <c r="L247" i="10" s="1"/>
  <c r="J88" i="10"/>
  <c r="L88" i="10" s="1"/>
  <c r="G95" i="10"/>
  <c r="L95" i="10" s="1"/>
  <c r="G100" i="10"/>
  <c r="L100" i="10" s="1"/>
  <c r="J104" i="10"/>
  <c r="L104" i="10" s="1"/>
  <c r="K110" i="10"/>
  <c r="J112" i="10"/>
  <c r="L112" i="10" s="1"/>
  <c r="K118" i="10"/>
  <c r="G163" i="10"/>
  <c r="L163" i="10" s="1"/>
  <c r="G211" i="10"/>
  <c r="L211" i="10" s="1"/>
  <c r="K222" i="10"/>
  <c r="G222" i="10"/>
  <c r="L222" i="10" s="1"/>
  <c r="K231" i="10"/>
  <c r="J231" i="10"/>
  <c r="L231" i="10" s="1"/>
  <c r="J255" i="10"/>
  <c r="L255" i="10" s="1"/>
  <c r="G67" i="10"/>
  <c r="L67" i="10" s="1"/>
  <c r="G87" i="10"/>
  <c r="L87" i="10" s="1"/>
  <c r="J125" i="10"/>
  <c r="L125" i="10" s="1"/>
  <c r="G127" i="10"/>
  <c r="L127" i="10" s="1"/>
  <c r="G133" i="10"/>
  <c r="L133" i="10" s="1"/>
  <c r="G151" i="10"/>
  <c r="L151" i="10" s="1"/>
  <c r="K159" i="10"/>
  <c r="J159" i="10"/>
  <c r="L159" i="10" s="1"/>
  <c r="K167" i="10"/>
  <c r="J167" i="10"/>
  <c r="L167" i="10" s="1"/>
  <c r="K193" i="10"/>
  <c r="J193" i="10"/>
  <c r="L193" i="10" s="1"/>
  <c r="G205" i="10"/>
  <c r="L205" i="10" s="1"/>
  <c r="K238" i="10"/>
  <c r="G238" i="10"/>
  <c r="L238" i="10" s="1"/>
  <c r="K248" i="10"/>
  <c r="J248" i="10"/>
  <c r="L248" i="10" s="1"/>
  <c r="K253" i="10"/>
  <c r="J253" i="10"/>
  <c r="L253" i="10" s="1"/>
  <c r="K103" i="10"/>
  <c r="K129" i="10"/>
  <c r="K225" i="10"/>
  <c r="G225" i="10"/>
  <c r="L225" i="10" s="1"/>
  <c r="K232" i="10"/>
  <c r="G232" i="10"/>
  <c r="L232" i="10" s="1"/>
  <c r="D239" i="10"/>
  <c r="I239" i="10" s="1"/>
  <c r="K251" i="10"/>
  <c r="J158" i="10"/>
  <c r="L158" i="10" s="1"/>
  <c r="J166" i="10"/>
  <c r="L166" i="10" s="1"/>
  <c r="J175" i="10"/>
  <c r="L175" i="10" s="1"/>
  <c r="J183" i="10"/>
  <c r="L183" i="10" s="1"/>
  <c r="J192" i="10"/>
  <c r="L192" i="10" s="1"/>
  <c r="J206" i="10"/>
  <c r="L206" i="10" s="1"/>
  <c r="J227" i="10"/>
  <c r="L227" i="10" s="1"/>
  <c r="G230" i="10"/>
  <c r="L230" i="10" s="1"/>
  <c r="J246" i="10"/>
  <c r="L246" i="10" s="1"/>
  <c r="J252" i="10"/>
  <c r="L252" i="10" s="1"/>
  <c r="J258" i="10"/>
  <c r="L258" i="10" s="1"/>
  <c r="K35" i="10" l="1"/>
  <c r="G130" i="10"/>
  <c r="L130" i="10" s="1"/>
  <c r="J29" i="10"/>
  <c r="L29" i="10" s="1"/>
  <c r="K38" i="10"/>
  <c r="J63" i="10"/>
  <c r="L63" i="10" s="1"/>
  <c r="F265" i="10"/>
  <c r="G265" i="10" s="1"/>
  <c r="J65" i="10"/>
  <c r="L65" i="10" s="1"/>
  <c r="K65" i="10"/>
  <c r="K265" i="10" s="1"/>
  <c r="L265" i="10" s="1"/>
  <c r="I265" i="10"/>
  <c r="J265" i="10" s="1"/>
  <c r="K239" i="10"/>
  <c r="J239" i="10"/>
  <c r="L239" i="10" s="1"/>
  <c r="I57" i="9" l="1"/>
  <c r="K57" i="9" s="1"/>
  <c r="D55" i="9"/>
  <c r="I59" i="9"/>
  <c r="K59" i="9" s="1"/>
  <c r="I58" i="9"/>
  <c r="J58" i="9" s="1"/>
  <c r="L58" i="9" s="1"/>
  <c r="I56" i="9"/>
  <c r="K56" i="9" s="1"/>
  <c r="F55" i="9"/>
  <c r="F53" i="9"/>
  <c r="G53" i="9" s="1"/>
  <c r="L53" i="9" s="1"/>
  <c r="F51" i="9"/>
  <c r="K51" i="9" s="1"/>
  <c r="F50" i="9"/>
  <c r="K50" i="9" s="1"/>
  <c r="F49" i="9"/>
  <c r="K49" i="9" s="1"/>
  <c r="J57" i="9" l="1"/>
  <c r="L57" i="9" s="1"/>
  <c r="G55" i="9"/>
  <c r="L55" i="9" s="1"/>
  <c r="K55" i="9"/>
  <c r="J56" i="9"/>
  <c r="L56" i="9" s="1"/>
  <c r="K58" i="9"/>
  <c r="J59" i="9"/>
  <c r="L59" i="9" s="1"/>
  <c r="K53" i="9"/>
  <c r="G49" i="9"/>
  <c r="L49" i="9" s="1"/>
  <c r="G51" i="9"/>
  <c r="L51" i="9" s="1"/>
  <c r="G50" i="9"/>
  <c r="L50" i="9" s="1"/>
  <c r="D42" i="9" l="1"/>
  <c r="D40" i="9"/>
  <c r="F40" i="9" s="1"/>
  <c r="K40" i="9" s="1"/>
  <c r="I47" i="9"/>
  <c r="K47" i="9" s="1"/>
  <c r="I46" i="9"/>
  <c r="K46" i="9" s="1"/>
  <c r="I45" i="9"/>
  <c r="K45" i="9" s="1"/>
  <c r="F44" i="9"/>
  <c r="K44" i="9" s="1"/>
  <c r="D43" i="9"/>
  <c r="I43" i="9" s="1"/>
  <c r="F42" i="9"/>
  <c r="K42" i="9" s="1"/>
  <c r="D38" i="9"/>
  <c r="I38" i="9" s="1"/>
  <c r="F37" i="9"/>
  <c r="K37" i="9" s="1"/>
  <c r="D36" i="9"/>
  <c r="I36" i="9" s="1"/>
  <c r="F35" i="9"/>
  <c r="G35" i="9" s="1"/>
  <c r="L35" i="9" s="1"/>
  <c r="D27" i="9"/>
  <c r="I27" i="9" s="1"/>
  <c r="F26" i="9"/>
  <c r="K26" i="9" s="1"/>
  <c r="D25" i="9"/>
  <c r="I25" i="9" s="1"/>
  <c r="K25" i="9" s="1"/>
  <c r="F24" i="9"/>
  <c r="K24" i="9" s="1"/>
  <c r="D23" i="9"/>
  <c r="I23" i="9" s="1"/>
  <c r="F22" i="9"/>
  <c r="K22" i="9" s="1"/>
  <c r="D21" i="9"/>
  <c r="I21" i="9" s="1"/>
  <c r="F20" i="9"/>
  <c r="K20" i="9" s="1"/>
  <c r="I33" i="9"/>
  <c r="K33" i="9" s="1"/>
  <c r="F32" i="9"/>
  <c r="G32" i="9" s="1"/>
  <c r="L32" i="9" s="1"/>
  <c r="D31" i="9"/>
  <c r="I31" i="9" s="1"/>
  <c r="F30" i="9"/>
  <c r="K30" i="9" s="1"/>
  <c r="D29" i="9"/>
  <c r="I29" i="9" s="1"/>
  <c r="F28" i="9"/>
  <c r="K28" i="9" s="1"/>
  <c r="F18" i="9"/>
  <c r="K18" i="9" s="1"/>
  <c r="F16" i="9"/>
  <c r="K16" i="9" s="1"/>
  <c r="F15" i="9"/>
  <c r="K15" i="9" s="1"/>
  <c r="F13" i="9"/>
  <c r="K13" i="9" s="1"/>
  <c r="F11" i="9"/>
  <c r="G11" i="9" s="1"/>
  <c r="L11" i="9" s="1"/>
  <c r="E10" i="9"/>
  <c r="F10" i="9" s="1"/>
  <c r="F9" i="9"/>
  <c r="K9" i="9" s="1"/>
  <c r="A9" i="9"/>
  <c r="A10" i="9" s="1"/>
  <c r="A11" i="9" s="1"/>
  <c r="A13" i="9" s="1"/>
  <c r="A15" i="9" s="1"/>
  <c r="A16" i="9" s="1"/>
  <c r="A18" i="9" s="1"/>
  <c r="A20" i="9" s="1"/>
  <c r="A22" i="9" s="1"/>
  <c r="A24" i="9" s="1"/>
  <c r="A26" i="9" s="1"/>
  <c r="A28" i="9" s="1"/>
  <c r="A30" i="9" s="1"/>
  <c r="A32" i="9" s="1"/>
  <c r="A35" i="9" s="1"/>
  <c r="A37" i="9" s="1"/>
  <c r="A40" i="9" s="1"/>
  <c r="A42" i="9" s="1"/>
  <c r="A44" i="9" s="1"/>
  <c r="A49" i="9" s="1"/>
  <c r="A50" i="9" s="1"/>
  <c r="A51" i="9" s="1"/>
  <c r="A53" i="9" s="1"/>
  <c r="A55" i="9" s="1"/>
  <c r="F8" i="9"/>
  <c r="K8" i="9" l="1"/>
  <c r="F60" i="9"/>
  <c r="D41" i="9"/>
  <c r="I41" i="9" s="1"/>
  <c r="K41" i="9" s="1"/>
  <c r="J46" i="9"/>
  <c r="L46" i="9" s="1"/>
  <c r="G42" i="9"/>
  <c r="L42" i="9" s="1"/>
  <c r="K43" i="9"/>
  <c r="J43" i="9"/>
  <c r="L43" i="9" s="1"/>
  <c r="G40" i="9"/>
  <c r="L40" i="9" s="1"/>
  <c r="J45" i="9"/>
  <c r="L45" i="9" s="1"/>
  <c r="G44" i="9"/>
  <c r="L44" i="9" s="1"/>
  <c r="J47" i="9"/>
  <c r="L47" i="9" s="1"/>
  <c r="J36" i="9"/>
  <c r="L36" i="9" s="1"/>
  <c r="K36" i="9"/>
  <c r="K38" i="9"/>
  <c r="J38" i="9"/>
  <c r="L38" i="9" s="1"/>
  <c r="K35" i="9"/>
  <c r="G37" i="9"/>
  <c r="L37" i="9" s="1"/>
  <c r="G28" i="9"/>
  <c r="L28" i="9" s="1"/>
  <c r="K27" i="9"/>
  <c r="J27" i="9"/>
  <c r="L27" i="9" s="1"/>
  <c r="G26" i="9"/>
  <c r="L26" i="9" s="1"/>
  <c r="J25" i="9"/>
  <c r="L25" i="9" s="1"/>
  <c r="G24" i="9"/>
  <c r="L24" i="9" s="1"/>
  <c r="G30" i="9"/>
  <c r="L30" i="9" s="1"/>
  <c r="K23" i="9"/>
  <c r="J23" i="9"/>
  <c r="L23" i="9" s="1"/>
  <c r="G22" i="9"/>
  <c r="L22" i="9" s="1"/>
  <c r="J29" i="9"/>
  <c r="L29" i="9" s="1"/>
  <c r="K29" i="9"/>
  <c r="K32" i="9"/>
  <c r="K21" i="9"/>
  <c r="J21" i="9"/>
  <c r="L21" i="9" s="1"/>
  <c r="G20" i="9"/>
  <c r="L20" i="9" s="1"/>
  <c r="K31" i="9"/>
  <c r="J31" i="9"/>
  <c r="L31" i="9" s="1"/>
  <c r="J33" i="9"/>
  <c r="L33" i="9" s="1"/>
  <c r="G18" i="9"/>
  <c r="L18" i="9" s="1"/>
  <c r="G16" i="9"/>
  <c r="L16" i="9" s="1"/>
  <c r="G15" i="9"/>
  <c r="L15" i="9" s="1"/>
  <c r="K11" i="9"/>
  <c r="G9" i="9"/>
  <c r="L9" i="9" s="1"/>
  <c r="K10" i="9"/>
  <c r="G10" i="9"/>
  <c r="L10" i="9" s="1"/>
  <c r="G8" i="9"/>
  <c r="L8" i="9" s="1"/>
  <c r="G13" i="9"/>
  <c r="L13" i="9" s="1"/>
  <c r="I59" i="8"/>
  <c r="K59" i="8" s="1"/>
  <c r="I58" i="8"/>
  <c r="J58" i="8" s="1"/>
  <c r="L58" i="8" s="1"/>
  <c r="J41" i="9" l="1"/>
  <c r="L41" i="9" s="1"/>
  <c r="G60" i="9"/>
  <c r="K58" i="8"/>
  <c r="J59" i="8"/>
  <c r="L59" i="8" s="1"/>
  <c r="I60" i="9" l="1"/>
  <c r="J60" i="9" s="1"/>
  <c r="K60" i="9" l="1"/>
  <c r="L60" i="9" s="1"/>
  <c r="F161" i="8" l="1"/>
  <c r="I161" i="8" l="1"/>
  <c r="K161" i="8" l="1"/>
  <c r="J161" i="8" l="1"/>
  <c r="G161" i="8"/>
  <c r="L161" i="8" l="1"/>
  <c r="C7" i="6" l="1"/>
  <c r="D7" i="6"/>
  <c r="H6" i="6"/>
  <c r="H3" i="6"/>
  <c r="E4" i="6"/>
  <c r="H4" i="6"/>
  <c r="H5" i="6" l="1"/>
  <c r="H7" i="6" s="1"/>
  <c r="G7" i="6"/>
  <c r="E6" i="6"/>
  <c r="E5" i="6"/>
  <c r="E3" i="6"/>
  <c r="F7" i="6"/>
  <c r="E7" i="6" l="1"/>
</calcChain>
</file>

<file path=xl/sharedStrings.xml><?xml version="1.0" encoding="utf-8"?>
<sst xmlns="http://schemas.openxmlformats.org/spreadsheetml/2006/main" count="1209" uniqueCount="452">
  <si>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</si>
  <si>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</si>
  <si>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</si>
  <si>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</si>
  <si>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</si>
  <si>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</si>
  <si>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</si>
  <si>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</si>
  <si>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</si>
  <si>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</si>
  <si>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</si>
  <si>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</si>
  <si>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</si>
  <si>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</si>
  <si>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</si>
  <si>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м</t>
  </si>
  <si>
    <t>Погрузка лишнего грунта в автосамосвалы</t>
  </si>
  <si>
    <t>т</t>
  </si>
  <si>
    <t>10.1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</si>
  <si>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</si>
  <si>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</si>
  <si>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</si>
  <si>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</si>
  <si>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</si>
  <si>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</si>
  <si>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131-23-ГП2 Генеральный план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</si>
  <si>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</si>
  <si>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</si>
  <si>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</si>
  <si>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Устройство планировочной насыпи из оставшегося грунта</t>
  </si>
  <si>
    <t>Отсыпка территории щебнем</t>
  </si>
  <si>
    <t>Благоустройство (Водоотводной лоток)</t>
  </si>
  <si>
    <t>Устройство лотка водоотводного</t>
  </si>
  <si>
    <t>Устройство водоприемной решетки</t>
  </si>
  <si>
    <t>Лоток BetoMax Drive ЛВ-30.36.26-Б 47471</t>
  </si>
  <si>
    <t>Решетка Drive РВ-30.35.50-щель-ВЧ кл.C 273033-D</t>
  </si>
  <si>
    <t>Болт М10х25 ГОСТ 7805-70</t>
  </si>
  <si>
    <t>Гайка М 10 DIN 557 квадрат</t>
  </si>
  <si>
    <t>шт.</t>
  </si>
  <si>
    <t>Устройство слоя основания из щебня (подстилающий слой щебня для лотка)</t>
  </si>
  <si>
    <t>Устройство щебеночной наброски</t>
  </si>
  <si>
    <t>Щебень фракции 20-40мм М600, известняк</t>
  </si>
  <si>
    <t>Благоустройство (Асфальтовое покрытие проездов)</t>
  </si>
  <si>
    <t>Щебень, М600 (20-70мм), известняк</t>
  </si>
  <si>
    <t>м2</t>
  </si>
  <si>
    <t xml:space="preserve">Устройство слоя из песка крупного ГОСТ 8736-2014, h=0,30 </t>
  </si>
  <si>
    <t xml:space="preserve">Асфальтобетон крупнозернистый, плотный горячий на битуме БНД марки 60/90, Тип Б, Марки II </t>
  </si>
  <si>
    <t xml:space="preserve">Асфальтобетон мелкозернистый, плотный горячий на битуме БНД марки 60/90, Тип Б, Марки II </t>
  </si>
  <si>
    <t>Устройство бортовых камней БР 100.30.15</t>
  </si>
  <si>
    <t>Песок крупный ГОСТ 8736-2014 h=0,30 с К упл.= 1,10</t>
  </si>
  <si>
    <t>Бортовые камни БР 100.30.15</t>
  </si>
  <si>
    <t>Битумы нефтяные дорожные вязкие БНД 60/90, БНД 90/130</t>
  </si>
  <si>
    <t>Укладка и пропитка с применением битума щебеночных оснований толщиной 8 см</t>
  </si>
  <si>
    <t>Демонтаж (Существующее асфальтовое покрытие проездов)</t>
  </si>
  <si>
    <t>Демонтаж бортовых камней БР 100.30.15</t>
  </si>
  <si>
    <t>Благоустройство (восстановление сущ. газона)</t>
  </si>
  <si>
    <t>Посев многолетних трав ручным способом</t>
  </si>
  <si>
    <t>Кострец безостный</t>
  </si>
  <si>
    <t>Овсянка луговая</t>
  </si>
  <si>
    <t>Ежа сборная</t>
  </si>
  <si>
    <t>Благоустройство (укрепление откосов георешеткой)</t>
  </si>
  <si>
    <t>кг</t>
  </si>
  <si>
    <t>Земляные работы</t>
  </si>
  <si>
    <t>Разработка грунта вручную</t>
  </si>
  <si>
    <t>Сборные железобетонные, монолитные и кирпичные конструкции</t>
  </si>
  <si>
    <t>Фундамент ограждения ФО-2 «Альбом ИЖ 31-77» массой 0,63 т</t>
  </si>
  <si>
    <t>Панель ограждения ПО-2 «Альбом ИЖ 31-77» массой 1420 кг</t>
  </si>
  <si>
    <t>Кирпич КР-р-по 250х120х88/1,4НФ/150/2,0/50</t>
  </si>
  <si>
    <t>Устройство щебеночной подготовки из щебня фр. 20-40 мм под фундаменты</t>
  </si>
  <si>
    <t>Щебень фр. 20-40, известняк</t>
  </si>
  <si>
    <t>Демонтаж фундамента</t>
  </si>
  <si>
    <t>Демонтаж слоя из песка крупного h=0,30</t>
  </si>
  <si>
    <t>7.1</t>
  </si>
  <si>
    <t>9.1</t>
  </si>
  <si>
    <t>11.1</t>
  </si>
  <si>
    <t>12.1</t>
  </si>
  <si>
    <t>13.1</t>
  </si>
  <si>
    <t>14.1</t>
  </si>
  <si>
    <t>15.1</t>
  </si>
  <si>
    <t>16.1</t>
  </si>
  <si>
    <t>17.1</t>
  </si>
  <si>
    <t>18.1</t>
  </si>
  <si>
    <t>19.1</t>
  </si>
  <si>
    <t>26.1</t>
  </si>
  <si>
    <t>27.1</t>
  </si>
  <si>
    <t>28.1</t>
  </si>
  <si>
    <t>29.1</t>
  </si>
  <si>
    <t>Устройство железобетонных оград из панелей (2,5м*4шт.)</t>
  </si>
  <si>
    <t>Плита перекрытия ПП 10-1</t>
  </si>
  <si>
    <t>Кольцо стеновое КС 10-9</t>
  </si>
  <si>
    <t>Плита днища ПД 10</t>
  </si>
  <si>
    <t>Кольцо стеновое КС 10-3</t>
  </si>
  <si>
    <t>Люк тип Т (К) с пазом под РТИ (Н=100мм)</t>
  </si>
  <si>
    <t>Отвод НПВХ кор б/н Дн200х45гр в/к</t>
  </si>
  <si>
    <t>Труба НПВХ кор б/н Дн200х4,9 L=1,0м в/к SN4</t>
  </si>
  <si>
    <t>Труба КОРСИС DN/OD 200 SN 8 PR-2 (6м) с муфтой и упл.кольцами</t>
  </si>
  <si>
    <t>Устройство колодца канализационного из сборных ж/б</t>
  </si>
  <si>
    <t>Установка отвода Дн200</t>
  </si>
  <si>
    <t>Прокладка труб КОРСИС DN/OD 200</t>
  </si>
  <si>
    <t>цена 417 путь Дн160</t>
  </si>
  <si>
    <t>Прокладка труб НПВХ Дн200</t>
  </si>
  <si>
    <t>52.1</t>
  </si>
  <si>
    <t>53.1</t>
  </si>
  <si>
    <t>55.1</t>
  </si>
  <si>
    <t>56.1</t>
  </si>
  <si>
    <t>Демонтаж слоя из щебня  h=0,08</t>
  </si>
  <si>
    <t>Укладка асфальтобетона мелкозеристого горячего на битуме   h=0,05</t>
  </si>
  <si>
    <t>Подготовка почвы для устройства газона механизированным способом с внесением растительной земли слоем 20 см (80%)</t>
  </si>
  <si>
    <t>Подготовка почвы для устройства газона  ручным способом с внесением растительной земли слоем 20 см (20%)</t>
  </si>
  <si>
    <t>Земля растительная</t>
  </si>
  <si>
    <t>стоимость по ФЕР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</si>
  <si>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</si>
  <si>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</si>
  <si>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Засыпка щебнем с разравниванием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</si>
  <si>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</si>
  <si>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1.1</t>
  </si>
  <si>
    <t>2.1</t>
  </si>
  <si>
    <t>3.1</t>
  </si>
  <si>
    <t>3.2</t>
  </si>
  <si>
    <t>3.3</t>
  </si>
  <si>
    <t>4.1</t>
  </si>
  <si>
    <t>5.1</t>
  </si>
  <si>
    <t>6.1</t>
  </si>
  <si>
    <t>Устройство ж/б колодцев</t>
  </si>
  <si>
    <t>7.2</t>
  </si>
  <si>
    <t>7.3</t>
  </si>
  <si>
    <t>7.4</t>
  </si>
  <si>
    <t>7.5</t>
  </si>
  <si>
    <t>Пробивка отверстий в колодцах под футляр</t>
  </si>
  <si>
    <t>Заделка сальников при проходе труб между стенками колодца и трубой</t>
  </si>
  <si>
    <t>Прокладка трубопровода</t>
  </si>
  <si>
    <t xml:space="preserve">цена 417 путь </t>
  </si>
  <si>
    <t>Поднятие горловин сущ. ж/б колодцев</t>
  </si>
  <si>
    <t xml:space="preserve">Люк тяжелый </t>
  </si>
  <si>
    <t xml:space="preserve">Установка люка чугунного </t>
  </si>
  <si>
    <t>13.2</t>
  </si>
  <si>
    <t>Отсыпка щебнем</t>
  </si>
  <si>
    <t xml:space="preserve">Отсыпка щебнем стрелочных переводов </t>
  </si>
  <si>
    <t>Отсыпка щебнем глухой переезд</t>
  </si>
  <si>
    <t>Устройство траншеи под ливневую канализацию</t>
  </si>
  <si>
    <t>Устройство песчаного основания h=0,1м под трубы вручную</t>
  </si>
  <si>
    <t>Песок природный  средний</t>
  </si>
  <si>
    <t>Устройство присыпки песком h=0,20 вручную</t>
  </si>
  <si>
    <t xml:space="preserve">Устройство засыпки песком </t>
  </si>
  <si>
    <t>20.1</t>
  </si>
  <si>
    <t>21.1</t>
  </si>
  <si>
    <t>Укладка асфальтобетона крупнозернистого горячего на битуме    h=0,07</t>
  </si>
  <si>
    <t>Устройство слоя из геотекстиля Дорнит</t>
  </si>
  <si>
    <t>Геотекстиль Дорнит 500 (с учетом коэфф. 1,1 на захлест )</t>
  </si>
  <si>
    <t>в КП 417 путь цена -  4407,05р без разделения на крупно и мелкозернистый</t>
  </si>
  <si>
    <t>22.1</t>
  </si>
  <si>
    <t>23.1</t>
  </si>
  <si>
    <t>24.1</t>
  </si>
  <si>
    <t>24.2</t>
  </si>
  <si>
    <t>25.1</t>
  </si>
  <si>
    <t>Благоустройство (Устройство щебеночного покрытия стрелочных переводов)</t>
  </si>
  <si>
    <t xml:space="preserve">Устройство слоя из песка крупного  h=0,30 </t>
  </si>
  <si>
    <t>в КП 417 путь цена -  1083р/м2 за 5 см, скорректировала пропорционально</t>
  </si>
  <si>
    <t>Устройство слоя из щебня h=0,16</t>
  </si>
  <si>
    <t xml:space="preserve">Устройство слоя из щебня  h=0,15 </t>
  </si>
  <si>
    <t>Демонтаж слоя из асфальтобетона  от h=0,05 до h=0,4м</t>
  </si>
  <si>
    <t xml:space="preserve">Демонтаж слоя из асфальтобетона  h=0,19 </t>
  </si>
  <si>
    <t>Демонтаж слоя из асфальтобетона  h=0,3</t>
  </si>
  <si>
    <t>Демонтаж слоя из щебня  h=0,15</t>
  </si>
  <si>
    <t xml:space="preserve">Разработка сухого грунта механизированным способом </t>
  </si>
  <si>
    <t>ранее в КП 417 путь цена была- 78,85руб/м3</t>
  </si>
  <si>
    <t xml:space="preserve">Демонтаж отмостки цеха 121/18 из ж/бетона h=0,25 отбойными молотками  </t>
  </si>
  <si>
    <t>Демонтаж сущ. ж/б плит расположенных под демонтированным а/б покрытием h=0,30 (цех 121/18)</t>
  </si>
  <si>
    <t>Разборка дорожных ж/б плит  (6м*1,75м*0,18м) (20,41м3)</t>
  </si>
  <si>
    <t>Прочие работы</t>
  </si>
  <si>
    <t>Погрузка строительного мусора в автосамосвалы</t>
  </si>
  <si>
    <t>Погрузка вытесненного грунта в автосамосвалы</t>
  </si>
  <si>
    <t>Благоустройство (Резинокордовое покрытие из плит через ж/д путь №31, l=6.0м) – 2 переезда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</si>
  <si>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</si>
  <si>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</si>
  <si>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</si>
  <si>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 xml:space="preserve"> Резинокордовое покрытие</t>
  </si>
  <si>
    <t>компл.</t>
  </si>
  <si>
    <t>46.1</t>
  </si>
  <si>
    <t>стоимость из Коломны</t>
  </si>
  <si>
    <t>стоимость из Коломны (переезд 6,5м)</t>
  </si>
  <si>
    <t xml:space="preserve">Укладка ж/б прижимной балки БПР-3 </t>
  </si>
  <si>
    <t>Укладка ж/б прижимной балки БПР-4</t>
  </si>
  <si>
    <t>50.1</t>
  </si>
  <si>
    <t>Благоустройство (Резинокордовое покрытие из плит через ж/д путь №33,35,37,39 l=10.45м) – 1 переезд</t>
  </si>
  <si>
    <t>51.1</t>
  </si>
  <si>
    <t>53.2</t>
  </si>
  <si>
    <t>53.3</t>
  </si>
  <si>
    <t>Геотехническая решетка Н=0.15 м</t>
  </si>
  <si>
    <t>Анкер металлический, А12-900 мм</t>
  </si>
  <si>
    <t>55.2</t>
  </si>
  <si>
    <t>58.1</t>
  </si>
  <si>
    <t>58.2</t>
  </si>
  <si>
    <t>59.1</t>
  </si>
  <si>
    <t xml:space="preserve">Демонтаж панели ограждения ПО-2 </t>
  </si>
  <si>
    <t>Благоустройство (укладка плитки тротуарной на переезде цеха 417)</t>
  </si>
  <si>
    <t xml:space="preserve">Укладка плитки тротуарной </t>
  </si>
  <si>
    <t>Тротуарная плитка "Брусчатка" (200*100*60)мм</t>
  </si>
  <si>
    <t>62.1</t>
  </si>
  <si>
    <t>Восстановление колодцев действующих инженерных сетей</t>
  </si>
  <si>
    <t xml:space="preserve">    -Демонтаж люка чугунного</t>
  </si>
  <si>
    <t>Демонтаж ж/б изделий колодцев:</t>
  </si>
  <si>
    <t>65.1</t>
  </si>
  <si>
    <t>Колодец №1</t>
  </si>
  <si>
    <t>Устройство круглых сборных железобетонных канализационных колодцев  в мокрых грунтах</t>
  </si>
  <si>
    <t>20.2</t>
  </si>
  <si>
    <t>20.3</t>
  </si>
  <si>
    <t>Плита перекрытия колодца ПП15</t>
  </si>
  <si>
    <t>Битумная грунтовка ТЕХНОНИКОЛЬ № 01  (20л=16кг)</t>
  </si>
  <si>
    <t>л</t>
  </si>
  <si>
    <t>Битумная мастика Технониколь №24</t>
  </si>
  <si>
    <t>Кольцо доборное колодезное КС7.6</t>
  </si>
  <si>
    <t>66.1</t>
  </si>
  <si>
    <t>66.2</t>
  </si>
  <si>
    <t>66.3</t>
  </si>
  <si>
    <t>Ранее демонированное или новое?</t>
  </si>
  <si>
    <t>Колодец №2</t>
  </si>
  <si>
    <t>Демонтаж ж/б изделий колодцев</t>
  </si>
  <si>
    <t>Демонтаж чугунной решетки</t>
  </si>
  <si>
    <t>Демонтаж ж/б трубы Ду. 400мм</t>
  </si>
  <si>
    <t>Колодец №3</t>
  </si>
  <si>
    <t xml:space="preserve">Люк чугунный тяжелый </t>
  </si>
  <si>
    <t>73.1</t>
  </si>
  <si>
    <t>73.2</t>
  </si>
  <si>
    <t>74.1</t>
  </si>
  <si>
    <t>75.1</t>
  </si>
  <si>
    <t>Колодец №4</t>
  </si>
  <si>
    <t xml:space="preserve">Демонтаж люка чугунного </t>
  </si>
  <si>
    <t>Демонтажные работы</t>
  </si>
  <si>
    <t>Монтажные работы</t>
  </si>
  <si>
    <t>Кольцо строительное КС7.3</t>
  </si>
  <si>
    <t>77.2</t>
  </si>
  <si>
    <t>77.3</t>
  </si>
  <si>
    <t>77.1</t>
  </si>
  <si>
    <t>78.1</t>
  </si>
  <si>
    <t>79.1</t>
  </si>
  <si>
    <t>Колодец №5</t>
  </si>
  <si>
    <t>Плита перекрытия колодца ПП20</t>
  </si>
  <si>
    <t>Кольцо доборное колодезное КС7.3</t>
  </si>
  <si>
    <t>81.1</t>
  </si>
  <si>
    <t>82.1</t>
  </si>
  <si>
    <t>83.1</t>
  </si>
  <si>
    <t>Колодец №6</t>
  </si>
  <si>
    <t>Кольцо опорное К07</t>
  </si>
  <si>
    <t>Плита перекрытия ПП10</t>
  </si>
  <si>
    <t>85.1</t>
  </si>
  <si>
    <t>85.2</t>
  </si>
  <si>
    <t>85.3</t>
  </si>
  <si>
    <t>Кольцо опорное К06</t>
  </si>
  <si>
    <t>из КП 417 путь с дисконтом</t>
  </si>
  <si>
    <t>Колодец №8</t>
  </si>
  <si>
    <t>89.1</t>
  </si>
  <si>
    <t>89.2</t>
  </si>
  <si>
    <t>90.1</t>
  </si>
  <si>
    <t>91.1</t>
  </si>
  <si>
    <t xml:space="preserve">Плита днища колодца ПН10-1 </t>
  </si>
  <si>
    <t>93.1</t>
  </si>
  <si>
    <t>95.1</t>
  </si>
  <si>
    <t>Колодец №9</t>
  </si>
  <si>
    <t>96.1</t>
  </si>
  <si>
    <t>97.1</t>
  </si>
  <si>
    <t>Колодец №10</t>
  </si>
  <si>
    <t>Демонтаж ПНД трубы Ду.160мм</t>
  </si>
  <si>
    <t>Колодец №11, 12</t>
  </si>
  <si>
    <t>Колодец №13</t>
  </si>
  <si>
    <t>Обмазка праймером Технониколь  в один слой</t>
  </si>
  <si>
    <t>Обмазка битумной мастикой  в два слоя</t>
  </si>
  <si>
    <t xml:space="preserve">Монтаж кольца опорного кольца из кирпича </t>
  </si>
  <si>
    <t>Колодцы №14, 15,16,17,18</t>
  </si>
  <si>
    <t>Колодец №19</t>
  </si>
  <si>
    <t>Устройство гидроизоляции колодцев</t>
  </si>
  <si>
    <t>70.1</t>
  </si>
  <si>
    <t>71.1</t>
  </si>
  <si>
    <t>71.2</t>
  </si>
  <si>
    <t>71.3</t>
  </si>
  <si>
    <t>75.2</t>
  </si>
  <si>
    <t>75.3</t>
  </si>
  <si>
    <t>79.2</t>
  </si>
  <si>
    <t>79.3</t>
  </si>
  <si>
    <t>83.2</t>
  </si>
  <si>
    <t>83.3</t>
  </si>
  <si>
    <t>84.1</t>
  </si>
  <si>
    <t>92.1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</si>
  <si>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</si>
  <si>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</si>
  <si>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Установка на переезде через 4 пути дорожных знаков на сборных фундаментных блоках</t>
  </si>
  <si>
    <t>Разметка с двух сторон переезда стоп-линией перпендикулярно дорожному полотну шириной 0,4м</t>
  </si>
  <si>
    <t>Стойка 76 мм, L = 4 м, оцинкованная</t>
  </si>
  <si>
    <t xml:space="preserve">Хомут  (76) мм </t>
  </si>
  <si>
    <t xml:space="preserve">Дорожный знак 2.5 "Движение без остановки запрещено" 2 типоразмер, пленка тип "Б" </t>
  </si>
  <si>
    <t>95.2</t>
  </si>
  <si>
    <t>95.3</t>
  </si>
  <si>
    <t xml:space="preserve">Стойка 76 мм, L = 2 м, оцинкованная </t>
  </si>
  <si>
    <t xml:space="preserve">Основание знака ж/б Ф-2 под стойку </t>
  </si>
  <si>
    <t xml:space="preserve">Дорожный знак 2.5  </t>
  </si>
  <si>
    <t>Дорожный знак 1.2</t>
  </si>
  <si>
    <t xml:space="preserve">Дорожный знак 1.3.1 </t>
  </si>
  <si>
    <t>Дорожный знак 1.4.1</t>
  </si>
  <si>
    <t xml:space="preserve">Дорожный знак 1.4.2  2 </t>
  </si>
  <si>
    <t xml:space="preserve">Дорожный знак 1.4.3  2 </t>
  </si>
  <si>
    <t xml:space="preserve">Дорожный знак 1.4.4  2 </t>
  </si>
  <si>
    <t xml:space="preserve">Дорожный знак 1.4.5  2 </t>
  </si>
  <si>
    <t xml:space="preserve">Дорожный знак 1.4.6  2 </t>
  </si>
  <si>
    <t>Дорожный знак 2.5</t>
  </si>
  <si>
    <t xml:space="preserve">Краска для разметки дорог Profilux цвет белый </t>
  </si>
  <si>
    <t>96.2</t>
  </si>
  <si>
    <t>96.3</t>
  </si>
  <si>
    <t>96.4</t>
  </si>
  <si>
    <t>96.5</t>
  </si>
  <si>
    <t>96.6</t>
  </si>
  <si>
    <t>96.7</t>
  </si>
  <si>
    <t>96.8</t>
  </si>
  <si>
    <t>96.9</t>
  </si>
  <si>
    <t>96.10</t>
  </si>
  <si>
    <t>96.11</t>
  </si>
  <si>
    <t>96.12</t>
  </si>
  <si>
    <t>96.13</t>
  </si>
  <si>
    <t>!!!цена по счету без наценки (с учетом доставки)</t>
  </si>
  <si>
    <t xml:space="preserve">!!!цена по счету без наценки 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</si>
  <si>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</si>
  <si>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</si>
  <si>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</si>
  <si>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</si>
  <si>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</si>
  <si>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</si>
  <si>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Доработка грунта в траншее вручную</t>
  </si>
  <si>
    <t xml:space="preserve">Земляные работы </t>
  </si>
  <si>
    <t>Погрузка  грунта в автосамосвалы</t>
  </si>
  <si>
    <t xml:space="preserve">Щебень крупный М600 (20-70мм) </t>
  </si>
  <si>
    <t xml:space="preserve">Устройство слоя из щебня крупного  h=0,15 </t>
  </si>
  <si>
    <t xml:space="preserve">Устройство слоя из щебня мелкого  h=0,08 </t>
  </si>
  <si>
    <t xml:space="preserve">Щебень крупный М600 (5-20мм) </t>
  </si>
  <si>
    <t>Подъем и восстановление щебеночного основания</t>
  </si>
  <si>
    <t>Устройство асфальтобетонного покрытия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</si>
  <si>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</si>
  <si>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</si>
  <si>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Подготовка почвы для устройства газона  ручным способом с внесением растительной земли слоем 15 см (20%)</t>
  </si>
  <si>
    <t>Восстановление существующих ж/б колодцев</t>
  </si>
  <si>
    <t>Плита перекрытия ПП20</t>
  </si>
  <si>
    <t>Кольцо стеновое КС7.9-1</t>
  </si>
  <si>
    <t>25.2</t>
  </si>
  <si>
    <t>25.3</t>
  </si>
  <si>
    <t>25.4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</si>
  <si>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</si>
  <si>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стоимость из НВК</t>
  </si>
  <si>
    <t>!!! Стоимость из счета, без наценки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</si>
  <si>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</si>
  <si>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</si>
  <si>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</si>
  <si>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Разборка дорожных ж/б плит  гидромолотом</t>
  </si>
  <si>
    <t>Доработка грунта вручную</t>
  </si>
  <si>
    <t>Обратная засыпка грунта вручную</t>
  </si>
  <si>
    <t xml:space="preserve">Устройство слоя из песка крупного </t>
  </si>
  <si>
    <t>Щебень фракции  М600 (25-60мм), известняк</t>
  </si>
  <si>
    <t>Устройство слоя из щебня  крупного</t>
  </si>
  <si>
    <t>Устройство слоя из щебня  мелкого</t>
  </si>
  <si>
    <t>Щебень фракции  М600 (5-20мм), известняк</t>
  </si>
  <si>
    <t>24.3</t>
  </si>
  <si>
    <t>24.4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</si>
  <si>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</si>
  <si>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</si>
  <si>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</si>
  <si>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</si>
  <si>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</si>
  <si>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</si>
  <si>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</si>
  <si>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</si>
  <si>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24.13</t>
  </si>
  <si>
    <t>Подготовка почвы для устройства газона  ручным способом с внесением растительной земли слоем 10 см</t>
  </si>
  <si>
    <t>26.2</t>
  </si>
  <si>
    <t>26.3</t>
  </si>
  <si>
    <t>29.2</t>
  </si>
  <si>
    <t>29.3</t>
  </si>
  <si>
    <t>30.1</t>
  </si>
  <si>
    <t>31.1</t>
  </si>
  <si>
    <t>Щебень фракции 5-20мм М600, известняк</t>
  </si>
  <si>
    <t>Засыпка пазух лотков щебнем вручную</t>
  </si>
  <si>
    <t>Отсыпка территории песком механизированно</t>
  </si>
  <si>
    <t>Засыпка пазух лотков песком вручную</t>
  </si>
  <si>
    <t xml:space="preserve">Песок крупный </t>
  </si>
  <si>
    <t>Отсыпка территории щебнем механизированно</t>
  </si>
  <si>
    <t xml:space="preserve">Устройство  основания из щебня </t>
  </si>
  <si>
    <t>33.1</t>
  </si>
  <si>
    <t>34.1</t>
  </si>
  <si>
    <t>36.1</t>
  </si>
  <si>
    <t>38.1</t>
  </si>
  <si>
    <t>38.2</t>
  </si>
  <si>
    <t>39.1</t>
  </si>
  <si>
    <t>Демонтаж профлиста 2,27*2,53м</t>
  </si>
  <si>
    <t>Демонтаж профтрубы 40*40*2мм L=3000мм</t>
  </si>
  <si>
    <t>Демонтаж профтрубы 40*40*2мм L=2270мм</t>
  </si>
  <si>
    <t>Демонтаж профлиста 0,86*2,53м</t>
  </si>
  <si>
    <t>Монтаж ограждения</t>
  </si>
  <si>
    <t>47.1</t>
  </si>
  <si>
    <t>47.2</t>
  </si>
  <si>
    <t xml:space="preserve">Заделка панелей ограждения бетоном </t>
  </si>
  <si>
    <t>Бетон В20</t>
  </si>
  <si>
    <t>48.1</t>
  </si>
  <si>
    <t>Демонтаж чугунной решетки ДБ2</t>
  </si>
  <si>
    <t>49.1</t>
  </si>
  <si>
    <t>49.2</t>
  </si>
  <si>
    <t>49.3</t>
  </si>
  <si>
    <t xml:space="preserve"> - Демонтаж плиты перекрытия ПП10</t>
  </si>
  <si>
    <t xml:space="preserve"> - Демонтаж плиты перекрытия ПП15</t>
  </si>
  <si>
    <t xml:space="preserve"> - Демонтаж плиты перекрытия ПП20</t>
  </si>
  <si>
    <t xml:space="preserve"> - Демонтаж  ПН10</t>
  </si>
  <si>
    <t xml:space="preserve"> - Демонтаж  КС10.9</t>
  </si>
  <si>
    <t xml:space="preserve"> - Демонтаж  КС10.6</t>
  </si>
  <si>
    <t xml:space="preserve"> - Демонтаж  плиты ПВК 8</t>
  </si>
  <si>
    <t xml:space="preserve"> - Демонтаж люка чугунного</t>
  </si>
  <si>
    <t>51.2</t>
  </si>
  <si>
    <t>51.3</t>
  </si>
  <si>
    <t>51.4</t>
  </si>
  <si>
    <t>51.5</t>
  </si>
  <si>
    <t>51.6</t>
  </si>
  <si>
    <t>51.7</t>
  </si>
  <si>
    <t>51.8</t>
  </si>
  <si>
    <t>55.3</t>
  </si>
  <si>
    <t>Плита днища колодца ПН10</t>
  </si>
  <si>
    <t>Плита днища колодца ПН20</t>
  </si>
  <si>
    <t>55.4</t>
  </si>
  <si>
    <t>55.5</t>
  </si>
  <si>
    <t>55.6</t>
  </si>
  <si>
    <t>55.7</t>
  </si>
  <si>
    <t>55.8</t>
  </si>
  <si>
    <t>55.9</t>
  </si>
  <si>
    <t>55.10</t>
  </si>
  <si>
    <t>57.1</t>
  </si>
  <si>
    <t>стоимость по ФЕР *0,7</t>
  </si>
  <si>
    <t>стоимость по ФЕР*0,7</t>
  </si>
  <si>
    <t xml:space="preserve">Стоимость АС1 (монтаж опор) *0,7 </t>
  </si>
  <si>
    <t xml:space="preserve">Уплотнение  </t>
  </si>
  <si>
    <t>в КП 417 путь цена -  1083р/м2 за 5 см, учтено 7мм пропорционально</t>
  </si>
  <si>
    <t>417 путь</t>
  </si>
  <si>
    <t>стоимость из НВК5</t>
  </si>
  <si>
    <t>цена по счету</t>
  </si>
  <si>
    <t>Решетка Drive РВ-30.35.50-щель-ВЧ кл.C 273033-D (1012 шт.)</t>
  </si>
  <si>
    <t>Демонтаж железобетонных оград из панелей</t>
  </si>
  <si>
    <t>цена за монтаж с К=0,8</t>
  </si>
  <si>
    <t>стоимость путь 217 НВК, п.26</t>
  </si>
  <si>
    <t>цена за монтаж с К=0,7</t>
  </si>
  <si>
    <t>КП с дисконтом</t>
  </si>
  <si>
    <t>новые работы</t>
  </si>
  <si>
    <t xml:space="preserve">стоимость из ВДЦ 8-го цеха (НВК) </t>
  </si>
  <si>
    <t>Устройствто ограждения вдоль ММ3 ПЖ31 ПК5+50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</si>
  <si>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</si>
  <si>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</si>
  <si>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</si>
  <si>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</si>
  <si>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</si>
  <si>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Устройство прокладки внутренней резинокордового покрытия</t>
  </si>
  <si>
    <t>столько не было земли!!! Максимум 5 машин, пересчитано на 100м3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</si>
</sst>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00"/>
    <numFmt numFmtId="168" formatCode="0.0"/>
    <numFmt numFmtId="169" formatCode="_-* #,##0.000_-;\-* #,##0.0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334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0" fontId="4" fillId="0" borderId="3" xfId="0" applyFont="1" applyBorder="1"/>
    <xf numFmtId="0" fontId="8" fillId="0" borderId="3" xfId="2" applyFont="1" applyFill="1" applyBorder="1" applyAlignment="1">
      <alignment vertical="center" wrapText="1"/>
    </xf>
    <xf numFmtId="0" fontId="8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3" fontId="8" fillId="4" borderId="3" xfId="1" applyNumberFormat="1" applyFont="1" applyFill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4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NumberFormat="1" applyFont="1" applyFill="1" applyBorder="1"/>
    <xf numFmtId="43" fontId="4" fillId="6" borderId="3" xfId="1" applyNumberFormat="1" applyFont="1" applyFill="1" applyBorder="1"/>
    <xf numFmtId="43" fontId="4" fillId="5" borderId="3" xfId="1" applyNumberFormat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3" fontId="9" fillId="4" borderId="3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0" fontId="6" fillId="7" borderId="3" xfId="0" applyFont="1" applyFill="1" applyBorder="1"/>
    <xf numFmtId="43" fontId="6" fillId="7" borderId="3" xfId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6" fillId="7" borderId="11" xfId="1" applyFont="1" applyFill="1" applyBorder="1" applyAlignment="1">
      <alignment vertical="center"/>
    </xf>
    <xf numFmtId="0" fontId="3" fillId="7" borderId="11" xfId="0" applyFont="1" applyFill="1" applyBorder="1" applyAlignment="1">
      <alignment horizontal="left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3" fillId="7" borderId="3" xfId="3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4" borderId="3" xfId="3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3" fontId="9" fillId="4" borderId="3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 wrapText="1"/>
    </xf>
    <xf numFmtId="43" fontId="6" fillId="4" borderId="3" xfId="1" applyFont="1" applyFill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/>
    </xf>
    <xf numFmtId="43" fontId="8" fillId="0" borderId="3" xfId="1" applyFont="1" applyBorder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2" fontId="8" fillId="4" borderId="3" xfId="1" applyNumberFormat="1" applyFont="1" applyFill="1" applyBorder="1" applyAlignment="1">
      <alignment horizontal="right" vertical="center"/>
    </xf>
    <xf numFmtId="2" fontId="6" fillId="0" borderId="3" xfId="0" applyNumberFormat="1" applyFont="1" applyFill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right"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13" fillId="3" borderId="3" xfId="1" applyFont="1" applyFill="1" applyBorder="1" applyAlignment="1">
      <alignment horizontal="center"/>
    </xf>
    <xf numFmtId="43" fontId="13" fillId="3" borderId="3" xfId="1" applyFont="1" applyFill="1" applyBorder="1" applyAlignment="1">
      <alignment vertical="center"/>
    </xf>
    <xf numFmtId="0" fontId="10" fillId="0" borderId="0" xfId="0" applyFont="1"/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2" fontId="6" fillId="4" borderId="3" xfId="1" applyNumberFormat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horizontal="right" vertical="center"/>
    </xf>
    <xf numFmtId="1" fontId="8" fillId="4" borderId="3" xfId="1" applyNumberFormat="1" applyFont="1" applyFill="1" applyBorder="1" applyAlignment="1">
      <alignment horizontal="right" vertical="center"/>
    </xf>
    <xf numFmtId="0" fontId="6" fillId="7" borderId="3" xfId="0" applyNumberFormat="1" applyFont="1" applyFill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vertical="center" wrapText="1"/>
    </xf>
    <xf numFmtId="168" fontId="6" fillId="0" borderId="3" xfId="0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6" fillId="0" borderId="3" xfId="1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43" fontId="6" fillId="0" borderId="3" xfId="1" applyNumberFormat="1" applyFont="1" applyFill="1" applyBorder="1" applyAlignment="1">
      <alignment horizontal="right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8" fillId="0" borderId="3" xfId="3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vertical="center"/>
    </xf>
    <xf numFmtId="43" fontId="9" fillId="4" borderId="3" xfId="1" applyFont="1" applyFill="1" applyBorder="1" applyAlignment="1">
      <alignment vertical="center"/>
    </xf>
    <xf numFmtId="0" fontId="9" fillId="0" borderId="3" xfId="3" applyFont="1" applyBorder="1" applyAlignment="1">
      <alignment vertical="center" wrapText="1"/>
    </xf>
    <xf numFmtId="0" fontId="9" fillId="8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4" borderId="3" xfId="1" applyNumberFormat="1" applyFont="1" applyFill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right" vertical="center" wrapText="1"/>
    </xf>
    <xf numFmtId="168" fontId="6" fillId="4" borderId="3" xfId="0" applyNumberFormat="1" applyFont="1" applyFill="1" applyBorder="1" applyAlignment="1">
      <alignment horizontal="right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right" vertical="center" wrapText="1"/>
    </xf>
    <xf numFmtId="1" fontId="6" fillId="7" borderId="3" xfId="0" applyNumberFormat="1" applyFont="1" applyFill="1" applyBorder="1" applyAlignment="1">
      <alignment horizontal="right" vertical="center" wrapText="1"/>
    </xf>
    <xf numFmtId="0" fontId="3" fillId="0" borderId="3" xfId="3" applyFont="1" applyFill="1" applyBorder="1" applyAlignment="1">
      <alignment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2" fontId="8" fillId="3" borderId="3" xfId="0" applyNumberFormat="1" applyFont="1" applyFill="1" applyBorder="1" applyAlignment="1">
      <alignment horizontal="right" vertical="center" wrapText="1"/>
    </xf>
    <xf numFmtId="0" fontId="8" fillId="4" borderId="11" xfId="3" applyFont="1" applyFill="1" applyBorder="1" applyAlignment="1">
      <alignment horizontal="lef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right" vertical="center" wrapText="1"/>
    </xf>
    <xf numFmtId="0" fontId="9" fillId="4" borderId="11" xfId="3" applyFont="1" applyFill="1" applyBorder="1" applyAlignment="1">
      <alignment horizontal="left" vertical="center" wrapText="1"/>
    </xf>
    <xf numFmtId="0" fontId="9" fillId="0" borderId="3" xfId="3" applyFont="1" applyBorder="1" applyAlignment="1">
      <alignment horizontal="left" vertical="center" wrapText="1"/>
    </xf>
    <xf numFmtId="43" fontId="9" fillId="4" borderId="3" xfId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0" fontId="3" fillId="9" borderId="3" xfId="3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2" fontId="8" fillId="9" borderId="3" xfId="0" applyNumberFormat="1" applyFont="1" applyFill="1" applyBorder="1" applyAlignment="1">
      <alignment vertical="center" wrapText="1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horizontal="center"/>
    </xf>
    <xf numFmtId="43" fontId="8" fillId="9" borderId="3" xfId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horizontal="right" vertical="center" wrapText="1"/>
    </xf>
    <xf numFmtId="0" fontId="14" fillId="3" borderId="11" xfId="3" applyFont="1" applyFill="1" applyBorder="1" applyAlignment="1">
      <alignment horizontal="left" vertical="center" wrapText="1"/>
    </xf>
    <xf numFmtId="43" fontId="9" fillId="3" borderId="3" xfId="1" applyFont="1" applyFill="1" applyBorder="1" applyAlignment="1">
      <alignment horizontal="center" vertical="center" wrapText="1"/>
    </xf>
    <xf numFmtId="43" fontId="6" fillId="3" borderId="11" xfId="1" applyFont="1" applyFill="1" applyBorder="1" applyAlignment="1">
      <alignment vertical="center"/>
    </xf>
    <xf numFmtId="0" fontId="9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/>
    <xf numFmtId="0" fontId="9" fillId="7" borderId="3" xfId="0" applyFont="1" applyFill="1" applyBorder="1"/>
    <xf numFmtId="43" fontId="9" fillId="7" borderId="3" xfId="1" applyFont="1" applyFill="1" applyBorder="1" applyAlignment="1">
      <alignment horizontal="center" vertical="center" wrapText="1"/>
    </xf>
    <xf numFmtId="43" fontId="9" fillId="7" borderId="3" xfId="1" applyFont="1" applyFill="1" applyBorder="1" applyAlignment="1">
      <alignment vertical="center"/>
    </xf>
    <xf numFmtId="43" fontId="12" fillId="7" borderId="3" xfId="1" applyFont="1" applyFill="1" applyBorder="1" applyAlignment="1">
      <alignment horizontal="center" vertical="center" wrapText="1"/>
    </xf>
    <xf numFmtId="43" fontId="9" fillId="7" borderId="11" xfId="1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vertical="center" wrapText="1"/>
    </xf>
    <xf numFmtId="43" fontId="9" fillId="0" borderId="3" xfId="1" applyFont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vertical="center"/>
    </xf>
    <xf numFmtId="43" fontId="9" fillId="0" borderId="11" xfId="1" applyFont="1" applyBorder="1" applyAlignment="1">
      <alignment vertical="center"/>
    </xf>
    <xf numFmtId="0" fontId="15" fillId="3" borderId="11" xfId="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vertical="center" wrapText="1"/>
    </xf>
    <xf numFmtId="43" fontId="9" fillId="3" borderId="11" xfId="1" applyFont="1" applyFill="1" applyBorder="1" applyAlignment="1">
      <alignment vertical="center"/>
    </xf>
    <xf numFmtId="2" fontId="9" fillId="0" borderId="3" xfId="0" applyNumberFormat="1" applyFont="1" applyBorder="1" applyAlignment="1">
      <alignment vertical="center" wrapText="1"/>
    </xf>
    <xf numFmtId="43" fontId="9" fillId="3" borderId="3" xfId="1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3" fontId="8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vertical="center" wrapText="1"/>
    </xf>
    <xf numFmtId="1" fontId="8" fillId="4" borderId="3" xfId="0" applyNumberFormat="1" applyFont="1" applyFill="1" applyBorder="1" applyAlignment="1">
      <alignment horizontal="right" vertical="center" wrapText="1"/>
    </xf>
    <xf numFmtId="43" fontId="8" fillId="4" borderId="3" xfId="1" applyFont="1" applyFill="1" applyBorder="1" applyAlignment="1">
      <alignment horizontal="center"/>
    </xf>
    <xf numFmtId="0" fontId="8" fillId="8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vertical="center" wrapText="1"/>
    </xf>
    <xf numFmtId="43" fontId="6" fillId="10" borderId="3" xfId="1" applyFont="1" applyFill="1" applyBorder="1" applyAlignment="1">
      <alignment vertical="center"/>
    </xf>
    <xf numFmtId="43" fontId="8" fillId="10" borderId="3" xfId="1" applyFont="1" applyFill="1" applyBorder="1" applyAlignment="1">
      <alignment horizontal="center" vertical="center" wrapText="1"/>
    </xf>
    <xf numFmtId="43" fontId="6" fillId="10" borderId="3" xfId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vertical="center" wrapText="1"/>
    </xf>
    <xf numFmtId="164" fontId="6" fillId="11" borderId="3" xfId="1" applyNumberFormat="1" applyFont="1" applyFill="1" applyBorder="1" applyAlignment="1">
      <alignment horizontal="right" vertical="center" wrapText="1"/>
    </xf>
    <xf numFmtId="43" fontId="8" fillId="11" borderId="3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vertical="center"/>
    </xf>
    <xf numFmtId="43" fontId="7" fillId="11" borderId="3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horizontal="center" vertical="center" wrapText="1"/>
    </xf>
    <xf numFmtId="43" fontId="6" fillId="11" borderId="11" xfId="1" applyFont="1" applyFill="1" applyBorder="1" applyAlignment="1">
      <alignment vertical="center"/>
    </xf>
    <xf numFmtId="0" fontId="8" fillId="11" borderId="3" xfId="3" applyFont="1" applyFill="1" applyBorder="1" applyAlignment="1">
      <alignment horizontal="left" vertical="center" wrapText="1"/>
    </xf>
    <xf numFmtId="43" fontId="6" fillId="11" borderId="3" xfId="1" applyFont="1" applyFill="1" applyBorder="1" applyAlignment="1">
      <alignment horizontal="right" vertical="center" wrapText="1"/>
    </xf>
    <xf numFmtId="43" fontId="8" fillId="10" borderId="3" xfId="1" applyFont="1" applyFill="1" applyBorder="1" applyAlignment="1">
      <alignment vertical="center"/>
    </xf>
    <xf numFmtId="43" fontId="7" fillId="10" borderId="3" xfId="1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vertical="center" wrapText="1"/>
    </xf>
    <xf numFmtId="43" fontId="6" fillId="10" borderId="3" xfId="1" applyNumberFormat="1" applyFont="1" applyFill="1" applyBorder="1" applyAlignment="1">
      <alignment horizontal="right" vertical="center" wrapText="1"/>
    </xf>
    <xf numFmtId="43" fontId="6" fillId="10" borderId="11" xfId="1" applyFont="1" applyFill="1" applyBorder="1" applyAlignment="1">
      <alignment vertical="center"/>
    </xf>
    <xf numFmtId="43" fontId="8" fillId="11" borderId="3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 wrapText="1"/>
    </xf>
    <xf numFmtId="43" fontId="13" fillId="11" borderId="3" xfId="1" applyFont="1" applyFill="1" applyBorder="1" applyAlignment="1">
      <alignment horizontal="center"/>
    </xf>
    <xf numFmtId="43" fontId="13" fillId="11" borderId="3" xfId="1" applyFont="1" applyFill="1" applyBorder="1" applyAlignment="1">
      <alignment vertical="center"/>
    </xf>
    <xf numFmtId="168" fontId="6" fillId="11" borderId="3" xfId="0" applyNumberFormat="1" applyFont="1" applyFill="1" applyBorder="1" applyAlignment="1">
      <alignment horizontal="right" vertical="center" wrapText="1"/>
    </xf>
    <xf numFmtId="2" fontId="8" fillId="11" borderId="3" xfId="0" applyNumberFormat="1" applyFont="1" applyFill="1" applyBorder="1" applyAlignment="1">
      <alignment vertical="center" wrapText="1"/>
    </xf>
    <xf numFmtId="0" fontId="6" fillId="10" borderId="3" xfId="0" applyNumberFormat="1" applyFont="1" applyFill="1" applyBorder="1" applyAlignment="1">
      <alignment horizontal="right" vertical="center" wrapText="1"/>
    </xf>
    <xf numFmtId="0" fontId="6" fillId="11" borderId="3" xfId="0" applyNumberFormat="1" applyFont="1" applyFill="1" applyBorder="1" applyAlignment="1">
      <alignment horizontal="right" vertical="center" wrapText="1"/>
    </xf>
    <xf numFmtId="2" fontId="6" fillId="11" borderId="3" xfId="0" applyNumberFormat="1" applyFont="1" applyFill="1" applyBorder="1" applyAlignment="1">
      <alignment horizontal="right" vertical="center" wrapText="1"/>
    </xf>
    <xf numFmtId="49" fontId="8" fillId="11" borderId="3" xfId="0" applyNumberFormat="1" applyFont="1" applyFill="1" applyBorder="1" applyAlignment="1">
      <alignment horizontal="center" vertical="center" wrapText="1"/>
    </xf>
    <xf numFmtId="3" fontId="6" fillId="11" borderId="3" xfId="0" applyNumberFormat="1" applyFont="1" applyFill="1" applyBorder="1" applyAlignment="1">
      <alignment horizontal="right" vertical="center" wrapText="1"/>
    </xf>
    <xf numFmtId="43" fontId="8" fillId="11" borderId="3" xfId="1" applyFont="1" applyFill="1" applyBorder="1" applyAlignment="1">
      <alignment horizontal="center" vertical="center"/>
    </xf>
    <xf numFmtId="0" fontId="8" fillId="11" borderId="3" xfId="0" applyNumberFormat="1" applyFont="1" applyFill="1" applyBorder="1" applyAlignment="1">
      <alignment horizontal="center" vertical="center" wrapText="1"/>
    </xf>
    <xf numFmtId="0" fontId="8" fillId="10" borderId="3" xfId="0" applyNumberFormat="1" applyFont="1" applyFill="1" applyBorder="1" applyAlignment="1">
      <alignment horizontal="center" vertical="center" wrapText="1"/>
    </xf>
    <xf numFmtId="3" fontId="6" fillId="10" borderId="3" xfId="0" applyNumberFormat="1" applyFont="1" applyFill="1" applyBorder="1" applyAlignment="1">
      <alignment horizontal="right" vertical="center" wrapText="1"/>
    </xf>
    <xf numFmtId="1" fontId="6" fillId="10" borderId="3" xfId="0" applyNumberFormat="1" applyFont="1" applyFill="1" applyBorder="1" applyAlignment="1">
      <alignment horizontal="right" vertical="center" wrapText="1"/>
    </xf>
    <xf numFmtId="43" fontId="9" fillId="10" borderId="3" xfId="1" applyFont="1" applyFill="1" applyBorder="1" applyAlignment="1">
      <alignment horizontal="center" vertical="center" wrapText="1"/>
    </xf>
    <xf numFmtId="168" fontId="6" fillId="10" borderId="3" xfId="0" applyNumberFormat="1" applyFont="1" applyFill="1" applyBorder="1" applyAlignment="1">
      <alignment horizontal="right" vertical="center" wrapText="1"/>
    </xf>
    <xf numFmtId="2" fontId="6" fillId="10" borderId="3" xfId="0" applyNumberFormat="1" applyFont="1" applyFill="1" applyBorder="1" applyAlignment="1">
      <alignment horizontal="right" vertical="center" wrapText="1"/>
    </xf>
    <xf numFmtId="0" fontId="8" fillId="11" borderId="11" xfId="3" applyFont="1" applyFill="1" applyBorder="1" applyAlignment="1">
      <alignment horizontal="left" vertical="center" wrapText="1"/>
    </xf>
    <xf numFmtId="0" fontId="8" fillId="11" borderId="3" xfId="2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right" vertical="center" wrapText="1"/>
    </xf>
    <xf numFmtId="167" fontId="6" fillId="10" borderId="3" xfId="0" applyNumberFormat="1" applyFont="1" applyFill="1" applyBorder="1" applyAlignment="1">
      <alignment horizontal="right" vertical="center" wrapText="1"/>
    </xf>
    <xf numFmtId="1" fontId="6" fillId="11" borderId="3" xfId="0" applyNumberFormat="1" applyFont="1" applyFill="1" applyBorder="1" applyAlignment="1">
      <alignment horizontal="right" vertical="center" wrapText="1"/>
    </xf>
    <xf numFmtId="167" fontId="6" fillId="11" borderId="3" xfId="0" applyNumberFormat="1" applyFont="1" applyFill="1" applyBorder="1" applyAlignment="1">
      <alignment horizontal="right" vertical="center" wrapText="1"/>
    </xf>
    <xf numFmtId="167" fontId="8" fillId="11" borderId="3" xfId="0" applyNumberFormat="1" applyFont="1" applyFill="1" applyBorder="1" applyAlignment="1">
      <alignment horizontal="right" vertical="center" wrapText="1"/>
    </xf>
    <xf numFmtId="169" fontId="6" fillId="11" borderId="3" xfId="1" applyNumberFormat="1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1" fontId="8" fillId="10" borderId="3" xfId="0" applyNumberFormat="1" applyFont="1" applyFill="1" applyBorder="1" applyAlignment="1">
      <alignment horizontal="right" vertical="center" wrapText="1"/>
    </xf>
    <xf numFmtId="1" fontId="8" fillId="10" borderId="3" xfId="0" applyNumberFormat="1" applyFont="1" applyFill="1" applyBorder="1" applyAlignment="1">
      <alignment vertical="center" wrapText="1"/>
    </xf>
    <xf numFmtId="1" fontId="8" fillId="11" borderId="3" xfId="0" applyNumberFormat="1" applyFont="1" applyFill="1" applyBorder="1" applyAlignment="1">
      <alignment horizontal="right" vertical="center" wrapText="1"/>
    </xf>
    <xf numFmtId="43" fontId="8" fillId="11" borderId="1" xfId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horizontal="center"/>
    </xf>
    <xf numFmtId="0" fontId="10" fillId="11" borderId="0" xfId="0" applyFont="1" applyFill="1"/>
    <xf numFmtId="0" fontId="10" fillId="10" borderId="0" xfId="0" applyFont="1" applyFill="1"/>
    <xf numFmtId="43" fontId="8" fillId="10" borderId="3" xfId="1" applyFont="1" applyFill="1" applyBorder="1" applyAlignment="1">
      <alignment horizontal="center" vertical="center"/>
    </xf>
    <xf numFmtId="0" fontId="16" fillId="11" borderId="3" xfId="3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center" vertical="center" wrapText="1"/>
    </xf>
    <xf numFmtId="43" fontId="16" fillId="11" borderId="3" xfId="1" applyFont="1" applyFill="1" applyBorder="1" applyAlignment="1">
      <alignment horizontal="center" vertical="center" wrapText="1"/>
    </xf>
    <xf numFmtId="43" fontId="16" fillId="11" borderId="3" xfId="1" applyFont="1" applyFill="1" applyBorder="1" applyAlignment="1">
      <alignment vertical="center"/>
    </xf>
    <xf numFmtId="43" fontId="16" fillId="11" borderId="3" xfId="1" applyFont="1" applyFill="1" applyBorder="1" applyAlignment="1">
      <alignment horizontal="center"/>
    </xf>
    <xf numFmtId="43" fontId="16" fillId="11" borderId="11" xfId="1" applyFont="1" applyFill="1" applyBorder="1" applyAlignment="1">
      <alignment vertical="center"/>
    </xf>
    <xf numFmtId="0" fontId="16" fillId="11" borderId="3" xfId="3" applyFont="1" applyFill="1" applyBorder="1" applyAlignment="1">
      <alignment vertical="center" wrapText="1"/>
    </xf>
    <xf numFmtId="43" fontId="17" fillId="11" borderId="3" xfId="1" applyFont="1" applyFill="1" applyBorder="1" applyAlignment="1">
      <alignment horizontal="center" vertical="center" wrapText="1"/>
    </xf>
    <xf numFmtId="169" fontId="16" fillId="11" borderId="3" xfId="1" applyNumberFormat="1" applyFont="1" applyFill="1" applyBorder="1" applyAlignment="1">
      <alignment horizontal="center" vertical="center" wrapText="1"/>
    </xf>
    <xf numFmtId="0" fontId="18" fillId="7" borderId="3" xfId="3" applyFont="1" applyFill="1" applyBorder="1" applyAlignment="1">
      <alignment vertical="center" wrapText="1"/>
    </xf>
    <xf numFmtId="0" fontId="16" fillId="7" borderId="3" xfId="0" applyFont="1" applyFill="1" applyBorder="1" applyAlignment="1">
      <alignment horizontal="center" vertical="center" wrapText="1"/>
    </xf>
    <xf numFmtId="1" fontId="16" fillId="7" borderId="3" xfId="0" applyNumberFormat="1" applyFont="1" applyFill="1" applyBorder="1" applyAlignment="1">
      <alignment horizontal="center" vertical="center" wrapText="1"/>
    </xf>
    <xf numFmtId="43" fontId="16" fillId="7" borderId="3" xfId="1" applyFont="1" applyFill="1" applyBorder="1" applyAlignment="1">
      <alignment horizontal="center" vertical="center" wrapText="1"/>
    </xf>
    <xf numFmtId="43" fontId="16" fillId="7" borderId="3" xfId="1" applyFont="1" applyFill="1" applyBorder="1" applyAlignment="1">
      <alignment vertical="center"/>
    </xf>
    <xf numFmtId="43" fontId="17" fillId="7" borderId="3" xfId="1" applyFont="1" applyFill="1" applyBorder="1" applyAlignment="1">
      <alignment horizontal="center" vertical="center" wrapText="1"/>
    </xf>
    <xf numFmtId="43" fontId="16" fillId="7" borderId="11" xfId="1" applyFont="1" applyFill="1" applyBorder="1" applyAlignment="1">
      <alignment vertical="center"/>
    </xf>
    <xf numFmtId="0" fontId="16" fillId="8" borderId="3" xfId="0" applyFont="1" applyFill="1" applyBorder="1" applyAlignment="1">
      <alignment vertical="center" wrapText="1"/>
    </xf>
    <xf numFmtId="3" fontId="16" fillId="4" borderId="3" xfId="1" applyNumberFormat="1" applyFont="1" applyFill="1" applyBorder="1" applyAlignment="1">
      <alignment horizontal="right" vertical="center"/>
    </xf>
    <xf numFmtId="43" fontId="16" fillId="4" borderId="3" xfId="1" applyFont="1" applyFill="1" applyBorder="1" applyAlignment="1">
      <alignment vertical="center"/>
    </xf>
    <xf numFmtId="43" fontId="16" fillId="4" borderId="3" xfId="1" applyFont="1" applyFill="1" applyBorder="1" applyAlignment="1">
      <alignment horizontal="center" vertical="center" wrapText="1"/>
    </xf>
    <xf numFmtId="3" fontId="16" fillId="11" borderId="3" xfId="0" applyNumberFormat="1" applyFont="1" applyFill="1" applyBorder="1" applyAlignment="1">
      <alignment horizontal="right" vertical="center" wrapText="1"/>
    </xf>
    <xf numFmtId="43" fontId="16" fillId="11" borderId="3" xfId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right" vertical="center" wrapText="1"/>
    </xf>
    <xf numFmtId="0" fontId="3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0" borderId="5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8" fillId="12" borderId="3" xfId="3" applyFont="1" applyFill="1" applyBorder="1" applyAlignment="1">
      <alignment vertical="center" wrapText="1"/>
    </xf>
    <xf numFmtId="2" fontId="6" fillId="12" borderId="3" xfId="0" applyNumberFormat="1" applyFont="1" applyFill="1" applyBorder="1" applyAlignment="1">
      <alignment horizontal="right" vertical="center" wrapText="1"/>
    </xf>
    <xf numFmtId="43" fontId="6" fillId="12" borderId="3" xfId="1" applyFont="1" applyFill="1" applyBorder="1" applyAlignment="1">
      <alignment vertical="center"/>
    </xf>
    <xf numFmtId="43" fontId="7" fillId="12" borderId="3" xfId="1" applyFont="1" applyFill="1" applyBorder="1" applyAlignment="1">
      <alignment horizontal="center" vertical="center" wrapText="1"/>
    </xf>
    <xf numFmtId="43" fontId="6" fillId="12" borderId="3" xfId="1" applyFont="1" applyFill="1" applyBorder="1" applyAlignment="1">
      <alignment horizontal="center" vertical="center" wrapText="1"/>
    </xf>
    <xf numFmtId="43" fontId="6" fillId="12" borderId="11" xfId="1" applyFont="1" applyFill="1" applyBorder="1" applyAlignment="1">
      <alignment vertical="center"/>
    </xf>
    <xf numFmtId="0" fontId="2" fillId="12" borderId="0" xfId="0" applyFont="1" applyFill="1" applyAlignment="1">
      <alignment vertical="center"/>
    </xf>
    <xf numFmtId="0" fontId="0" fillId="12" borderId="0" xfId="0" applyFill="1"/>
    <xf numFmtId="49" fontId="8" fillId="12" borderId="3" xfId="0" applyNumberFormat="1" applyFont="1" applyFill="1" applyBorder="1" applyAlignment="1">
      <alignment horizontal="center" vertical="center" wrapText="1"/>
    </xf>
    <xf numFmtId="43" fontId="8" fillId="12" borderId="3" xfId="1" applyFont="1" applyFill="1" applyBorder="1" applyAlignment="1">
      <alignment horizontal="center" vertical="center" wrapText="1"/>
    </xf>
    <xf numFmtId="43" fontId="8" fillId="12" borderId="3" xfId="1" applyFont="1" applyFill="1" applyBorder="1" applyAlignment="1">
      <alignment vertical="center"/>
    </xf>
    <xf numFmtId="0" fontId="2" fillId="12" borderId="0" xfId="0" applyFont="1" applyFill="1"/>
    <xf numFmtId="0" fontId="0" fillId="0" borderId="0" xfId="0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19" fillId="12" borderId="0" xfId="0" applyFont="1" applyFill="1" applyAlignment="1">
      <alignment horizontal="left" vertical="center"/>
    </xf>
    <xf numFmtId="166" fontId="19" fillId="12" borderId="0" xfId="0" applyNumberFormat="1" applyFont="1" applyFill="1"/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5"/>
  <sheetViews>
    <sheetView view="pageBreakPreview" zoomScaleNormal="100" zoomScaleSheetLayoutView="100" workbookViewId="0">
      <selection activeCell="G3" sqref="G3:G6"/>
    </sheetView>
  </sheetViews>
  <sheetFormatPr defaultRowHeight="15" x14ac:dyDescent="0.25"/>
  <cols>
    <col min="1" max="1" width="6.5703125" customWidth="1"/>
    <col min="2" max="2" width="47.2851562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292" t="s">
        <v>0</v>
      </c>
      <c r="B1" s="292" t="s">
        <v>19</v>
      </c>
      <c r="C1" s="293" t="s">
        <v>20</v>
      </c>
      <c r="D1" s="293"/>
      <c r="E1" s="293"/>
      <c r="F1" s="294" t="s">
        <v>12</v>
      </c>
      <c r="G1" s="294"/>
      <c r="H1" s="294"/>
    </row>
    <row r="2" spans="1:9" ht="28.5" x14ac:dyDescent="0.25">
      <c r="A2" s="292"/>
      <c r="B2" s="292"/>
      <c r="C2" s="44" t="s">
        <v>21</v>
      </c>
      <c r="D2" s="45" t="s">
        <v>22</v>
      </c>
      <c r="E2" s="45" t="s">
        <v>23</v>
      </c>
      <c r="F2" s="46" t="s">
        <v>21</v>
      </c>
      <c r="G2" s="47" t="s">
        <v>22</v>
      </c>
      <c r="H2" s="47" t="s">
        <v>23</v>
      </c>
    </row>
    <row r="3" spans="1:9" ht="23.1" customHeight="1" x14ac:dyDescent="0.25">
      <c r="A3" s="48">
        <v>1</v>
      </c>
      <c r="B3" s="58"/>
      <c r="C3" s="29"/>
      <c r="D3" s="50"/>
      <c r="E3" s="61">
        <f>C3+D3</f>
        <v>0</v>
      </c>
      <c r="F3" s="51"/>
      <c r="G3" s="52"/>
      <c r="H3" s="53">
        <f>F3+G3</f>
        <v>0</v>
      </c>
      <c r="I3" s="54"/>
    </row>
    <row r="4" spans="1:9" ht="23.1" customHeight="1" x14ac:dyDescent="0.25">
      <c r="A4" s="48">
        <v>2</v>
      </c>
      <c r="B4" s="58"/>
      <c r="C4" s="29"/>
      <c r="D4" s="50"/>
      <c r="E4" s="61">
        <f t="shared" ref="E4:E6" si="0">C4+D4</f>
        <v>0</v>
      </c>
      <c r="F4" s="51"/>
      <c r="G4" s="52"/>
      <c r="H4" s="53">
        <f t="shared" ref="H4:H6" si="1">F4+G4</f>
        <v>0</v>
      </c>
      <c r="I4" s="54"/>
    </row>
    <row r="5" spans="1:9" ht="23.1" customHeight="1" x14ac:dyDescent="0.25">
      <c r="A5" s="48">
        <v>3</v>
      </c>
      <c r="B5" s="49"/>
      <c r="C5" s="29"/>
      <c r="D5" s="50"/>
      <c r="E5" s="61">
        <f t="shared" si="0"/>
        <v>0</v>
      </c>
      <c r="F5" s="51"/>
      <c r="G5" s="52"/>
      <c r="H5" s="53">
        <f t="shared" si="1"/>
        <v>0</v>
      </c>
      <c r="I5" s="54"/>
    </row>
    <row r="6" spans="1:9" ht="23.1" customHeight="1" x14ac:dyDescent="0.25">
      <c r="A6" s="48">
        <v>4</v>
      </c>
      <c r="B6" s="49"/>
      <c r="C6" s="29"/>
      <c r="D6" s="50"/>
      <c r="E6" s="61">
        <f t="shared" si="0"/>
        <v>0</v>
      </c>
      <c r="F6" s="51"/>
      <c r="G6" s="52"/>
      <c r="H6" s="53">
        <f t="shared" si="1"/>
        <v>0</v>
      </c>
      <c r="I6" s="54"/>
    </row>
    <row r="7" spans="1:9" x14ac:dyDescent="0.25">
      <c r="A7" s="12"/>
      <c r="B7" s="33" t="s">
        <v>24</v>
      </c>
      <c r="C7" s="55">
        <f>SUM(C3:C6)</f>
        <v>0</v>
      </c>
      <c r="D7" s="55">
        <f>SUM(D3:D6)</f>
        <v>0</v>
      </c>
      <c r="E7" s="59">
        <f>SUM(E3:E6)</f>
        <v>0</v>
      </c>
      <c r="F7" s="56">
        <f>SUM(F3:F6)</f>
        <v>0</v>
      </c>
      <c r="G7" s="56">
        <f t="shared" ref="G7:H7" si="2">SUM(G3:G6)</f>
        <v>0</v>
      </c>
      <c r="H7" s="60">
        <f t="shared" si="2"/>
        <v>0</v>
      </c>
      <c r="I7" s="54"/>
    </row>
    <row r="8" spans="1:9" x14ac:dyDescent="0.25">
      <c r="A8" s="57"/>
      <c r="B8" s="57"/>
      <c r="C8" s="57"/>
      <c r="D8" s="57"/>
      <c r="E8" s="57"/>
      <c r="I8" s="54"/>
    </row>
    <row r="9" spans="1:9" x14ac:dyDescent="0.25">
      <c r="A9" s="57"/>
      <c r="B9" s="57"/>
      <c r="C9" s="57"/>
      <c r="D9" s="57"/>
      <c r="E9" s="57"/>
    </row>
    <row r="10" spans="1:9" x14ac:dyDescent="0.25">
      <c r="A10" s="57"/>
      <c r="B10" s="57"/>
      <c r="C10" s="57"/>
      <c r="D10" s="57"/>
      <c r="E10" s="57"/>
    </row>
    <row r="11" spans="1:9" x14ac:dyDescent="0.25">
      <c r="A11" s="57"/>
      <c r="B11" s="57"/>
      <c r="C11" s="57"/>
      <c r="D11" s="57"/>
      <c r="E11" s="57"/>
    </row>
    <row r="12" spans="1:9" x14ac:dyDescent="0.25">
      <c r="A12" s="57"/>
      <c r="B12" s="57"/>
      <c r="C12" s="57"/>
      <c r="D12" s="57"/>
      <c r="E12" s="57"/>
    </row>
    <row r="13" spans="1:9" x14ac:dyDescent="0.25">
      <c r="A13" s="57"/>
      <c r="B13" s="57"/>
      <c r="C13" s="57"/>
      <c r="D13" s="57"/>
      <c r="E13" s="57"/>
    </row>
    <row r="14" spans="1:9" x14ac:dyDescent="0.25">
      <c r="A14" s="57"/>
      <c r="B14" s="57"/>
      <c r="C14" s="57"/>
      <c r="D14" s="57"/>
      <c r="E14" s="57"/>
    </row>
    <row r="15" spans="1:9" x14ac:dyDescent="0.25">
      <c r="A15" s="57"/>
      <c r="B15" s="57"/>
      <c r="C15" s="57"/>
      <c r="D15" s="57"/>
      <c r="E15" s="5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1755-EEEB-40D1-8DEA-B808E19F6FD9}">
  <sheetPr>
    <tabColor theme="9" tint="0.59999389629810485"/>
  </sheetPr>
  <dimension ref="A1:O164"/>
  <sheetViews>
    <sheetView tabSelected="1" view="pageBreakPreview" topLeftCell="A40" zoomScaleNormal="100" zoomScaleSheetLayoutView="100" workbookViewId="0">
      <selection activeCell="O72" sqref="O7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32.140625" customWidth="1"/>
    <col min="14" max="14" width="61.28515625" style="330" customWidth="1"/>
    <col min="15" max="15" width="25" customWidth="1"/>
  </cols>
  <sheetData>
    <row r="1" spans="1:13" ht="14.45" customHeight="1" x14ac:dyDescent="0.25">
      <c r="A1" s="295" t="s">
        <v>0</v>
      </c>
      <c r="B1" s="298" t="s">
        <v>1</v>
      </c>
      <c r="C1" s="301" t="s">
        <v>2</v>
      </c>
      <c r="D1" s="301" t="s">
        <v>3</v>
      </c>
      <c r="E1" s="302" t="s">
        <v>4</v>
      </c>
      <c r="F1" s="303"/>
      <c r="G1" s="303"/>
      <c r="H1" s="303"/>
      <c r="I1" s="303"/>
      <c r="J1" s="303"/>
      <c r="K1" s="303"/>
      <c r="L1" s="303"/>
    </row>
    <row r="2" spans="1:13" ht="14.45" customHeight="1" x14ac:dyDescent="0.25">
      <c r="A2" s="296"/>
      <c r="B2" s="299"/>
      <c r="C2" s="301"/>
      <c r="D2" s="301"/>
      <c r="E2" s="304"/>
      <c r="F2" s="305"/>
      <c r="G2" s="305"/>
      <c r="H2" s="305"/>
      <c r="I2" s="305"/>
      <c r="J2" s="305"/>
      <c r="K2" s="305"/>
      <c r="L2" s="305"/>
    </row>
    <row r="3" spans="1:13" ht="27.75" customHeight="1" x14ac:dyDescent="0.25">
      <c r="A3" s="296"/>
      <c r="B3" s="299"/>
      <c r="C3" s="301"/>
      <c r="D3" s="301"/>
      <c r="E3" s="301" t="s">
        <v>5</v>
      </c>
      <c r="F3" s="301"/>
      <c r="G3" s="301"/>
      <c r="H3" s="301" t="s">
        <v>6</v>
      </c>
      <c r="I3" s="301"/>
      <c r="J3" s="301"/>
      <c r="K3" s="292" t="s">
        <v>7</v>
      </c>
      <c r="L3" s="292"/>
    </row>
    <row r="4" spans="1:13" ht="56.1" customHeight="1" x14ac:dyDescent="0.25">
      <c r="A4" s="297"/>
      <c r="B4" s="300"/>
      <c r="C4" s="301"/>
      <c r="D4" s="301"/>
      <c r="E4" s="86" t="s">
        <v>8</v>
      </c>
      <c r="F4" s="86" t="s">
        <v>9</v>
      </c>
      <c r="G4" s="1" t="s">
        <v>10</v>
      </c>
      <c r="H4" s="86" t="s">
        <v>8</v>
      </c>
      <c r="I4" s="86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306" t="s">
        <v>25</v>
      </c>
      <c r="C6" s="307"/>
      <c r="D6" s="307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81" t="s">
        <v>53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25">
      <c r="A8" s="205">
        <v>1</v>
      </c>
      <c r="B8" s="206" t="s">
        <v>322</v>
      </c>
      <c r="C8" s="207" t="s">
        <v>15</v>
      </c>
      <c r="D8" s="208">
        <v>137.91999999999999</v>
      </c>
      <c r="E8" s="222">
        <v>3500</v>
      </c>
      <c r="F8" s="209">
        <v>482720</v>
      </c>
      <c r="G8" s="209">
        <v>579264</v>
      </c>
      <c r="H8" s="210"/>
      <c r="I8" s="209"/>
      <c r="J8" s="209"/>
      <c r="K8" s="211">
        <v>482720</v>
      </c>
      <c r="L8" s="209">
        <v>579264</v>
      </c>
      <c r="M8" s="204" t="s">
        <v>443</v>
      </c>
    </row>
    <row r="9" spans="1:13" ht="18.75" customHeight="1" x14ac:dyDescent="0.25">
      <c r="A9" s="212">
        <v>2</v>
      </c>
      <c r="B9" s="213" t="s">
        <v>346</v>
      </c>
      <c r="C9" s="212" t="s">
        <v>38</v>
      </c>
      <c r="D9" s="214">
        <v>297</v>
      </c>
      <c r="E9" s="215">
        <v>1055.02</v>
      </c>
      <c r="F9" s="216">
        <v>313340.94</v>
      </c>
      <c r="G9" s="216">
        <v>376009.13</v>
      </c>
      <c r="H9" s="217"/>
      <c r="I9" s="216"/>
      <c r="J9" s="216"/>
      <c r="K9" s="218">
        <v>313340.94</v>
      </c>
      <c r="L9" s="219">
        <v>376009.13</v>
      </c>
    </row>
    <row r="10" spans="1:13" ht="18.75" customHeight="1" x14ac:dyDescent="0.25">
      <c r="A10" s="212">
        <v>3</v>
      </c>
      <c r="B10" s="220" t="s">
        <v>347</v>
      </c>
      <c r="C10" s="212" t="s">
        <v>13</v>
      </c>
      <c r="D10" s="221">
        <v>347.03</v>
      </c>
      <c r="E10" s="215">
        <v>4380.38</v>
      </c>
      <c r="F10" s="216">
        <v>1520123.27</v>
      </c>
      <c r="G10" s="216">
        <v>1824147.92</v>
      </c>
      <c r="H10" s="217"/>
      <c r="I10" s="216"/>
      <c r="J10" s="216"/>
      <c r="K10" s="218">
        <v>1520123.27</v>
      </c>
      <c r="L10" s="219">
        <v>1824147.92</v>
      </c>
    </row>
    <row r="11" spans="1:13" ht="18.75" customHeight="1" x14ac:dyDescent="0.25">
      <c r="A11" s="212">
        <v>4</v>
      </c>
      <c r="B11" s="220" t="s">
        <v>348</v>
      </c>
      <c r="C11" s="212" t="s">
        <v>13</v>
      </c>
      <c r="D11" s="221">
        <v>547.91999999999996</v>
      </c>
      <c r="E11" s="215">
        <v>304</v>
      </c>
      <c r="F11" s="216">
        <v>166567.67999999999</v>
      </c>
      <c r="G11" s="216">
        <v>199881.22</v>
      </c>
      <c r="H11" s="217"/>
      <c r="I11" s="216"/>
      <c r="J11" s="216"/>
      <c r="K11" s="218">
        <v>166567.67999999999</v>
      </c>
      <c r="L11" s="219">
        <v>199881.22</v>
      </c>
    </row>
    <row r="12" spans="1:13" ht="20.25" customHeight="1" x14ac:dyDescent="0.25">
      <c r="A12" s="205">
        <v>5</v>
      </c>
      <c r="B12" s="206" t="s">
        <v>349</v>
      </c>
      <c r="C12" s="207" t="s">
        <v>13</v>
      </c>
      <c r="D12" s="208">
        <v>104.89</v>
      </c>
      <c r="E12" s="222">
        <v>4462.1288515406159</v>
      </c>
      <c r="F12" s="209">
        <v>468032.7</v>
      </c>
      <c r="G12" s="209">
        <v>561639.24</v>
      </c>
      <c r="H12" s="223"/>
      <c r="I12" s="209"/>
      <c r="J12" s="209"/>
      <c r="K12" s="211">
        <v>468032.7</v>
      </c>
      <c r="L12" s="209">
        <v>561639.24</v>
      </c>
      <c r="M12" s="66"/>
    </row>
    <row r="13" spans="1:13" ht="32.25" customHeight="1" x14ac:dyDescent="0.25">
      <c r="A13" s="205">
        <v>6</v>
      </c>
      <c r="B13" s="224" t="s">
        <v>166</v>
      </c>
      <c r="C13" s="207" t="s">
        <v>13</v>
      </c>
      <c r="D13" s="225">
        <v>17.91</v>
      </c>
      <c r="E13" s="210">
        <v>4380.38</v>
      </c>
      <c r="F13" s="209">
        <v>78452.61</v>
      </c>
      <c r="G13" s="209">
        <v>94143.13</v>
      </c>
      <c r="H13" s="223"/>
      <c r="I13" s="209"/>
      <c r="J13" s="209"/>
      <c r="K13" s="211">
        <v>78452.61</v>
      </c>
      <c r="L13" s="226">
        <v>94143.13</v>
      </c>
    </row>
    <row r="14" spans="1:13" ht="20.25" customHeight="1" x14ac:dyDescent="0.25">
      <c r="A14" s="36"/>
      <c r="B14" s="132" t="s">
        <v>169</v>
      </c>
      <c r="C14" s="123"/>
      <c r="D14" s="111"/>
      <c r="E14" s="130"/>
      <c r="F14" s="14"/>
      <c r="G14" s="14"/>
      <c r="H14" s="15"/>
      <c r="I14" s="16"/>
      <c r="J14" s="16"/>
      <c r="K14" s="13"/>
      <c r="L14" s="17"/>
      <c r="M14" s="66"/>
    </row>
    <row r="15" spans="1:13" ht="18.75" customHeight="1" x14ac:dyDescent="0.25">
      <c r="A15" s="212">
        <v>7</v>
      </c>
      <c r="B15" s="213" t="s">
        <v>170</v>
      </c>
      <c r="C15" s="212" t="s">
        <v>17</v>
      </c>
      <c r="D15" s="218">
        <v>1728.42</v>
      </c>
      <c r="E15" s="227">
        <v>431.37</v>
      </c>
      <c r="F15" s="216">
        <v>745588.54</v>
      </c>
      <c r="G15" s="216">
        <v>894706.25</v>
      </c>
      <c r="H15" s="217"/>
      <c r="I15" s="216"/>
      <c r="J15" s="216"/>
      <c r="K15" s="218">
        <v>745588.54</v>
      </c>
      <c r="L15" s="219">
        <v>894706.25</v>
      </c>
      <c r="M15" s="66" t="s">
        <v>434</v>
      </c>
    </row>
    <row r="16" spans="1:13" ht="18.75" customHeight="1" x14ac:dyDescent="0.25">
      <c r="A16" s="70"/>
      <c r="B16" s="81" t="s">
        <v>62</v>
      </c>
      <c r="C16" s="70"/>
      <c r="D16" s="147"/>
      <c r="E16" s="79"/>
      <c r="F16" s="74"/>
      <c r="G16" s="74"/>
      <c r="H16" s="75"/>
      <c r="I16" s="74"/>
      <c r="J16" s="74"/>
      <c r="K16" s="73"/>
      <c r="L16" s="76"/>
    </row>
    <row r="17" spans="1:13" ht="21.75" customHeight="1" x14ac:dyDescent="0.25">
      <c r="A17" s="212">
        <v>8</v>
      </c>
      <c r="B17" s="220" t="s">
        <v>164</v>
      </c>
      <c r="C17" s="228" t="s">
        <v>13</v>
      </c>
      <c r="D17" s="218">
        <v>319.26</v>
      </c>
      <c r="E17" s="215">
        <v>308.75</v>
      </c>
      <c r="F17" s="216">
        <v>98571.53</v>
      </c>
      <c r="G17" s="216">
        <v>118285.84</v>
      </c>
      <c r="H17" s="229"/>
      <c r="I17" s="230"/>
      <c r="J17" s="230"/>
      <c r="K17" s="215">
        <v>98571.53</v>
      </c>
      <c r="L17" s="227">
        <v>118285.84</v>
      </c>
      <c r="M17" s="114"/>
    </row>
    <row r="18" spans="1:13" ht="18.75" customHeight="1" x14ac:dyDescent="0.25">
      <c r="A18" s="212">
        <v>9</v>
      </c>
      <c r="B18" s="213" t="s">
        <v>350</v>
      </c>
      <c r="C18" s="212" t="s">
        <v>13</v>
      </c>
      <c r="D18" s="231">
        <v>56.2</v>
      </c>
      <c r="E18" s="215">
        <v>1688.15</v>
      </c>
      <c r="F18" s="216">
        <v>94874.03</v>
      </c>
      <c r="G18" s="216">
        <v>113848.84</v>
      </c>
      <c r="H18" s="217"/>
      <c r="I18" s="216"/>
      <c r="J18" s="216"/>
      <c r="K18" s="218">
        <v>94874.03</v>
      </c>
      <c r="L18" s="219">
        <v>113848.84</v>
      </c>
    </row>
    <row r="19" spans="1:13" ht="18.75" customHeight="1" x14ac:dyDescent="0.25">
      <c r="A19" s="212">
        <v>10</v>
      </c>
      <c r="B19" s="213" t="s">
        <v>351</v>
      </c>
      <c r="C19" s="212" t="s">
        <v>13</v>
      </c>
      <c r="D19" s="218">
        <v>7.38</v>
      </c>
      <c r="E19" s="215">
        <v>854.05</v>
      </c>
      <c r="F19" s="216">
        <v>6302.89</v>
      </c>
      <c r="G19" s="216">
        <v>7563.47</v>
      </c>
      <c r="H19" s="217"/>
      <c r="I19" s="216"/>
      <c r="J19" s="216"/>
      <c r="K19" s="218">
        <v>6302.89</v>
      </c>
      <c r="L19" s="219">
        <v>7563.47</v>
      </c>
      <c r="M19" s="85"/>
    </row>
    <row r="20" spans="1:13" ht="22.5" customHeight="1" x14ac:dyDescent="0.25">
      <c r="A20" s="212">
        <v>10</v>
      </c>
      <c r="B20" s="220" t="s">
        <v>431</v>
      </c>
      <c r="C20" s="228" t="s">
        <v>13</v>
      </c>
      <c r="D20" s="232">
        <v>7.38</v>
      </c>
      <c r="E20" s="215">
        <v>188.1</v>
      </c>
      <c r="F20" s="216">
        <v>1388.18</v>
      </c>
      <c r="G20" s="216">
        <v>1665.82</v>
      </c>
      <c r="H20" s="215"/>
      <c r="I20" s="216"/>
      <c r="J20" s="216"/>
      <c r="K20" s="215">
        <v>1388.18</v>
      </c>
      <c r="L20" s="227">
        <v>1665.82</v>
      </c>
      <c r="M20" s="114"/>
    </row>
    <row r="21" spans="1:13" ht="18.75" customHeight="1" x14ac:dyDescent="0.25">
      <c r="A21" s="212">
        <v>11</v>
      </c>
      <c r="B21" s="213" t="s">
        <v>171</v>
      </c>
      <c r="C21" s="212" t="s">
        <v>17</v>
      </c>
      <c r="D21" s="218">
        <v>92.76</v>
      </c>
      <c r="E21" s="215">
        <v>308.75</v>
      </c>
      <c r="F21" s="216">
        <v>28639.65</v>
      </c>
      <c r="G21" s="216">
        <v>34367.58</v>
      </c>
      <c r="H21" s="217"/>
      <c r="I21" s="216"/>
      <c r="J21" s="216"/>
      <c r="K21" s="218">
        <v>28639.65</v>
      </c>
      <c r="L21" s="219">
        <v>34367.58</v>
      </c>
      <c r="M21" s="85"/>
    </row>
    <row r="22" spans="1:13" ht="21.75" customHeight="1" x14ac:dyDescent="0.25">
      <c r="A22" s="212"/>
      <c r="B22" s="264" t="s">
        <v>42</v>
      </c>
      <c r="C22" s="265"/>
      <c r="D22" s="266"/>
      <c r="E22" s="266"/>
      <c r="F22" s="267"/>
      <c r="G22" s="267"/>
      <c r="H22" s="268"/>
      <c r="I22" s="267"/>
      <c r="J22" s="267"/>
      <c r="K22" s="266"/>
      <c r="L22" s="267"/>
      <c r="M22" s="63"/>
    </row>
    <row r="23" spans="1:13" ht="18.75" customHeight="1" x14ac:dyDescent="0.25">
      <c r="A23" s="212">
        <v>12</v>
      </c>
      <c r="B23" s="270" t="s">
        <v>147</v>
      </c>
      <c r="C23" s="265" t="s">
        <v>44</v>
      </c>
      <c r="D23" s="272">
        <v>4376.62</v>
      </c>
      <c r="E23" s="266">
        <v>183.58</v>
      </c>
      <c r="F23" s="267">
        <v>803459.9</v>
      </c>
      <c r="G23" s="267">
        <v>964151.88</v>
      </c>
      <c r="H23" s="271"/>
      <c r="I23" s="267"/>
      <c r="J23" s="267"/>
      <c r="K23" s="266">
        <v>803459.9</v>
      </c>
      <c r="L23" s="269">
        <v>964151.88</v>
      </c>
      <c r="M23" s="83"/>
    </row>
    <row r="24" spans="1:13" ht="23.25" customHeight="1" x14ac:dyDescent="0.25">
      <c r="A24" s="70" t="s">
        <v>75</v>
      </c>
      <c r="B24" s="77" t="s">
        <v>148</v>
      </c>
      <c r="C24" s="70" t="s">
        <v>44</v>
      </c>
      <c r="D24" s="80">
        <v>4814.2820000000002</v>
      </c>
      <c r="E24" s="79"/>
      <c r="F24" s="74"/>
      <c r="G24" s="74"/>
      <c r="H24" s="75">
        <v>153.33000000000001</v>
      </c>
      <c r="I24" s="74">
        <v>738173.86</v>
      </c>
      <c r="J24" s="74">
        <v>885808.63</v>
      </c>
      <c r="K24" s="73">
        <v>738173.86</v>
      </c>
      <c r="L24" s="76">
        <v>885808.63</v>
      </c>
    </row>
    <row r="25" spans="1:13" ht="20.25" customHeight="1" x14ac:dyDescent="0.25">
      <c r="A25" s="205">
        <v>13</v>
      </c>
      <c r="B25" s="224" t="s">
        <v>352</v>
      </c>
      <c r="C25" s="205" t="s">
        <v>13</v>
      </c>
      <c r="D25" s="233">
        <v>764.67</v>
      </c>
      <c r="E25" s="210">
        <v>1055.45</v>
      </c>
      <c r="F25" s="209">
        <v>807070.95</v>
      </c>
      <c r="G25" s="209">
        <v>968485.14</v>
      </c>
      <c r="H25" s="223"/>
      <c r="I25" s="209"/>
      <c r="J25" s="209"/>
      <c r="K25" s="211">
        <v>807070.95</v>
      </c>
      <c r="L25" s="226">
        <v>968485.14</v>
      </c>
    </row>
    <row r="26" spans="1:13" ht="18.75" customHeight="1" x14ac:dyDescent="0.25">
      <c r="A26" s="38" t="s">
        <v>76</v>
      </c>
      <c r="B26" s="19" t="s">
        <v>49</v>
      </c>
      <c r="C26" s="20" t="s">
        <v>13</v>
      </c>
      <c r="D26" s="100">
        <v>841.13700000000006</v>
      </c>
      <c r="E26" s="21"/>
      <c r="F26" s="22"/>
      <c r="G26" s="22"/>
      <c r="H26" s="39">
        <v>1427.76</v>
      </c>
      <c r="I26" s="22">
        <v>1200941.76</v>
      </c>
      <c r="J26" s="22">
        <v>1441130.11</v>
      </c>
      <c r="K26" s="23">
        <v>1200941.76</v>
      </c>
      <c r="L26" s="24">
        <v>1441130.11</v>
      </c>
      <c r="M26" s="37"/>
    </row>
    <row r="27" spans="1:13" ht="18.75" customHeight="1" x14ac:dyDescent="0.25">
      <c r="A27" s="212">
        <v>14</v>
      </c>
      <c r="B27" s="213" t="s">
        <v>431</v>
      </c>
      <c r="C27" s="212" t="s">
        <v>13</v>
      </c>
      <c r="D27" s="234">
        <v>1308.51</v>
      </c>
      <c r="E27" s="215">
        <v>188.1</v>
      </c>
      <c r="F27" s="216">
        <v>246130.73</v>
      </c>
      <c r="G27" s="216">
        <v>295356.88</v>
      </c>
      <c r="H27" s="217"/>
      <c r="I27" s="216"/>
      <c r="J27" s="216"/>
      <c r="K27" s="218">
        <v>246130.73</v>
      </c>
      <c r="L27" s="219">
        <v>295356.88</v>
      </c>
    </row>
    <row r="28" spans="1:13" ht="18.75" customHeight="1" x14ac:dyDescent="0.25">
      <c r="A28" s="38">
        <v>15</v>
      </c>
      <c r="B28" s="19" t="s">
        <v>354</v>
      </c>
      <c r="C28" s="20" t="s">
        <v>13</v>
      </c>
      <c r="D28" s="100">
        <v>398.62</v>
      </c>
      <c r="E28" s="21">
        <v>1666.3</v>
      </c>
      <c r="F28" s="22">
        <v>664220.51</v>
      </c>
      <c r="G28" s="22">
        <v>797064.61</v>
      </c>
      <c r="H28" s="39"/>
      <c r="I28" s="22"/>
      <c r="J28" s="22"/>
      <c r="K28" s="23">
        <v>664220.51</v>
      </c>
      <c r="L28" s="24">
        <v>797064.61</v>
      </c>
      <c r="M28" s="37"/>
    </row>
    <row r="29" spans="1:13" ht="22.5" customHeight="1" x14ac:dyDescent="0.25">
      <c r="A29" s="212" t="s">
        <v>78</v>
      </c>
      <c r="B29" s="220" t="s">
        <v>353</v>
      </c>
      <c r="C29" s="228" t="s">
        <v>13</v>
      </c>
      <c r="D29" s="232">
        <v>502.26120000000003</v>
      </c>
      <c r="E29" s="215"/>
      <c r="F29" s="216"/>
      <c r="G29" s="216"/>
      <c r="H29" s="215">
        <v>3805.7</v>
      </c>
      <c r="I29" s="216">
        <v>1911455.45</v>
      </c>
      <c r="J29" s="216">
        <v>2293746.54</v>
      </c>
      <c r="K29" s="215">
        <v>1911455.45</v>
      </c>
      <c r="L29" s="227">
        <v>2293746.54</v>
      </c>
      <c r="M29" s="114"/>
    </row>
    <row r="30" spans="1:13" ht="18.75" customHeight="1" x14ac:dyDescent="0.25">
      <c r="A30" s="212">
        <v>16</v>
      </c>
      <c r="B30" s="213" t="s">
        <v>355</v>
      </c>
      <c r="C30" s="212" t="s">
        <v>13</v>
      </c>
      <c r="D30" s="234">
        <v>467.16</v>
      </c>
      <c r="E30" s="215">
        <v>1666.3</v>
      </c>
      <c r="F30" s="216">
        <v>778428.71</v>
      </c>
      <c r="G30" s="216">
        <v>934114.45</v>
      </c>
      <c r="H30" s="217"/>
      <c r="I30" s="216"/>
      <c r="J30" s="216"/>
      <c r="K30" s="218">
        <v>778428.71</v>
      </c>
      <c r="L30" s="219">
        <v>934114.45</v>
      </c>
    </row>
    <row r="31" spans="1:13" ht="18.75" customHeight="1" x14ac:dyDescent="0.25">
      <c r="A31" s="38" t="s">
        <v>79</v>
      </c>
      <c r="B31" s="19" t="s">
        <v>356</v>
      </c>
      <c r="C31" s="20" t="s">
        <v>13</v>
      </c>
      <c r="D31" s="100">
        <v>588.62160000000006</v>
      </c>
      <c r="E31" s="21"/>
      <c r="F31" s="22"/>
      <c r="G31" s="22"/>
      <c r="H31" s="39">
        <v>4206.6000000000004</v>
      </c>
      <c r="I31" s="22">
        <v>2476095.62</v>
      </c>
      <c r="J31" s="22">
        <v>2971314.74</v>
      </c>
      <c r="K31" s="23">
        <v>2476095.62</v>
      </c>
      <c r="L31" s="24">
        <v>2971314.74</v>
      </c>
      <c r="M31" s="37"/>
    </row>
    <row r="32" spans="1:13" ht="18.75" customHeight="1" x14ac:dyDescent="0.25">
      <c r="A32" s="212">
        <v>17</v>
      </c>
      <c r="B32" s="213" t="s">
        <v>146</v>
      </c>
      <c r="C32" s="212" t="s">
        <v>44</v>
      </c>
      <c r="D32" s="234">
        <v>5839.53</v>
      </c>
      <c r="E32" s="215">
        <v>1516</v>
      </c>
      <c r="F32" s="216">
        <v>8852727.4800000004</v>
      </c>
      <c r="G32" s="216">
        <v>10623272.98</v>
      </c>
      <c r="H32" s="217"/>
      <c r="I32" s="216"/>
      <c r="J32" s="216"/>
      <c r="K32" s="218">
        <v>8852727.4800000004</v>
      </c>
      <c r="L32" s="219">
        <v>10623272.98</v>
      </c>
      <c r="M32" t="s">
        <v>432</v>
      </c>
    </row>
    <row r="33" spans="1:13" ht="18.75" customHeight="1" x14ac:dyDescent="0.25">
      <c r="A33" s="38" t="s">
        <v>80</v>
      </c>
      <c r="B33" s="19" t="s">
        <v>46</v>
      </c>
      <c r="C33" s="20" t="s">
        <v>17</v>
      </c>
      <c r="D33" s="100">
        <v>1013.7424080000001</v>
      </c>
      <c r="E33" s="21"/>
      <c r="F33" s="22"/>
      <c r="G33" s="22"/>
      <c r="H33" s="39">
        <v>4407.05</v>
      </c>
      <c r="I33" s="22">
        <v>4467613.4800000004</v>
      </c>
      <c r="J33" s="22">
        <v>5361136.18</v>
      </c>
      <c r="K33" s="23">
        <v>4467613.4800000004</v>
      </c>
      <c r="L33" s="24">
        <v>5361136.18</v>
      </c>
      <c r="M33" s="37"/>
    </row>
    <row r="34" spans="1:13" ht="29.25" customHeight="1" x14ac:dyDescent="0.25">
      <c r="A34" s="212">
        <v>18</v>
      </c>
      <c r="B34" s="213" t="s">
        <v>106</v>
      </c>
      <c r="C34" s="212" t="s">
        <v>44</v>
      </c>
      <c r="D34" s="235">
        <v>5772.55</v>
      </c>
      <c r="E34" s="215">
        <v>1083</v>
      </c>
      <c r="F34" s="216">
        <v>6251671.6500000004</v>
      </c>
      <c r="G34" s="216">
        <v>7502005.9800000004</v>
      </c>
      <c r="H34" s="217"/>
      <c r="I34" s="216"/>
      <c r="J34" s="216"/>
      <c r="K34" s="218">
        <v>6251671.6500000004</v>
      </c>
      <c r="L34" s="219">
        <v>7502005.9800000004</v>
      </c>
      <c r="M34" s="83"/>
    </row>
    <row r="35" spans="1:13" ht="29.25" customHeight="1" x14ac:dyDescent="0.25">
      <c r="A35" s="38" t="s">
        <v>81</v>
      </c>
      <c r="B35" s="19" t="s">
        <v>47</v>
      </c>
      <c r="C35" s="20" t="s">
        <v>17</v>
      </c>
      <c r="D35" s="118">
        <v>715.7962</v>
      </c>
      <c r="E35" s="21"/>
      <c r="F35" s="22"/>
      <c r="G35" s="22"/>
      <c r="H35" s="39">
        <v>4407.05</v>
      </c>
      <c r="I35" s="22">
        <v>3154549.64</v>
      </c>
      <c r="J35" s="22">
        <v>3785459.57</v>
      </c>
      <c r="K35" s="23">
        <v>3154549.64</v>
      </c>
      <c r="L35" s="24">
        <v>3785459.57</v>
      </c>
      <c r="M35" s="83" t="s">
        <v>433</v>
      </c>
    </row>
    <row r="36" spans="1:13" ht="23.25" customHeight="1" x14ac:dyDescent="0.25">
      <c r="A36" s="212">
        <v>19</v>
      </c>
      <c r="B36" s="213" t="s">
        <v>48</v>
      </c>
      <c r="C36" s="212" t="s">
        <v>38</v>
      </c>
      <c r="D36" s="235">
        <v>315</v>
      </c>
      <c r="E36" s="215">
        <v>1555.15</v>
      </c>
      <c r="F36" s="216">
        <v>489872.25</v>
      </c>
      <c r="G36" s="216">
        <v>587846.69999999995</v>
      </c>
      <c r="H36" s="217"/>
      <c r="I36" s="216"/>
      <c r="J36" s="216"/>
      <c r="K36" s="218">
        <v>489872.25</v>
      </c>
      <c r="L36" s="219">
        <v>587846.69999999995</v>
      </c>
    </row>
    <row r="37" spans="1:13" ht="31.5" customHeight="1" x14ac:dyDescent="0.25">
      <c r="A37" s="38" t="s">
        <v>82</v>
      </c>
      <c r="B37" s="19" t="s">
        <v>50</v>
      </c>
      <c r="C37" s="20" t="s">
        <v>38</v>
      </c>
      <c r="D37" s="118">
        <v>315</v>
      </c>
      <c r="E37" s="21"/>
      <c r="F37" s="22"/>
      <c r="G37" s="22"/>
      <c r="H37" s="39">
        <v>247</v>
      </c>
      <c r="I37" s="22">
        <v>77805</v>
      </c>
      <c r="J37" s="22">
        <v>93366</v>
      </c>
      <c r="K37" s="23">
        <v>77805</v>
      </c>
      <c r="L37" s="24">
        <v>93366</v>
      </c>
      <c r="M37" s="37"/>
    </row>
    <row r="38" spans="1:13" ht="18.75" customHeight="1" x14ac:dyDescent="0.25">
      <c r="A38" s="212"/>
      <c r="B38" s="213" t="s">
        <v>184</v>
      </c>
      <c r="C38" s="212"/>
      <c r="D38" s="234"/>
      <c r="E38" s="215"/>
      <c r="F38" s="216"/>
      <c r="G38" s="216"/>
      <c r="H38" s="217"/>
      <c r="I38" s="216"/>
      <c r="J38" s="216"/>
      <c r="K38" s="218"/>
      <c r="L38" s="219"/>
    </row>
    <row r="39" spans="1:13" ht="18.75" customHeight="1" x14ac:dyDescent="0.25">
      <c r="A39" s="38">
        <v>20</v>
      </c>
      <c r="B39" s="19" t="s">
        <v>173</v>
      </c>
      <c r="C39" s="20" t="s">
        <v>38</v>
      </c>
      <c r="D39" s="120">
        <v>76</v>
      </c>
      <c r="E39" s="21">
        <v>280.25</v>
      </c>
      <c r="F39" s="22">
        <v>21299</v>
      </c>
      <c r="G39" s="22">
        <v>25558.799999999999</v>
      </c>
      <c r="H39" s="39"/>
      <c r="I39" s="22"/>
      <c r="J39" s="22"/>
      <c r="K39" s="23">
        <v>21299</v>
      </c>
      <c r="L39" s="24">
        <v>25558.799999999999</v>
      </c>
      <c r="M39" s="37"/>
    </row>
    <row r="40" spans="1:13" ht="34.5" customHeight="1" x14ac:dyDescent="0.25">
      <c r="A40" s="70">
        <v>21</v>
      </c>
      <c r="B40" s="81" t="s">
        <v>174</v>
      </c>
      <c r="C40" s="70" t="s">
        <v>38</v>
      </c>
      <c r="D40" s="82">
        <v>152</v>
      </c>
      <c r="E40" s="79">
        <v>101.65</v>
      </c>
      <c r="F40" s="74">
        <v>15450.8</v>
      </c>
      <c r="G40" s="74">
        <v>18540.96</v>
      </c>
      <c r="H40" s="75"/>
      <c r="I40" s="74"/>
      <c r="J40" s="74"/>
      <c r="K40" s="73">
        <v>15450.8</v>
      </c>
      <c r="L40" s="76">
        <v>18540.96</v>
      </c>
    </row>
    <row r="41" spans="1:13" ht="21" customHeight="1" x14ac:dyDescent="0.25">
      <c r="A41" s="236">
        <v>22</v>
      </c>
      <c r="B41" s="213" t="s">
        <v>181</v>
      </c>
      <c r="C41" s="212" t="s">
        <v>38</v>
      </c>
      <c r="D41" s="237">
        <v>16</v>
      </c>
      <c r="E41" s="238">
        <v>2592.77</v>
      </c>
      <c r="F41" s="216">
        <v>41484.32</v>
      </c>
      <c r="G41" s="216">
        <v>49781.18</v>
      </c>
      <c r="H41" s="217"/>
      <c r="I41" s="216"/>
      <c r="J41" s="216"/>
      <c r="K41" s="218">
        <v>41484.32</v>
      </c>
      <c r="L41" s="216">
        <v>49781.18</v>
      </c>
      <c r="M41" s="63" t="s">
        <v>110</v>
      </c>
    </row>
    <row r="42" spans="1:13" ht="21" customHeight="1" x14ac:dyDescent="0.25">
      <c r="A42" s="239">
        <v>23</v>
      </c>
      <c r="B42" s="213" t="s">
        <v>182</v>
      </c>
      <c r="C42" s="212" t="s">
        <v>38</v>
      </c>
      <c r="D42" s="237">
        <v>8</v>
      </c>
      <c r="E42" s="238">
        <v>2592.77</v>
      </c>
      <c r="F42" s="216">
        <v>20742.16</v>
      </c>
      <c r="G42" s="216">
        <v>24890.59</v>
      </c>
      <c r="H42" s="217"/>
      <c r="I42" s="216"/>
      <c r="J42" s="216"/>
      <c r="K42" s="218">
        <v>20742.16</v>
      </c>
      <c r="L42" s="216">
        <v>24890.59</v>
      </c>
      <c r="M42" s="63" t="s">
        <v>110</v>
      </c>
    </row>
    <row r="43" spans="1:13" ht="21" customHeight="1" x14ac:dyDescent="0.25">
      <c r="A43" s="240" t="s">
        <v>151</v>
      </c>
      <c r="B43" s="224" t="s">
        <v>176</v>
      </c>
      <c r="C43" s="205" t="s">
        <v>177</v>
      </c>
      <c r="D43" s="241">
        <v>1</v>
      </c>
      <c r="E43" s="263"/>
      <c r="F43" s="209"/>
      <c r="G43" s="209"/>
      <c r="H43" s="223">
        <v>0</v>
      </c>
      <c r="I43" s="209">
        <v>0</v>
      </c>
      <c r="J43" s="209">
        <v>0</v>
      </c>
      <c r="K43" s="211">
        <v>0</v>
      </c>
      <c r="L43" s="209">
        <v>0</v>
      </c>
      <c r="M43" s="37"/>
    </row>
    <row r="44" spans="1:13" ht="27" customHeight="1" x14ac:dyDescent="0.25">
      <c r="A44" s="240">
        <v>24</v>
      </c>
      <c r="B44" s="224" t="s">
        <v>285</v>
      </c>
      <c r="C44" s="205" t="s">
        <v>38</v>
      </c>
      <c r="D44" s="241">
        <v>16</v>
      </c>
      <c r="E44" s="263">
        <v>12278.56</v>
      </c>
      <c r="F44" s="209">
        <v>196456.95999999999</v>
      </c>
      <c r="G44" s="209">
        <v>235748.35</v>
      </c>
      <c r="H44" s="223"/>
      <c r="I44" s="209"/>
      <c r="J44" s="209"/>
      <c r="K44" s="211">
        <v>196456.95999999999</v>
      </c>
      <c r="L44" s="209">
        <v>235748.35</v>
      </c>
      <c r="M44" s="37" t="s">
        <v>110</v>
      </c>
    </row>
    <row r="45" spans="1:13" ht="21" customHeight="1" x14ac:dyDescent="0.25">
      <c r="A45" s="38" t="s">
        <v>152</v>
      </c>
      <c r="B45" s="203" t="s">
        <v>292</v>
      </c>
      <c r="C45" s="136" t="s">
        <v>38</v>
      </c>
      <c r="D45" s="142">
        <v>16</v>
      </c>
      <c r="E45" s="22"/>
      <c r="F45" s="22"/>
      <c r="G45" s="22"/>
      <c r="H45" s="138">
        <v>2300</v>
      </c>
      <c r="I45" s="22">
        <v>36800</v>
      </c>
      <c r="J45" s="22">
        <v>44160</v>
      </c>
      <c r="K45" s="23">
        <v>36800</v>
      </c>
      <c r="L45" s="22">
        <v>44160</v>
      </c>
      <c r="M45" s="63" t="s">
        <v>435</v>
      </c>
    </row>
    <row r="46" spans="1:13" ht="33" customHeight="1" x14ac:dyDescent="0.25">
      <c r="A46" s="205" t="s">
        <v>153</v>
      </c>
      <c r="B46" s="224" t="s">
        <v>293</v>
      </c>
      <c r="C46" s="205" t="s">
        <v>38</v>
      </c>
      <c r="D46" s="242">
        <v>16</v>
      </c>
      <c r="E46" s="210"/>
      <c r="F46" s="209"/>
      <c r="G46" s="209"/>
      <c r="H46" s="223">
        <v>3183.7941666666661</v>
      </c>
      <c r="I46" s="209">
        <v>50940.71</v>
      </c>
      <c r="J46" s="209">
        <v>61128.85</v>
      </c>
      <c r="K46" s="211">
        <v>50940.71</v>
      </c>
      <c r="L46" s="226">
        <v>61128.85</v>
      </c>
      <c r="M46" s="37" t="s">
        <v>435</v>
      </c>
    </row>
    <row r="47" spans="1:13" ht="21" customHeight="1" x14ac:dyDescent="0.25">
      <c r="A47" s="38" t="s">
        <v>357</v>
      </c>
      <c r="B47" s="68" t="s">
        <v>288</v>
      </c>
      <c r="C47" s="67" t="s">
        <v>38</v>
      </c>
      <c r="D47" s="102">
        <v>48</v>
      </c>
      <c r="E47" s="28"/>
      <c r="F47" s="22"/>
      <c r="G47" s="22"/>
      <c r="H47" s="28">
        <v>95.833333333333343</v>
      </c>
      <c r="I47" s="22">
        <v>4600</v>
      </c>
      <c r="J47" s="22">
        <v>5520</v>
      </c>
      <c r="K47" s="23">
        <v>4600</v>
      </c>
      <c r="L47" s="24">
        <v>5520</v>
      </c>
      <c r="M47" s="63" t="s">
        <v>435</v>
      </c>
    </row>
    <row r="48" spans="1:13" ht="21" customHeight="1" x14ac:dyDescent="0.25">
      <c r="A48" s="38" t="s">
        <v>358</v>
      </c>
      <c r="B48" s="68" t="s">
        <v>294</v>
      </c>
      <c r="C48" s="67" t="s">
        <v>38</v>
      </c>
      <c r="D48" s="102">
        <v>2</v>
      </c>
      <c r="E48" s="28"/>
      <c r="F48" s="22"/>
      <c r="G48" s="22"/>
      <c r="H48" s="28">
        <v>3066.666666666667</v>
      </c>
      <c r="I48" s="22">
        <v>6133.33</v>
      </c>
      <c r="J48" s="22">
        <v>7360</v>
      </c>
      <c r="K48" s="23">
        <v>6133.33</v>
      </c>
      <c r="L48" s="24">
        <v>7360</v>
      </c>
      <c r="M48" s="63" t="s">
        <v>435</v>
      </c>
    </row>
    <row r="49" spans="1:13" ht="21" customHeight="1" x14ac:dyDescent="0.25">
      <c r="A49" s="38" t="s">
        <v>359</v>
      </c>
      <c r="B49" s="68" t="s">
        <v>295</v>
      </c>
      <c r="C49" s="67" t="s">
        <v>38</v>
      </c>
      <c r="D49" s="102">
        <v>8</v>
      </c>
      <c r="E49" s="28"/>
      <c r="F49" s="22"/>
      <c r="G49" s="22"/>
      <c r="H49" s="28">
        <v>2875</v>
      </c>
      <c r="I49" s="22">
        <v>23000</v>
      </c>
      <c r="J49" s="22">
        <v>27600</v>
      </c>
      <c r="K49" s="23">
        <v>23000</v>
      </c>
      <c r="L49" s="24">
        <v>27600</v>
      </c>
      <c r="M49" s="63" t="s">
        <v>435</v>
      </c>
    </row>
    <row r="50" spans="1:13" ht="21" customHeight="1" x14ac:dyDescent="0.25">
      <c r="A50" s="38" t="s">
        <v>360</v>
      </c>
      <c r="B50" s="68" t="s">
        <v>296</v>
      </c>
      <c r="C50" s="67" t="s">
        <v>38</v>
      </c>
      <c r="D50" s="102">
        <v>2</v>
      </c>
      <c r="E50" s="28"/>
      <c r="F50" s="22"/>
      <c r="G50" s="22"/>
      <c r="H50" s="28">
        <v>3737.4999999999995</v>
      </c>
      <c r="I50" s="22">
        <v>7475</v>
      </c>
      <c r="J50" s="22">
        <v>8970</v>
      </c>
      <c r="K50" s="23">
        <v>7475</v>
      </c>
      <c r="L50" s="24">
        <v>8970</v>
      </c>
      <c r="M50" s="63" t="s">
        <v>435</v>
      </c>
    </row>
    <row r="51" spans="1:13" ht="21" customHeight="1" x14ac:dyDescent="0.25">
      <c r="A51" s="38" t="s">
        <v>361</v>
      </c>
      <c r="B51" s="68" t="s">
        <v>297</v>
      </c>
      <c r="C51" s="67" t="s">
        <v>38</v>
      </c>
      <c r="D51" s="102">
        <v>2</v>
      </c>
      <c r="E51" s="28"/>
      <c r="F51" s="22"/>
      <c r="G51" s="22"/>
      <c r="H51" s="28">
        <v>2156.25</v>
      </c>
      <c r="I51" s="22">
        <v>4312.5</v>
      </c>
      <c r="J51" s="22">
        <v>5175</v>
      </c>
      <c r="K51" s="23">
        <v>4312.5</v>
      </c>
      <c r="L51" s="24">
        <v>5175</v>
      </c>
      <c r="M51" s="63" t="s">
        <v>435</v>
      </c>
    </row>
    <row r="52" spans="1:13" ht="21" customHeight="1" x14ac:dyDescent="0.25">
      <c r="A52" s="38" t="s">
        <v>362</v>
      </c>
      <c r="B52" s="68" t="s">
        <v>298</v>
      </c>
      <c r="C52" s="67" t="s">
        <v>38</v>
      </c>
      <c r="D52" s="102">
        <v>2</v>
      </c>
      <c r="E52" s="28"/>
      <c r="F52" s="22"/>
      <c r="G52" s="22"/>
      <c r="H52" s="28">
        <v>2156.25</v>
      </c>
      <c r="I52" s="22">
        <v>4312.5</v>
      </c>
      <c r="J52" s="22">
        <v>5175</v>
      </c>
      <c r="K52" s="23">
        <v>4312.5</v>
      </c>
      <c r="L52" s="24">
        <v>5175</v>
      </c>
      <c r="M52" s="63" t="s">
        <v>435</v>
      </c>
    </row>
    <row r="53" spans="1:13" ht="21" customHeight="1" x14ac:dyDescent="0.25">
      <c r="A53" s="38" t="s">
        <v>363</v>
      </c>
      <c r="B53" s="68" t="s">
        <v>299</v>
      </c>
      <c r="C53" s="67" t="s">
        <v>38</v>
      </c>
      <c r="D53" s="102">
        <v>2</v>
      </c>
      <c r="E53" s="28"/>
      <c r="F53" s="22"/>
      <c r="G53" s="22"/>
      <c r="H53" s="28">
        <v>2156.25</v>
      </c>
      <c r="I53" s="22">
        <v>4312.5</v>
      </c>
      <c r="J53" s="22">
        <v>5175</v>
      </c>
      <c r="K53" s="23">
        <v>4312.5</v>
      </c>
      <c r="L53" s="24">
        <v>5175</v>
      </c>
      <c r="M53" s="63" t="s">
        <v>435</v>
      </c>
    </row>
    <row r="54" spans="1:13" ht="21" customHeight="1" x14ac:dyDescent="0.25">
      <c r="A54" s="38" t="s">
        <v>364</v>
      </c>
      <c r="B54" s="68" t="s">
        <v>300</v>
      </c>
      <c r="C54" s="67" t="s">
        <v>38</v>
      </c>
      <c r="D54" s="102">
        <v>2</v>
      </c>
      <c r="E54" s="28"/>
      <c r="F54" s="22"/>
      <c r="G54" s="22"/>
      <c r="H54" s="28">
        <v>2156.25</v>
      </c>
      <c r="I54" s="22">
        <v>4312.5</v>
      </c>
      <c r="J54" s="22">
        <v>5175</v>
      </c>
      <c r="K54" s="23">
        <v>4312.5</v>
      </c>
      <c r="L54" s="24">
        <v>5175</v>
      </c>
      <c r="M54" s="63" t="s">
        <v>435</v>
      </c>
    </row>
    <row r="55" spans="1:13" ht="21" customHeight="1" x14ac:dyDescent="0.25">
      <c r="A55" s="38" t="s">
        <v>365</v>
      </c>
      <c r="B55" s="68" t="s">
        <v>301</v>
      </c>
      <c r="C55" s="67" t="s">
        <v>38</v>
      </c>
      <c r="D55" s="102">
        <v>2</v>
      </c>
      <c r="E55" s="28"/>
      <c r="F55" s="22"/>
      <c r="G55" s="22"/>
      <c r="H55" s="28">
        <v>2156.25</v>
      </c>
      <c r="I55" s="22">
        <v>4312.5</v>
      </c>
      <c r="J55" s="22">
        <v>5175</v>
      </c>
      <c r="K55" s="23">
        <v>4312.5</v>
      </c>
      <c r="L55" s="24">
        <v>5175</v>
      </c>
      <c r="M55" s="63" t="s">
        <v>435</v>
      </c>
    </row>
    <row r="56" spans="1:13" ht="21" customHeight="1" x14ac:dyDescent="0.25">
      <c r="A56" s="38" t="s">
        <v>366</v>
      </c>
      <c r="B56" s="68" t="s">
        <v>302</v>
      </c>
      <c r="C56" s="67" t="s">
        <v>38</v>
      </c>
      <c r="D56" s="102">
        <v>2</v>
      </c>
      <c r="E56" s="28"/>
      <c r="F56" s="22"/>
      <c r="G56" s="22"/>
      <c r="H56" s="28">
        <v>2156.25</v>
      </c>
      <c r="I56" s="22">
        <v>4312.5</v>
      </c>
      <c r="J56" s="22">
        <v>5175</v>
      </c>
      <c r="K56" s="23">
        <v>4312.5</v>
      </c>
      <c r="L56" s="24">
        <v>5175</v>
      </c>
      <c r="M56" s="63" t="s">
        <v>435</v>
      </c>
    </row>
    <row r="57" spans="1:13" ht="21" customHeight="1" x14ac:dyDescent="0.25">
      <c r="A57" s="38" t="s">
        <v>367</v>
      </c>
      <c r="B57" s="68" t="s">
        <v>303</v>
      </c>
      <c r="C57" s="67" t="s">
        <v>38</v>
      </c>
      <c r="D57" s="102">
        <v>2</v>
      </c>
      <c r="E57" s="28"/>
      <c r="F57" s="22"/>
      <c r="G57" s="22"/>
      <c r="H57" s="28">
        <v>3066.666666666667</v>
      </c>
      <c r="I57" s="22">
        <v>6133.33</v>
      </c>
      <c r="J57" s="22">
        <v>7360</v>
      </c>
      <c r="K57" s="23">
        <v>6133.33</v>
      </c>
      <c r="L57" s="24">
        <v>7360</v>
      </c>
      <c r="M57" s="63" t="s">
        <v>435</v>
      </c>
    </row>
    <row r="58" spans="1:13" ht="21" customHeight="1" x14ac:dyDescent="0.25">
      <c r="A58" s="38" t="s">
        <v>366</v>
      </c>
      <c r="B58" s="68" t="s">
        <v>302</v>
      </c>
      <c r="C58" s="67" t="s">
        <v>38</v>
      </c>
      <c r="D58" s="102">
        <v>2</v>
      </c>
      <c r="E58" s="28"/>
      <c r="F58" s="22"/>
      <c r="G58" s="22"/>
      <c r="H58" s="28">
        <f t="shared" ref="H58" si="0">2250/1.2*1.15</f>
        <v>2156.25</v>
      </c>
      <c r="I58" s="22">
        <f t="shared" ref="I58:I59" si="1">ROUND(H58*D58,2)</f>
        <v>4312.5</v>
      </c>
      <c r="J58" s="22">
        <f t="shared" ref="J58:J59" si="2">ROUND(I58*1.2,2)</f>
        <v>5175</v>
      </c>
      <c r="K58" s="23">
        <f t="shared" ref="K58:K59" si="3">F58+I58</f>
        <v>4312.5</v>
      </c>
      <c r="L58" s="24">
        <f t="shared" ref="L58:L59" si="4">G58+J58</f>
        <v>5175</v>
      </c>
      <c r="M58" s="63" t="s">
        <v>435</v>
      </c>
    </row>
    <row r="59" spans="1:13" ht="21" customHeight="1" x14ac:dyDescent="0.25">
      <c r="A59" s="38" t="s">
        <v>367</v>
      </c>
      <c r="B59" s="68" t="s">
        <v>303</v>
      </c>
      <c r="C59" s="67" t="s">
        <v>38</v>
      </c>
      <c r="D59" s="102">
        <v>2</v>
      </c>
      <c r="E59" s="28"/>
      <c r="F59" s="22"/>
      <c r="G59" s="22"/>
      <c r="H59" s="28">
        <f>3200/1.2*1.15</f>
        <v>3066.666666666667</v>
      </c>
      <c r="I59" s="22">
        <f t="shared" si="1"/>
        <v>6133.33</v>
      </c>
      <c r="J59" s="22">
        <f t="shared" si="2"/>
        <v>7360</v>
      </c>
      <c r="K59" s="23">
        <f t="shared" si="3"/>
        <v>6133.33</v>
      </c>
      <c r="L59" s="24">
        <f t="shared" si="4"/>
        <v>7360</v>
      </c>
      <c r="M59" s="63" t="s">
        <v>435</v>
      </c>
    </row>
    <row r="60" spans="1:13" ht="34.5" customHeight="1" x14ac:dyDescent="0.25">
      <c r="A60" s="70"/>
      <c r="B60" s="273" t="s">
        <v>172</v>
      </c>
      <c r="C60" s="274"/>
      <c r="D60" s="275"/>
      <c r="E60" s="276"/>
      <c r="F60" s="277"/>
      <c r="G60" s="277"/>
      <c r="H60" s="278"/>
      <c r="I60" s="277"/>
      <c r="J60" s="277"/>
      <c r="K60" s="276"/>
      <c r="L60" s="279"/>
    </row>
    <row r="61" spans="1:13" ht="21.75" customHeight="1" x14ac:dyDescent="0.25">
      <c r="A61" s="236"/>
      <c r="B61" s="270" t="s">
        <v>173</v>
      </c>
      <c r="C61" s="265" t="s">
        <v>38</v>
      </c>
      <c r="D61" s="284">
        <v>22</v>
      </c>
      <c r="E61" s="285">
        <v>280.25</v>
      </c>
      <c r="F61" s="267">
        <f t="shared" ref="F61:F63" si="5">ROUND(E61*D61,2)</f>
        <v>6165.5</v>
      </c>
      <c r="G61" s="267">
        <f t="shared" ref="G61:G63" si="6">ROUND(F61*1.2,2)</f>
        <v>7398.6</v>
      </c>
      <c r="H61" s="271"/>
      <c r="I61" s="267"/>
      <c r="J61" s="267"/>
      <c r="K61" s="266">
        <f t="shared" ref="K61:L65" si="7">F61+I61</f>
        <v>6165.5</v>
      </c>
      <c r="L61" s="267">
        <f t="shared" si="7"/>
        <v>7398.6</v>
      </c>
      <c r="M61" s="63"/>
    </row>
    <row r="62" spans="1:13" ht="21.75" customHeight="1" x14ac:dyDescent="0.25">
      <c r="A62" s="236"/>
      <c r="B62" s="270" t="s">
        <v>174</v>
      </c>
      <c r="C62" s="265" t="s">
        <v>38</v>
      </c>
      <c r="D62" s="284">
        <v>44</v>
      </c>
      <c r="E62" s="285">
        <v>101.65</v>
      </c>
      <c r="F62" s="267">
        <f t="shared" si="5"/>
        <v>4472.6000000000004</v>
      </c>
      <c r="G62" s="267">
        <f t="shared" si="6"/>
        <v>5367.12</v>
      </c>
      <c r="H62" s="271"/>
      <c r="I62" s="267"/>
      <c r="J62" s="267"/>
      <c r="K62" s="266">
        <f t="shared" si="7"/>
        <v>4472.6000000000004</v>
      </c>
      <c r="L62" s="267">
        <f t="shared" si="7"/>
        <v>5367.12</v>
      </c>
      <c r="M62" s="63"/>
    </row>
    <row r="63" spans="1:13" ht="21.75" customHeight="1" x14ac:dyDescent="0.25">
      <c r="A63" s="236"/>
      <c r="B63" s="270" t="s">
        <v>175</v>
      </c>
      <c r="C63" s="265" t="s">
        <v>38</v>
      </c>
      <c r="D63" s="284">
        <v>44</v>
      </c>
      <c r="E63" s="285">
        <v>32.299999999999997</v>
      </c>
      <c r="F63" s="267">
        <f t="shared" si="5"/>
        <v>1421.2</v>
      </c>
      <c r="G63" s="267">
        <f t="shared" si="6"/>
        <v>1705.44</v>
      </c>
      <c r="H63" s="271"/>
      <c r="I63" s="267"/>
      <c r="J63" s="267"/>
      <c r="K63" s="266">
        <f t="shared" si="7"/>
        <v>1421.2</v>
      </c>
      <c r="L63" s="267">
        <f t="shared" si="7"/>
        <v>1705.44</v>
      </c>
      <c r="M63" s="63"/>
    </row>
    <row r="64" spans="1:13" ht="21.75" customHeight="1" x14ac:dyDescent="0.25">
      <c r="A64" s="236"/>
      <c r="B64" s="270" t="s">
        <v>450</v>
      </c>
      <c r="C64" s="265" t="s">
        <v>38</v>
      </c>
      <c r="D64" s="284">
        <v>22</v>
      </c>
      <c r="E64" s="285">
        <v>194.75</v>
      </c>
      <c r="F64" s="267">
        <f t="shared" ref="F64" si="8">ROUND(E64*D64,2)</f>
        <v>4284.5</v>
      </c>
      <c r="G64" s="267">
        <f t="shared" ref="G64" si="9">ROUND(F64*1.2,2)</f>
        <v>5141.3999999999996</v>
      </c>
      <c r="H64" s="271"/>
      <c r="I64" s="267"/>
      <c r="J64" s="267"/>
      <c r="K64" s="266">
        <f t="shared" ref="K64" si="10">F64+I64</f>
        <v>4284.5</v>
      </c>
      <c r="L64" s="267">
        <f t="shared" ref="L64" si="11">G64+J64</f>
        <v>5141.3999999999996</v>
      </c>
      <c r="M64" s="63"/>
    </row>
    <row r="65" spans="1:15" ht="24" customHeight="1" x14ac:dyDescent="0.25">
      <c r="A65" s="38"/>
      <c r="B65" s="280" t="s">
        <v>445</v>
      </c>
      <c r="C65" s="286" t="s">
        <v>38</v>
      </c>
      <c r="D65" s="281">
        <v>22</v>
      </c>
      <c r="E65" s="282"/>
      <c r="F65" s="282"/>
      <c r="G65" s="282"/>
      <c r="H65" s="282">
        <v>0</v>
      </c>
      <c r="I65" s="282">
        <f t="shared" ref="I65" si="12">ROUND(H65*D65,2)</f>
        <v>0</v>
      </c>
      <c r="J65" s="282">
        <f t="shared" ref="J65" si="13">ROUND(I65*1.2,2)</f>
        <v>0</v>
      </c>
      <c r="K65" s="283">
        <f t="shared" si="7"/>
        <v>0</v>
      </c>
      <c r="L65" s="282">
        <f t="shared" si="7"/>
        <v>0</v>
      </c>
      <c r="M65" s="63"/>
    </row>
    <row r="66" spans="1:15" ht="24" customHeight="1" x14ac:dyDescent="0.25">
      <c r="A66" s="38"/>
      <c r="B66" s="280" t="s">
        <v>446</v>
      </c>
      <c r="C66" s="286" t="s">
        <v>38</v>
      </c>
      <c r="D66" s="281">
        <v>44</v>
      </c>
      <c r="E66" s="282"/>
      <c r="F66" s="282"/>
      <c r="G66" s="282"/>
      <c r="H66" s="282">
        <v>0</v>
      </c>
      <c r="I66" s="282">
        <f t="shared" ref="I66:I69" si="14">ROUND(H66*D66,2)</f>
        <v>0</v>
      </c>
      <c r="J66" s="282">
        <f t="shared" ref="J66:J69" si="15">ROUND(I66*1.2,2)</f>
        <v>0</v>
      </c>
      <c r="K66" s="283">
        <f t="shared" ref="K66:K69" si="16">F66+I66</f>
        <v>0</v>
      </c>
      <c r="L66" s="282">
        <f t="shared" ref="L66:L69" si="17">G66+J66</f>
        <v>0</v>
      </c>
      <c r="M66" s="63"/>
    </row>
    <row r="67" spans="1:15" ht="24" customHeight="1" x14ac:dyDescent="0.25">
      <c r="A67" s="38"/>
      <c r="B67" s="280" t="s">
        <v>447</v>
      </c>
      <c r="C67" s="286" t="s">
        <v>38</v>
      </c>
      <c r="D67" s="281">
        <v>22</v>
      </c>
      <c r="E67" s="282"/>
      <c r="F67" s="282"/>
      <c r="G67" s="282"/>
      <c r="H67" s="282">
        <v>0</v>
      </c>
      <c r="I67" s="282">
        <f t="shared" si="14"/>
        <v>0</v>
      </c>
      <c r="J67" s="282">
        <f t="shared" si="15"/>
        <v>0</v>
      </c>
      <c r="K67" s="283">
        <f t="shared" si="16"/>
        <v>0</v>
      </c>
      <c r="L67" s="282">
        <f t="shared" si="17"/>
        <v>0</v>
      </c>
      <c r="M67" s="63"/>
    </row>
    <row r="68" spans="1:15" ht="24" customHeight="1" x14ac:dyDescent="0.25">
      <c r="A68" s="38"/>
      <c r="B68" s="280" t="s">
        <v>448</v>
      </c>
      <c r="C68" s="286" t="s">
        <v>38</v>
      </c>
      <c r="D68" s="281">
        <v>44</v>
      </c>
      <c r="E68" s="282"/>
      <c r="F68" s="282"/>
      <c r="G68" s="282"/>
      <c r="H68" s="282">
        <v>0</v>
      </c>
      <c r="I68" s="282">
        <f t="shared" si="14"/>
        <v>0</v>
      </c>
      <c r="J68" s="282">
        <f t="shared" si="15"/>
        <v>0</v>
      </c>
      <c r="K68" s="283">
        <f t="shared" si="16"/>
        <v>0</v>
      </c>
      <c r="L68" s="282">
        <f t="shared" si="17"/>
        <v>0</v>
      </c>
      <c r="M68" s="63"/>
    </row>
    <row r="69" spans="1:15" ht="24" customHeight="1" x14ac:dyDescent="0.25">
      <c r="A69" s="38"/>
      <c r="B69" s="280" t="s">
        <v>449</v>
      </c>
      <c r="C69" s="286" t="s">
        <v>38</v>
      </c>
      <c r="D69" s="281">
        <v>1</v>
      </c>
      <c r="E69" s="282"/>
      <c r="F69" s="282"/>
      <c r="G69" s="282"/>
      <c r="H69" s="282">
        <v>0</v>
      </c>
      <c r="I69" s="282">
        <f t="shared" si="14"/>
        <v>0</v>
      </c>
      <c r="J69" s="282">
        <f t="shared" si="15"/>
        <v>0</v>
      </c>
      <c r="K69" s="283">
        <f t="shared" si="16"/>
        <v>0</v>
      </c>
      <c r="L69" s="282">
        <f t="shared" si="17"/>
        <v>0</v>
      </c>
      <c r="M69" s="63"/>
    </row>
    <row r="70" spans="1:15" ht="23.25" customHeight="1" x14ac:dyDescent="0.25">
      <c r="A70" s="70"/>
      <c r="B70" s="81" t="s">
        <v>55</v>
      </c>
      <c r="C70" s="70"/>
      <c r="D70" s="82"/>
      <c r="E70" s="79"/>
      <c r="F70" s="74"/>
      <c r="G70" s="74"/>
      <c r="H70" s="75"/>
      <c r="I70" s="74"/>
      <c r="J70" s="74"/>
      <c r="K70" s="73"/>
      <c r="L70" s="76"/>
    </row>
    <row r="71" spans="1:15" s="325" customFormat="1" ht="29.25" customHeight="1" x14ac:dyDescent="0.25">
      <c r="A71" s="317">
        <f>A56+1</f>
        <v>45651</v>
      </c>
      <c r="B71" s="318" t="s">
        <v>368</v>
      </c>
      <c r="C71" s="317" t="s">
        <v>13</v>
      </c>
      <c r="D71" s="319">
        <v>835.4</v>
      </c>
      <c r="E71" s="327">
        <v>304.06</v>
      </c>
      <c r="F71" s="320">
        <f t="shared" ref="F71" si="18">ROUND(E71*D71,2)</f>
        <v>254011.72</v>
      </c>
      <c r="G71" s="320">
        <f t="shared" ref="G71" si="19">ROUND(F71*1.2,2)</f>
        <v>304814.06</v>
      </c>
      <c r="H71" s="321"/>
      <c r="I71" s="320"/>
      <c r="J71" s="320"/>
      <c r="K71" s="322">
        <f t="shared" ref="K71:L76" si="20">F71+I71</f>
        <v>254011.72</v>
      </c>
      <c r="L71" s="323">
        <f t="shared" si="20"/>
        <v>304814.06</v>
      </c>
      <c r="M71" s="324" t="s">
        <v>110</v>
      </c>
      <c r="N71" s="331"/>
    </row>
    <row r="72" spans="1:15" s="325" customFormat="1" ht="21" customHeight="1" x14ac:dyDescent="0.25">
      <c r="A72" s="326" t="s">
        <v>154</v>
      </c>
      <c r="B72" s="318" t="s">
        <v>109</v>
      </c>
      <c r="C72" s="317" t="s">
        <v>13</v>
      </c>
      <c r="D72" s="319">
        <f>D71*1.1</f>
        <v>918.94</v>
      </c>
      <c r="E72" s="327"/>
      <c r="F72" s="320"/>
      <c r="G72" s="320"/>
      <c r="H72" s="328">
        <v>1850</v>
      </c>
      <c r="I72" s="320">
        <f>ROUND(H72*D72,2)</f>
        <v>1700039</v>
      </c>
      <c r="J72" s="320">
        <f t="shared" ref="J72" si="21">ROUND(I72*1.2,2)</f>
        <v>2040046.8</v>
      </c>
      <c r="K72" s="322">
        <f t="shared" si="20"/>
        <v>1700039</v>
      </c>
      <c r="L72" s="323">
        <f t="shared" si="20"/>
        <v>2040046.8</v>
      </c>
      <c r="M72" s="329" t="s">
        <v>435</v>
      </c>
      <c r="N72" s="332" t="s">
        <v>451</v>
      </c>
      <c r="O72" s="333">
        <f>L72-H72*100*1.2</f>
        <v>1818046.8</v>
      </c>
    </row>
    <row r="73" spans="1:15" ht="21" customHeight="1" x14ac:dyDescent="0.25">
      <c r="A73" s="212">
        <f>A71+1</f>
        <v>45652</v>
      </c>
      <c r="B73" s="213" t="s">
        <v>56</v>
      </c>
      <c r="C73" s="212" t="s">
        <v>44</v>
      </c>
      <c r="D73" s="231">
        <v>835.4</v>
      </c>
      <c r="E73" s="215">
        <v>104.5</v>
      </c>
      <c r="F73" s="216">
        <f t="shared" ref="F73" si="22">ROUND(E73*D73,2)</f>
        <v>87299.3</v>
      </c>
      <c r="G73" s="216">
        <f t="shared" ref="G73" si="23">ROUND(F73*1.2,2)</f>
        <v>104759.16</v>
      </c>
      <c r="H73" s="217"/>
      <c r="I73" s="216"/>
      <c r="J73" s="216"/>
      <c r="K73" s="218">
        <f t="shared" si="20"/>
        <v>87299.3</v>
      </c>
      <c r="L73" s="219">
        <f t="shared" si="20"/>
        <v>104759.16</v>
      </c>
      <c r="M73" s="37"/>
    </row>
    <row r="74" spans="1:15" ht="21" customHeight="1" x14ac:dyDescent="0.25">
      <c r="A74" s="38" t="s">
        <v>83</v>
      </c>
      <c r="B74" s="68" t="s">
        <v>57</v>
      </c>
      <c r="C74" s="67" t="s">
        <v>61</v>
      </c>
      <c r="D74" s="143">
        <v>8.11</v>
      </c>
      <c r="E74" s="28"/>
      <c r="F74" s="22"/>
      <c r="G74" s="22"/>
      <c r="H74" s="137">
        <v>461.7</v>
      </c>
      <c r="I74" s="22">
        <f>ROUND(H74*D74,2)</f>
        <v>3744.39</v>
      </c>
      <c r="J74" s="22">
        <f t="shared" ref="J74:J76" si="24">ROUND(I74*1.2,2)</f>
        <v>4493.2700000000004</v>
      </c>
      <c r="K74" s="23">
        <f t="shared" si="20"/>
        <v>3744.39</v>
      </c>
      <c r="L74" s="24">
        <f t="shared" si="20"/>
        <v>4493.2700000000004</v>
      </c>
      <c r="M74" s="64"/>
    </row>
    <row r="75" spans="1:15" ht="21" customHeight="1" x14ac:dyDescent="0.25">
      <c r="A75" s="38" t="s">
        <v>369</v>
      </c>
      <c r="B75" s="68" t="s">
        <v>58</v>
      </c>
      <c r="C75" s="67" t="s">
        <v>61</v>
      </c>
      <c r="D75" s="143">
        <v>8.11</v>
      </c>
      <c r="E75" s="28"/>
      <c r="F75" s="22"/>
      <c r="G75" s="22"/>
      <c r="H75" s="137">
        <v>615.6</v>
      </c>
      <c r="I75" s="22">
        <f>ROUND(H75*D75,2)</f>
        <v>4992.5200000000004</v>
      </c>
      <c r="J75" s="22">
        <f t="shared" si="24"/>
        <v>5991.02</v>
      </c>
      <c r="K75" s="23">
        <f t="shared" si="20"/>
        <v>4992.5200000000004</v>
      </c>
      <c r="L75" s="24">
        <f t="shared" si="20"/>
        <v>5991.02</v>
      </c>
      <c r="M75" s="64"/>
    </row>
    <row r="76" spans="1:15" ht="21" customHeight="1" x14ac:dyDescent="0.25">
      <c r="A76" s="38" t="s">
        <v>370</v>
      </c>
      <c r="B76" s="68" t="s">
        <v>59</v>
      </c>
      <c r="C76" s="67" t="s">
        <v>61</v>
      </c>
      <c r="D76" s="143">
        <v>8.11</v>
      </c>
      <c r="E76" s="28"/>
      <c r="F76" s="22"/>
      <c r="G76" s="22"/>
      <c r="H76" s="137">
        <v>1201.75</v>
      </c>
      <c r="I76" s="22">
        <f>ROUND(H76*D76,2)</f>
        <v>9746.19</v>
      </c>
      <c r="J76" s="22">
        <f t="shared" si="24"/>
        <v>11695.43</v>
      </c>
      <c r="K76" s="23">
        <f t="shared" si="20"/>
        <v>9746.19</v>
      </c>
      <c r="L76" s="24">
        <f t="shared" si="20"/>
        <v>11695.43</v>
      </c>
      <c r="M76" s="64"/>
    </row>
    <row r="77" spans="1:15" ht="31.5" customHeight="1" x14ac:dyDescent="0.25">
      <c r="A77" s="70"/>
      <c r="B77" s="81" t="s">
        <v>195</v>
      </c>
      <c r="C77" s="70"/>
      <c r="D77" s="82"/>
      <c r="E77" s="79"/>
      <c r="F77" s="74"/>
      <c r="G77" s="74"/>
      <c r="H77" s="75"/>
      <c r="I77" s="74"/>
      <c r="J77" s="74"/>
      <c r="K77" s="73"/>
      <c r="L77" s="76"/>
    </row>
    <row r="78" spans="1:15" ht="21" customHeight="1" x14ac:dyDescent="0.25">
      <c r="A78" s="205">
        <f>A73+1</f>
        <v>45653</v>
      </c>
      <c r="B78" s="224" t="s">
        <v>196</v>
      </c>
      <c r="C78" s="205" t="s">
        <v>44</v>
      </c>
      <c r="D78" s="211">
        <v>18.27</v>
      </c>
      <c r="E78" s="210">
        <v>2101.14</v>
      </c>
      <c r="F78" s="209">
        <f t="shared" ref="F78" si="25">ROUND(E78*D78,2)</f>
        <v>38387.83</v>
      </c>
      <c r="G78" s="209">
        <f t="shared" ref="G78" si="26">ROUND(F78*1.2,2)</f>
        <v>46065.4</v>
      </c>
      <c r="H78" s="223"/>
      <c r="I78" s="209"/>
      <c r="J78" s="209"/>
      <c r="K78" s="211">
        <f t="shared" ref="K78:L79" si="27">F78+I78</f>
        <v>38387.83</v>
      </c>
      <c r="L78" s="226">
        <f t="shared" si="27"/>
        <v>46065.4</v>
      </c>
      <c r="M78" s="37" t="s">
        <v>110</v>
      </c>
    </row>
    <row r="79" spans="1:15" ht="21" customHeight="1" x14ac:dyDescent="0.25">
      <c r="A79" s="38" t="s">
        <v>84</v>
      </c>
      <c r="B79" s="68" t="s">
        <v>197</v>
      </c>
      <c r="C79" s="67" t="s">
        <v>44</v>
      </c>
      <c r="D79" s="143">
        <v>18.27</v>
      </c>
      <c r="E79" s="28"/>
      <c r="F79" s="22"/>
      <c r="G79" s="22"/>
      <c r="H79" s="137">
        <f>1133.33/1.2*1.15</f>
        <v>1086.1079166666666</v>
      </c>
      <c r="I79" s="22">
        <f>ROUND(H79*D79,2)</f>
        <v>19843.189999999999</v>
      </c>
      <c r="J79" s="22">
        <f t="shared" ref="J79" si="28">ROUND(I79*1.2,2)</f>
        <v>23811.83</v>
      </c>
      <c r="K79" s="23">
        <f t="shared" si="27"/>
        <v>19843.189999999999</v>
      </c>
      <c r="L79" s="24">
        <f t="shared" si="27"/>
        <v>23811.83</v>
      </c>
      <c r="M79" s="63" t="s">
        <v>435</v>
      </c>
    </row>
    <row r="80" spans="1:15" ht="18" customHeight="1" x14ac:dyDescent="0.25">
      <c r="A80" s="70"/>
      <c r="B80" s="77" t="s">
        <v>31</v>
      </c>
      <c r="C80" s="70"/>
      <c r="D80" s="78"/>
      <c r="E80" s="79"/>
      <c r="F80" s="74"/>
      <c r="G80" s="74"/>
      <c r="H80" s="75"/>
      <c r="I80" s="74"/>
      <c r="J80" s="74"/>
      <c r="K80" s="73"/>
      <c r="L80" s="76"/>
    </row>
    <row r="81" spans="1:13" ht="21" customHeight="1" x14ac:dyDescent="0.25">
      <c r="A81" s="212">
        <f>A78+1</f>
        <v>45654</v>
      </c>
      <c r="B81" s="213" t="s">
        <v>32</v>
      </c>
      <c r="C81" s="212" t="s">
        <v>15</v>
      </c>
      <c r="D81" s="221">
        <v>506</v>
      </c>
      <c r="E81" s="215">
        <v>4236.34</v>
      </c>
      <c r="F81" s="216">
        <f t="shared" ref="F81" si="29">ROUND(E81*D81,2)</f>
        <v>2143588.04</v>
      </c>
      <c r="G81" s="216">
        <f t="shared" ref="G81" si="30">ROUND(F81*1.2,2)</f>
        <v>2572305.65</v>
      </c>
      <c r="H81" s="217"/>
      <c r="I81" s="216"/>
      <c r="J81" s="216"/>
      <c r="K81" s="218">
        <f t="shared" ref="K81:L87" si="31">F81+I81</f>
        <v>2143588.04</v>
      </c>
      <c r="L81" s="219">
        <f t="shared" si="31"/>
        <v>2572305.65</v>
      </c>
    </row>
    <row r="82" spans="1:13" ht="21" customHeight="1" x14ac:dyDescent="0.25">
      <c r="A82" s="38" t="s">
        <v>85</v>
      </c>
      <c r="B82" s="19" t="s">
        <v>34</v>
      </c>
      <c r="C82" s="20" t="s">
        <v>15</v>
      </c>
      <c r="D82" s="95">
        <v>506</v>
      </c>
      <c r="E82" s="28"/>
      <c r="F82" s="22"/>
      <c r="G82" s="22"/>
      <c r="H82" s="28">
        <v>6479</v>
      </c>
      <c r="I82" s="22">
        <f>ROUND(H82*D82,2)</f>
        <v>3278374</v>
      </c>
      <c r="J82" s="22">
        <f t="shared" ref="J82" si="32">ROUND(I82*1.2,2)</f>
        <v>3934048.8</v>
      </c>
      <c r="K82" s="23">
        <f t="shared" si="31"/>
        <v>3278374</v>
      </c>
      <c r="L82" s="24">
        <f t="shared" si="31"/>
        <v>3934048.8</v>
      </c>
      <c r="M82" s="63"/>
    </row>
    <row r="83" spans="1:13" ht="21" customHeight="1" x14ac:dyDescent="0.25">
      <c r="A83" s="212">
        <f>A81+1</f>
        <v>45655</v>
      </c>
      <c r="B83" s="213" t="s">
        <v>33</v>
      </c>
      <c r="C83" s="212" t="s">
        <v>15</v>
      </c>
      <c r="D83" s="221">
        <v>506</v>
      </c>
      <c r="E83" s="215">
        <v>526.29999999999995</v>
      </c>
      <c r="F83" s="216">
        <f t="shared" ref="F83" si="33">ROUND(E83*D83,2)</f>
        <v>266307.8</v>
      </c>
      <c r="G83" s="216">
        <f t="shared" ref="G83" si="34">ROUND(F83*1.2,2)</f>
        <v>319569.36</v>
      </c>
      <c r="H83" s="217"/>
      <c r="I83" s="216"/>
      <c r="J83" s="216"/>
      <c r="K83" s="218">
        <f t="shared" si="31"/>
        <v>266307.8</v>
      </c>
      <c r="L83" s="219">
        <f t="shared" si="31"/>
        <v>319569.36</v>
      </c>
    </row>
    <row r="84" spans="1:13" ht="21" customHeight="1" x14ac:dyDescent="0.25">
      <c r="A84" s="38" t="s">
        <v>86</v>
      </c>
      <c r="B84" s="19" t="s">
        <v>436</v>
      </c>
      <c r="C84" s="20" t="s">
        <v>15</v>
      </c>
      <c r="D84" s="95">
        <v>506</v>
      </c>
      <c r="E84" s="28"/>
      <c r="F84" s="22"/>
      <c r="G84" s="22"/>
      <c r="H84" s="28">
        <v>11704</v>
      </c>
      <c r="I84" s="22">
        <f>ROUND(H84*D84,2)</f>
        <v>5922224</v>
      </c>
      <c r="J84" s="22">
        <f t="shared" ref="J84:J86" si="35">ROUND(I84*1.2,2)</f>
        <v>7106668.7999999998</v>
      </c>
      <c r="K84" s="23">
        <f t="shared" si="31"/>
        <v>5922224</v>
      </c>
      <c r="L84" s="24">
        <f t="shared" si="31"/>
        <v>7106668.7999999998</v>
      </c>
      <c r="M84" s="63"/>
    </row>
    <row r="85" spans="1:13" ht="21" customHeight="1" x14ac:dyDescent="0.25">
      <c r="A85" s="38" t="s">
        <v>371</v>
      </c>
      <c r="B85" s="19" t="s">
        <v>36</v>
      </c>
      <c r="C85" s="20" t="s">
        <v>38</v>
      </c>
      <c r="D85" s="97">
        <v>2024</v>
      </c>
      <c r="E85" s="21"/>
      <c r="F85" s="22"/>
      <c r="G85" s="22"/>
      <c r="H85" s="138">
        <v>13.8</v>
      </c>
      <c r="I85" s="22">
        <f>ROUND(H85*D85,2)</f>
        <v>27931.200000000001</v>
      </c>
      <c r="J85" s="22">
        <f t="shared" si="35"/>
        <v>33517.440000000002</v>
      </c>
      <c r="K85" s="23">
        <f t="shared" si="31"/>
        <v>27931.200000000001</v>
      </c>
      <c r="L85" s="24">
        <f t="shared" si="31"/>
        <v>33517.440000000002</v>
      </c>
      <c r="M85" s="63" t="s">
        <v>435</v>
      </c>
    </row>
    <row r="86" spans="1:13" ht="21" customHeight="1" x14ac:dyDescent="0.25">
      <c r="A86" s="38" t="s">
        <v>372</v>
      </c>
      <c r="B86" s="19" t="s">
        <v>37</v>
      </c>
      <c r="C86" s="20" t="s">
        <v>38</v>
      </c>
      <c r="D86" s="97">
        <v>2024</v>
      </c>
      <c r="E86" s="21"/>
      <c r="F86" s="22"/>
      <c r="G86" s="22"/>
      <c r="H86" s="138">
        <v>16.87</v>
      </c>
      <c r="I86" s="22">
        <f>ROUND(H86*D86,2)</f>
        <v>34144.879999999997</v>
      </c>
      <c r="J86" s="22">
        <f t="shared" si="35"/>
        <v>40973.86</v>
      </c>
      <c r="K86" s="23">
        <f t="shared" si="31"/>
        <v>34144.879999999997</v>
      </c>
      <c r="L86" s="24">
        <f t="shared" si="31"/>
        <v>40973.86</v>
      </c>
      <c r="M86" s="63" t="s">
        <v>435</v>
      </c>
    </row>
    <row r="87" spans="1:13" ht="21" customHeight="1" x14ac:dyDescent="0.25">
      <c r="A87" s="212">
        <f>A83+1</f>
        <v>45656</v>
      </c>
      <c r="B87" s="213" t="s">
        <v>381</v>
      </c>
      <c r="C87" s="212" t="s">
        <v>13</v>
      </c>
      <c r="D87" s="221">
        <v>6.59</v>
      </c>
      <c r="E87" s="215">
        <v>1666.3</v>
      </c>
      <c r="F87" s="216">
        <f t="shared" ref="F87" si="36">ROUND(E87*D87,2)</f>
        <v>10980.92</v>
      </c>
      <c r="G87" s="216">
        <f t="shared" ref="G87" si="37">ROUND(F87*1.2,2)</f>
        <v>13177.1</v>
      </c>
      <c r="H87" s="217"/>
      <c r="I87" s="216"/>
      <c r="J87" s="216"/>
      <c r="K87" s="218">
        <f t="shared" si="31"/>
        <v>10980.92</v>
      </c>
      <c r="L87" s="219">
        <f t="shared" si="31"/>
        <v>13177.1</v>
      </c>
    </row>
    <row r="88" spans="1:13" ht="21" customHeight="1" x14ac:dyDescent="0.25">
      <c r="A88" s="38" t="s">
        <v>373</v>
      </c>
      <c r="B88" s="19" t="s">
        <v>375</v>
      </c>
      <c r="C88" s="20" t="s">
        <v>13</v>
      </c>
      <c r="D88" s="95">
        <f>ROUND(D87*1.26,2)</f>
        <v>8.3000000000000007</v>
      </c>
      <c r="E88" s="21"/>
      <c r="F88" s="22"/>
      <c r="G88" s="22"/>
      <c r="H88" s="137">
        <v>1299.5999999999999</v>
      </c>
      <c r="I88" s="22">
        <f>ROUND(H88*D88,2)</f>
        <v>10786.68</v>
      </c>
      <c r="J88" s="22">
        <f t="shared" ref="J88" si="38">ROUND(I88*1.2,2)</f>
        <v>12944.02</v>
      </c>
      <c r="K88" s="23">
        <f>F88+I88</f>
        <v>10786.68</v>
      </c>
      <c r="L88" s="24">
        <f>G88+J88</f>
        <v>12944.02</v>
      </c>
      <c r="M88" s="63"/>
    </row>
    <row r="89" spans="1:13" ht="21" customHeight="1" x14ac:dyDescent="0.25">
      <c r="A89" s="212">
        <f>A87+1</f>
        <v>45657</v>
      </c>
      <c r="B89" s="246" t="s">
        <v>378</v>
      </c>
      <c r="C89" s="212" t="s">
        <v>13</v>
      </c>
      <c r="D89" s="232">
        <v>16.48</v>
      </c>
      <c r="E89" s="215">
        <v>1310.05</v>
      </c>
      <c r="F89" s="216">
        <f t="shared" ref="F89" si="39">ROUND(E89*D89,2)</f>
        <v>21589.62</v>
      </c>
      <c r="G89" s="216">
        <f t="shared" ref="G89" si="40">ROUND(F89*1.2,2)</f>
        <v>25907.54</v>
      </c>
      <c r="H89" s="216"/>
      <c r="I89" s="216"/>
      <c r="J89" s="216"/>
      <c r="K89" s="218">
        <f t="shared" ref="K89:L97" si="41">F89+I89</f>
        <v>21589.62</v>
      </c>
      <c r="L89" s="216">
        <f t="shared" si="41"/>
        <v>25907.54</v>
      </c>
      <c r="M89" s="66"/>
    </row>
    <row r="90" spans="1:13" ht="21" customHeight="1" x14ac:dyDescent="0.25">
      <c r="A90" s="38" t="s">
        <v>374</v>
      </c>
      <c r="B90" s="19" t="s">
        <v>379</v>
      </c>
      <c r="C90" s="116" t="s">
        <v>13</v>
      </c>
      <c r="D90" s="117">
        <f>D89*1.1</f>
        <v>18.128000000000004</v>
      </c>
      <c r="E90" s="28"/>
      <c r="F90" s="22"/>
      <c r="G90" s="22"/>
      <c r="H90" s="137">
        <v>1427.76</v>
      </c>
      <c r="I90" s="22">
        <f>ROUND(H90*D90,2)</f>
        <v>25882.43</v>
      </c>
      <c r="J90" s="22">
        <f>ROUND(I90*1.2,2)</f>
        <v>31058.92</v>
      </c>
      <c r="K90" s="23">
        <f t="shared" si="41"/>
        <v>25882.43</v>
      </c>
      <c r="L90" s="22">
        <f t="shared" si="41"/>
        <v>31058.92</v>
      </c>
      <c r="M90" s="66"/>
    </row>
    <row r="91" spans="1:13" ht="21" customHeight="1" x14ac:dyDescent="0.25">
      <c r="A91" s="212">
        <f>A89+1</f>
        <v>45658</v>
      </c>
      <c r="B91" s="220" t="s">
        <v>431</v>
      </c>
      <c r="C91" s="228" t="s">
        <v>13</v>
      </c>
      <c r="D91" s="232">
        <v>16.48</v>
      </c>
      <c r="E91" s="215">
        <v>188.1</v>
      </c>
      <c r="F91" s="216">
        <f t="shared" ref="F91:F92" si="42">ROUND(E91*D91,2)</f>
        <v>3099.89</v>
      </c>
      <c r="G91" s="216">
        <f t="shared" ref="G91:G92" si="43">ROUND(F91*1.2,2)</f>
        <v>3719.87</v>
      </c>
      <c r="H91" s="215"/>
      <c r="I91" s="216"/>
      <c r="J91" s="216"/>
      <c r="K91" s="215">
        <f t="shared" si="41"/>
        <v>3099.89</v>
      </c>
      <c r="L91" s="227">
        <f t="shared" si="41"/>
        <v>3719.87</v>
      </c>
      <c r="M91" s="114"/>
    </row>
    <row r="92" spans="1:13" ht="21" customHeight="1" x14ac:dyDescent="0.25">
      <c r="A92" s="212">
        <f>A91+1</f>
        <v>45659</v>
      </c>
      <c r="B92" s="213" t="s">
        <v>376</v>
      </c>
      <c r="C92" s="212" t="s">
        <v>13</v>
      </c>
      <c r="D92" s="221">
        <v>163.94</v>
      </c>
      <c r="E92" s="215">
        <v>1666.3</v>
      </c>
      <c r="F92" s="216">
        <f t="shared" si="42"/>
        <v>273173.21999999997</v>
      </c>
      <c r="G92" s="216">
        <f t="shared" si="43"/>
        <v>327807.86</v>
      </c>
      <c r="H92" s="217"/>
      <c r="I92" s="216"/>
      <c r="J92" s="216"/>
      <c r="K92" s="218">
        <f t="shared" si="41"/>
        <v>273173.21999999997</v>
      </c>
      <c r="L92" s="219">
        <f t="shared" si="41"/>
        <v>327807.86</v>
      </c>
    </row>
    <row r="93" spans="1:13" ht="21" customHeight="1" x14ac:dyDescent="0.25">
      <c r="A93" s="38" t="s">
        <v>382</v>
      </c>
      <c r="B93" s="19" t="s">
        <v>375</v>
      </c>
      <c r="C93" s="20" t="s">
        <v>13</v>
      </c>
      <c r="D93" s="95">
        <f>ROUND(D92*1.26,2)</f>
        <v>206.56</v>
      </c>
      <c r="E93" s="21"/>
      <c r="F93" s="22"/>
      <c r="G93" s="22"/>
      <c r="H93" s="137">
        <v>1299.5999999999999</v>
      </c>
      <c r="I93" s="22">
        <f>ROUND(H93*D93,2)</f>
        <v>268445.38</v>
      </c>
      <c r="J93" s="22">
        <f t="shared" ref="J93" si="44">ROUND(I93*1.2,2)</f>
        <v>322134.46000000002</v>
      </c>
      <c r="K93" s="23">
        <f t="shared" si="41"/>
        <v>268445.38</v>
      </c>
      <c r="L93" s="24">
        <f t="shared" si="41"/>
        <v>322134.46000000002</v>
      </c>
      <c r="M93" s="63"/>
    </row>
    <row r="94" spans="1:13" ht="21" customHeight="1" x14ac:dyDescent="0.25">
      <c r="A94" s="212">
        <f>A92+1</f>
        <v>45660</v>
      </c>
      <c r="B94" s="247" t="s">
        <v>377</v>
      </c>
      <c r="C94" s="212" t="s">
        <v>13</v>
      </c>
      <c r="D94" s="289">
        <v>76.05</v>
      </c>
      <c r="E94" s="215">
        <v>1055.45</v>
      </c>
      <c r="F94" s="216">
        <f>ROUND(E94*D94,2)</f>
        <v>80266.97</v>
      </c>
      <c r="G94" s="216">
        <f>ROUND(F94*1.2,2)</f>
        <v>96320.36</v>
      </c>
      <c r="H94" s="217"/>
      <c r="I94" s="216"/>
      <c r="J94" s="216"/>
      <c r="K94" s="218">
        <f t="shared" si="41"/>
        <v>80266.97</v>
      </c>
      <c r="L94" s="219">
        <f t="shared" si="41"/>
        <v>96320.36</v>
      </c>
    </row>
    <row r="95" spans="1:13" ht="21" customHeight="1" x14ac:dyDescent="0.25">
      <c r="A95" s="38" t="s">
        <v>383</v>
      </c>
      <c r="B95" s="19" t="s">
        <v>379</v>
      </c>
      <c r="C95" s="20" t="s">
        <v>13</v>
      </c>
      <c r="D95" s="100">
        <f>D94*1.1</f>
        <v>83.655000000000001</v>
      </c>
      <c r="E95" s="21"/>
      <c r="F95" s="22"/>
      <c r="G95" s="22"/>
      <c r="H95" s="137">
        <v>1427.76</v>
      </c>
      <c r="I95" s="22">
        <f>ROUND(H95*D95,2)</f>
        <v>119439.26</v>
      </c>
      <c r="J95" s="22">
        <f t="shared" ref="J95" si="45">ROUND(I95*1.2,2)</f>
        <v>143327.10999999999</v>
      </c>
      <c r="K95" s="23">
        <f t="shared" si="41"/>
        <v>119439.26</v>
      </c>
      <c r="L95" s="24">
        <f t="shared" si="41"/>
        <v>143327.10999999999</v>
      </c>
      <c r="M95" s="37"/>
    </row>
    <row r="96" spans="1:13" ht="21" customHeight="1" x14ac:dyDescent="0.25">
      <c r="A96" s="212">
        <f>A94+1</f>
        <v>45661</v>
      </c>
      <c r="B96" s="220" t="s">
        <v>431</v>
      </c>
      <c r="C96" s="228" t="s">
        <v>13</v>
      </c>
      <c r="D96" s="232">
        <v>76.05</v>
      </c>
      <c r="E96" s="215">
        <v>188.1</v>
      </c>
      <c r="F96" s="216">
        <f t="shared" ref="F96:F97" si="46">ROUND(E96*D96,2)</f>
        <v>14305.01</v>
      </c>
      <c r="G96" s="216">
        <f t="shared" ref="G96:G97" si="47">ROUND(F96*1.2,2)</f>
        <v>17166.009999999998</v>
      </c>
      <c r="H96" s="215"/>
      <c r="I96" s="216"/>
      <c r="J96" s="216"/>
      <c r="K96" s="215">
        <f t="shared" si="41"/>
        <v>14305.01</v>
      </c>
      <c r="L96" s="227">
        <f t="shared" si="41"/>
        <v>17166.009999999998</v>
      </c>
      <c r="M96" s="114"/>
    </row>
    <row r="97" spans="1:13" ht="21" customHeight="1" x14ac:dyDescent="0.25">
      <c r="A97" s="212">
        <f>A96+1</f>
        <v>45662</v>
      </c>
      <c r="B97" s="247" t="s">
        <v>380</v>
      </c>
      <c r="C97" s="212" t="s">
        <v>13</v>
      </c>
      <c r="D97" s="248">
        <v>760.47</v>
      </c>
      <c r="E97" s="215">
        <v>1666.3</v>
      </c>
      <c r="F97" s="216">
        <f t="shared" si="46"/>
        <v>1267171.1599999999</v>
      </c>
      <c r="G97" s="216">
        <f t="shared" si="47"/>
        <v>1520605.39</v>
      </c>
      <c r="H97" s="217"/>
      <c r="I97" s="216"/>
      <c r="J97" s="216"/>
      <c r="K97" s="218">
        <f t="shared" si="41"/>
        <v>1267171.1599999999</v>
      </c>
      <c r="L97" s="219">
        <f t="shared" si="41"/>
        <v>1520605.39</v>
      </c>
    </row>
    <row r="98" spans="1:13" ht="21" customHeight="1" x14ac:dyDescent="0.25">
      <c r="A98" s="38" t="s">
        <v>384</v>
      </c>
      <c r="B98" s="19" t="s">
        <v>375</v>
      </c>
      <c r="C98" s="20" t="s">
        <v>13</v>
      </c>
      <c r="D98" s="95">
        <f>ROUND(D97*1.26,2)</f>
        <v>958.19</v>
      </c>
      <c r="E98" s="21"/>
      <c r="F98" s="22"/>
      <c r="G98" s="22"/>
      <c r="H98" s="137">
        <v>3805.7</v>
      </c>
      <c r="I98" s="22">
        <f>ROUND(H98*D98,2)</f>
        <v>3646583.68</v>
      </c>
      <c r="J98" s="22">
        <f t="shared" ref="J98" si="48">ROUND(I98*1.2,2)</f>
        <v>4375900.42</v>
      </c>
      <c r="K98" s="23">
        <f>F98+I98</f>
        <v>3646583.68</v>
      </c>
      <c r="L98" s="24">
        <f>G98+J98</f>
        <v>4375900.42</v>
      </c>
      <c r="M98" s="63"/>
    </row>
    <row r="99" spans="1:13" ht="18" customHeight="1" x14ac:dyDescent="0.25">
      <c r="A99" s="70"/>
      <c r="B99" s="81" t="s">
        <v>60</v>
      </c>
      <c r="C99" s="70"/>
      <c r="D99" s="82"/>
      <c r="E99" s="79"/>
      <c r="F99" s="74"/>
      <c r="G99" s="74"/>
      <c r="H99" s="75"/>
      <c r="I99" s="74"/>
      <c r="J99" s="74"/>
      <c r="K99" s="73"/>
      <c r="L99" s="76"/>
    </row>
    <row r="100" spans="1:13" ht="18.75" customHeight="1" x14ac:dyDescent="0.25">
      <c r="A100" s="205">
        <f>A97+1</f>
        <v>45663</v>
      </c>
      <c r="B100" s="224" t="s">
        <v>111</v>
      </c>
      <c r="C100" s="205" t="s">
        <v>44</v>
      </c>
      <c r="D100" s="245">
        <v>234.42</v>
      </c>
      <c r="E100" s="243">
        <f>308.75+188.1</f>
        <v>496.85</v>
      </c>
      <c r="F100" s="209">
        <f t="shared" ref="F100:F101" si="49">ROUND(E100*D100,2)</f>
        <v>116471.58</v>
      </c>
      <c r="G100" s="209">
        <f t="shared" ref="G100:G101" si="50">ROUND(F100*1.2,2)</f>
        <v>139765.9</v>
      </c>
      <c r="H100" s="223"/>
      <c r="I100" s="209"/>
      <c r="J100" s="209"/>
      <c r="K100" s="211">
        <f t="shared" ref="K100:L101" si="51">F100+I100</f>
        <v>116471.58</v>
      </c>
      <c r="L100" s="226">
        <f t="shared" si="51"/>
        <v>139765.9</v>
      </c>
      <c r="M100" s="64"/>
    </row>
    <row r="101" spans="1:13" ht="18.75" customHeight="1" x14ac:dyDescent="0.25">
      <c r="A101" s="205">
        <f>A100+1</f>
        <v>45664</v>
      </c>
      <c r="B101" s="224" t="s">
        <v>112</v>
      </c>
      <c r="C101" s="205" t="s">
        <v>44</v>
      </c>
      <c r="D101" s="245">
        <v>234.42</v>
      </c>
      <c r="E101" s="243">
        <f>157.6</f>
        <v>157.6</v>
      </c>
      <c r="F101" s="209">
        <f t="shared" si="49"/>
        <v>36944.589999999997</v>
      </c>
      <c r="G101" s="209">
        <f t="shared" si="50"/>
        <v>44333.51</v>
      </c>
      <c r="H101" s="223"/>
      <c r="I101" s="209"/>
      <c r="J101" s="209"/>
      <c r="K101" s="211">
        <f t="shared" si="51"/>
        <v>36944.589999999997</v>
      </c>
      <c r="L101" s="226">
        <f t="shared" si="51"/>
        <v>44333.51</v>
      </c>
    </row>
    <row r="102" spans="1:13" ht="18.75" customHeight="1" x14ac:dyDescent="0.25">
      <c r="A102" s="67" t="s">
        <v>385</v>
      </c>
      <c r="B102" s="68" t="s">
        <v>188</v>
      </c>
      <c r="C102" s="67" t="s">
        <v>44</v>
      </c>
      <c r="D102" s="143">
        <f>D101*1.1</f>
        <v>257.86200000000002</v>
      </c>
      <c r="E102" s="28"/>
      <c r="F102" s="22"/>
      <c r="G102" s="22"/>
      <c r="H102" s="21">
        <v>314.11</v>
      </c>
      <c r="I102" s="22">
        <f>ROUND(H102*D102,2)</f>
        <v>80997.03</v>
      </c>
      <c r="J102" s="22">
        <f t="shared" ref="J102:J103" si="52">ROUND(I102*1.2,2)</f>
        <v>97196.44</v>
      </c>
      <c r="K102" s="23">
        <f>F102+I102</f>
        <v>80997.03</v>
      </c>
      <c r="L102" s="24">
        <f>G102+J102</f>
        <v>97196.44</v>
      </c>
    </row>
    <row r="103" spans="1:13" ht="18.75" customHeight="1" x14ac:dyDescent="0.25">
      <c r="A103" s="67" t="s">
        <v>386</v>
      </c>
      <c r="B103" s="68" t="s">
        <v>189</v>
      </c>
      <c r="C103" s="67" t="s">
        <v>38</v>
      </c>
      <c r="D103" s="143">
        <v>675</v>
      </c>
      <c r="E103" s="28"/>
      <c r="F103" s="22"/>
      <c r="G103" s="22"/>
      <c r="H103" s="137">
        <v>148.54</v>
      </c>
      <c r="I103" s="22">
        <f>ROUND(H103*D103,2)</f>
        <v>100264.5</v>
      </c>
      <c r="J103" s="22">
        <f t="shared" si="52"/>
        <v>120317.4</v>
      </c>
      <c r="K103" s="23">
        <f t="shared" ref="K103:L105" si="53">F103+I103</f>
        <v>100264.5</v>
      </c>
      <c r="L103" s="24">
        <f t="shared" si="53"/>
        <v>120317.4</v>
      </c>
    </row>
    <row r="104" spans="1:13" ht="18.75" customHeight="1" x14ac:dyDescent="0.25">
      <c r="A104" s="212">
        <f>A101+1</f>
        <v>45665</v>
      </c>
      <c r="B104" s="213" t="s">
        <v>113</v>
      </c>
      <c r="C104" s="212" t="s">
        <v>44</v>
      </c>
      <c r="D104" s="231">
        <v>234.42</v>
      </c>
      <c r="E104" s="215">
        <v>1666.3</v>
      </c>
      <c r="F104" s="216">
        <f t="shared" ref="F104" si="54">ROUND(E104*D104,2)</f>
        <v>390614.05</v>
      </c>
      <c r="G104" s="216">
        <f t="shared" ref="G104" si="55">ROUND(F104*1.2,2)</f>
        <v>468736.86</v>
      </c>
      <c r="H104" s="217"/>
      <c r="I104" s="216"/>
      <c r="J104" s="216"/>
      <c r="K104" s="218">
        <f t="shared" si="53"/>
        <v>390614.05</v>
      </c>
      <c r="L104" s="219">
        <f t="shared" si="53"/>
        <v>468736.86</v>
      </c>
    </row>
    <row r="105" spans="1:13" ht="18.75" customHeight="1" x14ac:dyDescent="0.25">
      <c r="A105" s="67" t="s">
        <v>387</v>
      </c>
      <c r="B105" s="68" t="s">
        <v>69</v>
      </c>
      <c r="C105" s="67" t="s">
        <v>13</v>
      </c>
      <c r="D105" s="143">
        <f>D104*0.15*1.26</f>
        <v>44.30538</v>
      </c>
      <c r="E105" s="28"/>
      <c r="F105" s="22"/>
      <c r="G105" s="22"/>
      <c r="H105" s="137">
        <v>3805.7</v>
      </c>
      <c r="I105" s="22">
        <f>ROUND(H105*D105,2)</f>
        <v>168612.98</v>
      </c>
      <c r="J105" s="22">
        <f t="shared" ref="J105" si="56">ROUND(I105*1.2,2)</f>
        <v>202335.58</v>
      </c>
      <c r="K105" s="23">
        <f t="shared" si="53"/>
        <v>168612.98</v>
      </c>
      <c r="L105" s="24">
        <f t="shared" si="53"/>
        <v>202335.58</v>
      </c>
      <c r="M105" s="63"/>
    </row>
    <row r="106" spans="1:13" ht="26.25" customHeight="1" x14ac:dyDescent="0.25">
      <c r="A106" s="70"/>
      <c r="B106" s="81" t="s">
        <v>444</v>
      </c>
      <c r="C106" s="70"/>
      <c r="D106" s="82"/>
      <c r="E106" s="79"/>
      <c r="F106" s="74"/>
      <c r="G106" s="74"/>
      <c r="H106" s="75"/>
      <c r="I106" s="74"/>
      <c r="J106" s="74"/>
      <c r="K106" s="73"/>
      <c r="L106" s="76"/>
    </row>
    <row r="107" spans="1:13" ht="19.5" customHeight="1" x14ac:dyDescent="0.25">
      <c r="A107" s="134"/>
      <c r="B107" s="290" t="s">
        <v>228</v>
      </c>
      <c r="C107" s="134"/>
      <c r="D107" s="291"/>
      <c r="E107" s="25"/>
      <c r="F107" s="30"/>
      <c r="G107" s="30"/>
      <c r="H107" s="27"/>
      <c r="I107" s="30"/>
      <c r="J107" s="30"/>
      <c r="K107" s="31"/>
      <c r="L107" s="32"/>
    </row>
    <row r="108" spans="1:13" ht="21" customHeight="1" x14ac:dyDescent="0.25">
      <c r="A108" s="212">
        <f>A104+1</f>
        <v>45666</v>
      </c>
      <c r="B108" s="213" t="s">
        <v>437</v>
      </c>
      <c r="C108" s="212" t="s">
        <v>15</v>
      </c>
      <c r="D108" s="250">
        <f>2.5*4</f>
        <v>10</v>
      </c>
      <c r="E108" s="215">
        <f>2332.25*0.8</f>
        <v>1865.8000000000002</v>
      </c>
      <c r="F108" s="216">
        <f t="shared" ref="F108:F113" si="57">ROUND(E108*D108,2)</f>
        <v>18658</v>
      </c>
      <c r="G108" s="216">
        <f t="shared" ref="G108:G113" si="58">ROUND(F108*1.2,2)</f>
        <v>22389.599999999999</v>
      </c>
      <c r="H108" s="217"/>
      <c r="I108" s="216"/>
      <c r="J108" s="216"/>
      <c r="K108" s="218">
        <f t="shared" ref="K108:L113" si="59">F108+I108</f>
        <v>18658</v>
      </c>
      <c r="L108" s="219">
        <f t="shared" si="59"/>
        <v>22389.599999999999</v>
      </c>
      <c r="M108" t="s">
        <v>438</v>
      </c>
    </row>
    <row r="109" spans="1:13" ht="21" customHeight="1" x14ac:dyDescent="0.25">
      <c r="A109" s="205">
        <f>A108+1</f>
        <v>45667</v>
      </c>
      <c r="B109" s="224" t="s">
        <v>388</v>
      </c>
      <c r="C109" s="205" t="s">
        <v>44</v>
      </c>
      <c r="D109" s="245">
        <v>5.74</v>
      </c>
      <c r="E109" s="243">
        <f>ROUND(2029.62*0.7,2)</f>
        <v>1420.73</v>
      </c>
      <c r="F109" s="209">
        <f t="shared" si="57"/>
        <v>8154.99</v>
      </c>
      <c r="G109" s="209">
        <f t="shared" si="58"/>
        <v>9785.99</v>
      </c>
      <c r="H109" s="223"/>
      <c r="I109" s="209"/>
      <c r="J109" s="209"/>
      <c r="K109" s="211">
        <f t="shared" si="59"/>
        <v>8154.99</v>
      </c>
      <c r="L109" s="226">
        <f t="shared" si="59"/>
        <v>9785.99</v>
      </c>
      <c r="M109" s="37" t="s">
        <v>428</v>
      </c>
    </row>
    <row r="110" spans="1:13" ht="21" customHeight="1" x14ac:dyDescent="0.25">
      <c r="A110" s="205">
        <f t="shared" ref="A110:A113" si="60">A109+1</f>
        <v>45668</v>
      </c>
      <c r="B110" s="224" t="s">
        <v>389</v>
      </c>
      <c r="C110" s="205" t="s">
        <v>61</v>
      </c>
      <c r="D110" s="249">
        <f>2.45*3*1</f>
        <v>7.3500000000000005</v>
      </c>
      <c r="E110" s="243">
        <f>ROUND(135637.63*0.7/1000,2)</f>
        <v>94.95</v>
      </c>
      <c r="F110" s="209">
        <f t="shared" si="57"/>
        <v>697.88</v>
      </c>
      <c r="G110" s="209">
        <f t="shared" si="58"/>
        <v>837.46</v>
      </c>
      <c r="H110" s="223"/>
      <c r="I110" s="209"/>
      <c r="J110" s="209"/>
      <c r="K110" s="211">
        <f t="shared" si="59"/>
        <v>697.88</v>
      </c>
      <c r="L110" s="226">
        <f t="shared" si="59"/>
        <v>837.46</v>
      </c>
      <c r="M110" s="63" t="s">
        <v>430</v>
      </c>
    </row>
    <row r="111" spans="1:13" ht="21" customHeight="1" x14ac:dyDescent="0.25">
      <c r="A111" s="205">
        <f t="shared" si="60"/>
        <v>45669</v>
      </c>
      <c r="B111" s="224" t="s">
        <v>390</v>
      </c>
      <c r="C111" s="205" t="s">
        <v>61</v>
      </c>
      <c r="D111" s="249">
        <f>1.704*2.27*2</f>
        <v>7.7361599999999999</v>
      </c>
      <c r="E111" s="243">
        <f>ROUND(135637.63*0.7/1000,2)</f>
        <v>94.95</v>
      </c>
      <c r="F111" s="209">
        <f t="shared" si="57"/>
        <v>734.55</v>
      </c>
      <c r="G111" s="209">
        <f t="shared" si="58"/>
        <v>881.46</v>
      </c>
      <c r="H111" s="223"/>
      <c r="I111" s="209"/>
      <c r="J111" s="209"/>
      <c r="K111" s="211">
        <f t="shared" si="59"/>
        <v>734.55</v>
      </c>
      <c r="L111" s="226">
        <f t="shared" si="59"/>
        <v>881.46</v>
      </c>
      <c r="M111" s="63" t="s">
        <v>430</v>
      </c>
    </row>
    <row r="112" spans="1:13" ht="21" customHeight="1" x14ac:dyDescent="0.25">
      <c r="A112" s="205">
        <f t="shared" si="60"/>
        <v>45670</v>
      </c>
      <c r="B112" s="224" t="s">
        <v>391</v>
      </c>
      <c r="C112" s="205" t="s">
        <v>44</v>
      </c>
      <c r="D112" s="245">
        <v>2.1800000000000002</v>
      </c>
      <c r="E112" s="243">
        <f>ROUND(2029.62*0.7,2)</f>
        <v>1420.73</v>
      </c>
      <c r="F112" s="209">
        <f t="shared" si="57"/>
        <v>3097.19</v>
      </c>
      <c r="G112" s="209">
        <f t="shared" si="58"/>
        <v>3716.63</v>
      </c>
      <c r="H112" s="223"/>
      <c r="I112" s="209"/>
      <c r="J112" s="209"/>
      <c r="K112" s="211">
        <f t="shared" si="59"/>
        <v>3097.19</v>
      </c>
      <c r="L112" s="226">
        <f t="shared" si="59"/>
        <v>3716.63</v>
      </c>
      <c r="M112" s="37" t="s">
        <v>429</v>
      </c>
    </row>
    <row r="113" spans="1:13" ht="21" customHeight="1" x14ac:dyDescent="0.25">
      <c r="A113" s="212">
        <f t="shared" si="60"/>
        <v>45671</v>
      </c>
      <c r="B113" s="213" t="s">
        <v>170</v>
      </c>
      <c r="C113" s="212" t="s">
        <v>17</v>
      </c>
      <c r="D113" s="218">
        <v>8.9499999999999993</v>
      </c>
      <c r="E113" s="227">
        <v>431.37</v>
      </c>
      <c r="F113" s="216">
        <f t="shared" si="57"/>
        <v>3860.76</v>
      </c>
      <c r="G113" s="216">
        <f t="shared" si="58"/>
        <v>4632.91</v>
      </c>
      <c r="H113" s="217"/>
      <c r="I113" s="216"/>
      <c r="J113" s="216"/>
      <c r="K113" s="218">
        <f t="shared" si="59"/>
        <v>3860.76</v>
      </c>
      <c r="L113" s="219">
        <f t="shared" si="59"/>
        <v>4632.91</v>
      </c>
      <c r="M113" s="66" t="s">
        <v>434</v>
      </c>
    </row>
    <row r="114" spans="1:13" ht="19.5" customHeight="1" x14ac:dyDescent="0.25">
      <c r="A114" s="134"/>
      <c r="B114" s="290" t="s">
        <v>392</v>
      </c>
      <c r="C114" s="134"/>
      <c r="D114" s="291"/>
      <c r="E114" s="25"/>
      <c r="F114" s="30"/>
      <c r="G114" s="30"/>
      <c r="H114" s="27"/>
      <c r="I114" s="30"/>
      <c r="J114" s="30"/>
      <c r="K114" s="31"/>
      <c r="L114" s="32"/>
    </row>
    <row r="115" spans="1:13" ht="21" customHeight="1" x14ac:dyDescent="0.25">
      <c r="A115" s="212">
        <f>A113+1</f>
        <v>45672</v>
      </c>
      <c r="B115" s="213" t="s">
        <v>87</v>
      </c>
      <c r="C115" s="212" t="s">
        <v>15</v>
      </c>
      <c r="D115" s="231">
        <v>12.5</v>
      </c>
      <c r="E115" s="215">
        <v>2332.25</v>
      </c>
      <c r="F115" s="216">
        <f t="shared" ref="F115" si="61">ROUND(E115*D115,2)</f>
        <v>29153.13</v>
      </c>
      <c r="G115" s="216">
        <f t="shared" ref="G115" si="62">ROUND(F115*1.2,2)</f>
        <v>34983.760000000002</v>
      </c>
      <c r="H115" s="217"/>
      <c r="I115" s="216"/>
      <c r="J115" s="216"/>
      <c r="K115" s="218">
        <f t="shared" ref="K115:L119" si="63">F115+I115</f>
        <v>29153.13</v>
      </c>
      <c r="L115" s="219">
        <f t="shared" si="63"/>
        <v>34983.760000000002</v>
      </c>
    </row>
    <row r="116" spans="1:13" ht="21" customHeight="1" x14ac:dyDescent="0.25">
      <c r="A116" s="67" t="s">
        <v>393</v>
      </c>
      <c r="B116" s="68" t="s">
        <v>65</v>
      </c>
      <c r="C116" s="67" t="s">
        <v>38</v>
      </c>
      <c r="D116" s="102">
        <v>5</v>
      </c>
      <c r="E116" s="28"/>
      <c r="F116" s="22"/>
      <c r="G116" s="22"/>
      <c r="H116" s="28">
        <v>3805.7</v>
      </c>
      <c r="I116" s="22">
        <f>ROUND(H116*D116,2)</f>
        <v>19028.5</v>
      </c>
      <c r="J116" s="22">
        <f t="shared" ref="J116:J117" si="64">ROUND(I116*1.2,2)</f>
        <v>22834.2</v>
      </c>
      <c r="K116" s="23">
        <f t="shared" si="63"/>
        <v>19028.5</v>
      </c>
      <c r="L116" s="24">
        <f t="shared" si="63"/>
        <v>22834.2</v>
      </c>
    </row>
    <row r="117" spans="1:13" ht="21" customHeight="1" x14ac:dyDescent="0.25">
      <c r="A117" s="67" t="s">
        <v>394</v>
      </c>
      <c r="B117" s="68" t="s">
        <v>66</v>
      </c>
      <c r="C117" s="67" t="s">
        <v>38</v>
      </c>
      <c r="D117" s="102">
        <v>4</v>
      </c>
      <c r="E117" s="28"/>
      <c r="F117" s="22"/>
      <c r="G117" s="22"/>
      <c r="H117" s="28">
        <v>11416.63</v>
      </c>
      <c r="I117" s="22">
        <f>ROUND(H117*D117,2)</f>
        <v>45666.52</v>
      </c>
      <c r="J117" s="22">
        <f t="shared" si="64"/>
        <v>54799.82</v>
      </c>
      <c r="K117" s="23">
        <f t="shared" si="63"/>
        <v>45666.52</v>
      </c>
      <c r="L117" s="24">
        <f t="shared" si="63"/>
        <v>54799.82</v>
      </c>
    </row>
    <row r="118" spans="1:13" ht="21" customHeight="1" x14ac:dyDescent="0.25">
      <c r="A118" s="205">
        <f>A115+1</f>
        <v>45673</v>
      </c>
      <c r="B118" s="224" t="s">
        <v>395</v>
      </c>
      <c r="C118" s="205" t="s">
        <v>13</v>
      </c>
      <c r="D118" s="244">
        <v>0.2</v>
      </c>
      <c r="E118" s="210">
        <v>5753.2</v>
      </c>
      <c r="F118" s="209">
        <f t="shared" ref="F118" si="65">ROUND(E118*D118,2)</f>
        <v>1150.6400000000001</v>
      </c>
      <c r="G118" s="209">
        <f t="shared" ref="G118" si="66">ROUND(F118*1.2,2)</f>
        <v>1380.77</v>
      </c>
      <c r="H118" s="223"/>
      <c r="I118" s="209"/>
      <c r="J118" s="209"/>
      <c r="K118" s="211">
        <f t="shared" si="63"/>
        <v>1150.6400000000001</v>
      </c>
      <c r="L118" s="226">
        <f t="shared" si="63"/>
        <v>1380.77</v>
      </c>
    </row>
    <row r="119" spans="1:13" ht="21" customHeight="1" x14ac:dyDescent="0.25">
      <c r="A119" s="67" t="s">
        <v>397</v>
      </c>
      <c r="B119" s="68" t="s">
        <v>396</v>
      </c>
      <c r="C119" s="67" t="s">
        <v>13</v>
      </c>
      <c r="D119" s="144">
        <v>0.2</v>
      </c>
      <c r="E119" s="28"/>
      <c r="F119" s="22"/>
      <c r="G119" s="22"/>
      <c r="H119" s="28">
        <v>5307.65</v>
      </c>
      <c r="I119" s="22">
        <f>ROUND(H119*D119,2)</f>
        <v>1061.53</v>
      </c>
      <c r="J119" s="22">
        <f t="shared" ref="J119" si="67">ROUND(I119*1.2,2)</f>
        <v>1273.8399999999999</v>
      </c>
      <c r="K119" s="23">
        <f t="shared" si="63"/>
        <v>1061.53</v>
      </c>
      <c r="L119" s="24">
        <f t="shared" si="63"/>
        <v>1273.8399999999999</v>
      </c>
    </row>
    <row r="120" spans="1:13" ht="27.75" customHeight="1" x14ac:dyDescent="0.25">
      <c r="A120" s="70"/>
      <c r="B120" s="81" t="s">
        <v>283</v>
      </c>
      <c r="C120" s="70"/>
      <c r="D120" s="82"/>
      <c r="E120" s="79"/>
      <c r="F120" s="74"/>
      <c r="G120" s="74"/>
      <c r="H120" s="75"/>
      <c r="I120" s="74"/>
      <c r="J120" s="74"/>
      <c r="K120" s="73"/>
      <c r="L120" s="76"/>
    </row>
    <row r="121" spans="1:13" ht="32.25" customHeight="1" x14ac:dyDescent="0.25">
      <c r="A121" s="205">
        <f>A118+1</f>
        <v>45674</v>
      </c>
      <c r="B121" s="224" t="s">
        <v>284</v>
      </c>
      <c r="C121" s="205" t="s">
        <v>38</v>
      </c>
      <c r="D121" s="242">
        <v>4</v>
      </c>
      <c r="E121" s="210">
        <v>6852.75</v>
      </c>
      <c r="F121" s="209">
        <f t="shared" ref="F121" si="68">ROUND(E121*D121,2)</f>
        <v>27411</v>
      </c>
      <c r="G121" s="209">
        <f t="shared" ref="G121" si="69">ROUND(F121*1.2,2)</f>
        <v>32893.199999999997</v>
      </c>
      <c r="H121" s="223"/>
      <c r="I121" s="209"/>
      <c r="J121" s="209"/>
      <c r="K121" s="211">
        <f t="shared" ref="K121:L126" si="70">F121+I121</f>
        <v>27411</v>
      </c>
      <c r="L121" s="226">
        <f t="shared" si="70"/>
        <v>32893.199999999997</v>
      </c>
      <c r="M121" s="37" t="s">
        <v>110</v>
      </c>
    </row>
    <row r="122" spans="1:13" ht="21" customHeight="1" x14ac:dyDescent="0.25">
      <c r="A122" s="67" t="s">
        <v>399</v>
      </c>
      <c r="B122" s="68" t="s">
        <v>287</v>
      </c>
      <c r="C122" s="67" t="s">
        <v>38</v>
      </c>
      <c r="D122" s="102">
        <v>4</v>
      </c>
      <c r="E122" s="28"/>
      <c r="F122" s="22"/>
      <c r="G122" s="22"/>
      <c r="H122" s="28">
        <f>4800/1.2*1.15</f>
        <v>4600</v>
      </c>
      <c r="I122" s="22">
        <f>ROUND(H122*D122,2)</f>
        <v>18400</v>
      </c>
      <c r="J122" s="22">
        <f t="shared" ref="J122:J124" si="71">ROUND(I122*1.2,2)</f>
        <v>22080</v>
      </c>
      <c r="K122" s="23">
        <f t="shared" si="70"/>
        <v>18400</v>
      </c>
      <c r="L122" s="24">
        <f t="shared" si="70"/>
        <v>22080</v>
      </c>
      <c r="M122" s="63" t="s">
        <v>435</v>
      </c>
    </row>
    <row r="123" spans="1:13" ht="21" customHeight="1" x14ac:dyDescent="0.25">
      <c r="A123" s="67" t="s">
        <v>400</v>
      </c>
      <c r="B123" s="68" t="s">
        <v>288</v>
      </c>
      <c r="C123" s="67" t="s">
        <v>38</v>
      </c>
      <c r="D123" s="102">
        <v>8</v>
      </c>
      <c r="E123" s="28"/>
      <c r="F123" s="22"/>
      <c r="G123" s="22"/>
      <c r="H123" s="28">
        <f>100/1.2*1.15</f>
        <v>95.833333333333343</v>
      </c>
      <c r="I123" s="22">
        <f>ROUND(H123*D123,2)</f>
        <v>766.67</v>
      </c>
      <c r="J123" s="22">
        <f t="shared" si="71"/>
        <v>920</v>
      </c>
      <c r="K123" s="23">
        <f t="shared" si="70"/>
        <v>766.67</v>
      </c>
      <c r="L123" s="24">
        <f t="shared" si="70"/>
        <v>920</v>
      </c>
      <c r="M123" s="63" t="s">
        <v>435</v>
      </c>
    </row>
    <row r="124" spans="1:13" ht="30" customHeight="1" x14ac:dyDescent="0.25">
      <c r="A124" s="67" t="s">
        <v>401</v>
      </c>
      <c r="B124" s="68" t="s">
        <v>289</v>
      </c>
      <c r="C124" s="67" t="s">
        <v>38</v>
      </c>
      <c r="D124" s="102">
        <v>4</v>
      </c>
      <c r="E124" s="28"/>
      <c r="F124" s="22"/>
      <c r="G124" s="22"/>
      <c r="H124" s="28">
        <f>3200/1.2*1.15</f>
        <v>3066.666666666667</v>
      </c>
      <c r="I124" s="22">
        <f>ROUND(H124*D124,2)</f>
        <v>12266.67</v>
      </c>
      <c r="J124" s="22">
        <f t="shared" si="71"/>
        <v>14720</v>
      </c>
      <c r="K124" s="23">
        <f t="shared" si="70"/>
        <v>12266.67</v>
      </c>
      <c r="L124" s="24">
        <f t="shared" si="70"/>
        <v>14720</v>
      </c>
      <c r="M124" s="63" t="s">
        <v>435</v>
      </c>
    </row>
    <row r="125" spans="1:13" ht="35.25" customHeight="1" x14ac:dyDescent="0.25">
      <c r="A125" s="205">
        <f>A121+1</f>
        <v>45675</v>
      </c>
      <c r="B125" s="224" t="s">
        <v>286</v>
      </c>
      <c r="C125" s="205" t="s">
        <v>15</v>
      </c>
      <c r="D125" s="244">
        <v>6</v>
      </c>
      <c r="E125" s="210">
        <v>350</v>
      </c>
      <c r="F125" s="209">
        <f t="shared" ref="F125" si="72">ROUND(E125*D125,2)</f>
        <v>2100</v>
      </c>
      <c r="G125" s="209">
        <f t="shared" ref="G125" si="73">ROUND(F125*1.2,2)</f>
        <v>2520</v>
      </c>
      <c r="H125" s="223"/>
      <c r="I125" s="209"/>
      <c r="J125" s="209"/>
      <c r="K125" s="211">
        <f t="shared" si="70"/>
        <v>2100</v>
      </c>
      <c r="L125" s="226">
        <f t="shared" si="70"/>
        <v>2520</v>
      </c>
      <c r="M125" s="37" t="s">
        <v>110</v>
      </c>
    </row>
    <row r="126" spans="1:13" ht="24" customHeight="1" x14ac:dyDescent="0.25">
      <c r="A126" s="67" t="s">
        <v>183</v>
      </c>
      <c r="B126" s="68" t="s">
        <v>304</v>
      </c>
      <c r="C126" s="67" t="s">
        <v>61</v>
      </c>
      <c r="D126" s="144">
        <v>0.5</v>
      </c>
      <c r="E126" s="28"/>
      <c r="F126" s="22"/>
      <c r="G126" s="22"/>
      <c r="H126" s="28">
        <v>3684.31</v>
      </c>
      <c r="I126" s="22">
        <f t="shared" ref="I126" si="74">ROUND(H126*D126,2)</f>
        <v>1842.16</v>
      </c>
      <c r="J126" s="22">
        <f t="shared" ref="J126" si="75">ROUND(I126*1.2,2)</f>
        <v>2210.59</v>
      </c>
      <c r="K126" s="23">
        <f t="shared" si="70"/>
        <v>1842.16</v>
      </c>
      <c r="L126" s="24">
        <f t="shared" si="70"/>
        <v>2210.59</v>
      </c>
      <c r="M126" s="37"/>
    </row>
    <row r="127" spans="1:13" ht="27.75" customHeight="1" x14ac:dyDescent="0.25">
      <c r="A127" s="70"/>
      <c r="B127" s="81" t="s">
        <v>199</v>
      </c>
      <c r="C127" s="70"/>
      <c r="D127" s="82"/>
      <c r="E127" s="79"/>
      <c r="F127" s="74"/>
      <c r="G127" s="74"/>
      <c r="H127" s="75"/>
      <c r="I127" s="74"/>
      <c r="J127" s="74"/>
      <c r="K127" s="73"/>
      <c r="L127" s="76"/>
    </row>
    <row r="128" spans="1:13" ht="21.75" customHeight="1" x14ac:dyDescent="0.25">
      <c r="A128" s="11"/>
      <c r="B128" s="132" t="s">
        <v>228</v>
      </c>
      <c r="C128" s="90"/>
      <c r="D128" s="111"/>
      <c r="E128" s="18"/>
      <c r="F128" s="16"/>
      <c r="G128" s="16"/>
      <c r="H128" s="150"/>
      <c r="I128" s="16"/>
      <c r="J128" s="16"/>
      <c r="K128" s="18"/>
      <c r="L128" s="93"/>
      <c r="M128" s="66"/>
    </row>
    <row r="129" spans="1:13" ht="28.5" customHeight="1" x14ac:dyDescent="0.25">
      <c r="A129" s="207">
        <f>A125+1</f>
        <v>45676</v>
      </c>
      <c r="B129" s="206" t="s">
        <v>201</v>
      </c>
      <c r="C129" s="207" t="s">
        <v>13</v>
      </c>
      <c r="D129" s="254">
        <f>0.2+0.54+1.04+0.18+0.72+0.38+0.18</f>
        <v>3.2399999999999998</v>
      </c>
      <c r="E129" s="311">
        <f>14540/0.84*3.24</f>
        <v>56082.857142857145</v>
      </c>
      <c r="F129" s="311">
        <f>ROUND(E129*1,2)</f>
        <v>56082.86</v>
      </c>
      <c r="G129" s="311">
        <f t="shared" ref="G129:G140" si="76">ROUND(F129*1.2,2)</f>
        <v>67299.429999999993</v>
      </c>
      <c r="H129" s="311"/>
      <c r="I129" s="311"/>
      <c r="J129" s="311"/>
      <c r="K129" s="311">
        <f t="shared" ref="K129:L140" si="77">F129+I129</f>
        <v>56082.86</v>
      </c>
      <c r="L129" s="311">
        <f t="shared" si="77"/>
        <v>67299.429999999993</v>
      </c>
      <c r="M129" s="313" t="s">
        <v>439</v>
      </c>
    </row>
    <row r="130" spans="1:13" ht="21" customHeight="1" x14ac:dyDescent="0.25">
      <c r="A130" s="255" t="s">
        <v>185</v>
      </c>
      <c r="B130" s="206" t="s">
        <v>402</v>
      </c>
      <c r="C130" s="207" t="s">
        <v>38</v>
      </c>
      <c r="D130" s="256">
        <v>2</v>
      </c>
      <c r="E130" s="312"/>
      <c r="F130" s="312"/>
      <c r="G130" s="312"/>
      <c r="H130" s="312"/>
      <c r="I130" s="312"/>
      <c r="J130" s="312"/>
      <c r="K130" s="312"/>
      <c r="L130" s="312"/>
      <c r="M130" s="313"/>
    </row>
    <row r="131" spans="1:13" ht="21" customHeight="1" x14ac:dyDescent="0.25">
      <c r="A131" s="255" t="s">
        <v>410</v>
      </c>
      <c r="B131" s="206" t="s">
        <v>403</v>
      </c>
      <c r="C131" s="207" t="s">
        <v>38</v>
      </c>
      <c r="D131" s="256">
        <v>2</v>
      </c>
      <c r="E131" s="312"/>
      <c r="F131" s="312"/>
      <c r="G131" s="312"/>
      <c r="H131" s="312"/>
      <c r="I131" s="312"/>
      <c r="J131" s="312"/>
      <c r="K131" s="312"/>
      <c r="L131" s="312"/>
      <c r="M131" s="313"/>
    </row>
    <row r="132" spans="1:13" ht="21" customHeight="1" x14ac:dyDescent="0.25">
      <c r="A132" s="255" t="s">
        <v>411</v>
      </c>
      <c r="B132" s="206" t="s">
        <v>404</v>
      </c>
      <c r="C132" s="207" t="s">
        <v>38</v>
      </c>
      <c r="D132" s="256">
        <v>2</v>
      </c>
      <c r="E132" s="312"/>
      <c r="F132" s="312"/>
      <c r="G132" s="312"/>
      <c r="H132" s="312"/>
      <c r="I132" s="312"/>
      <c r="J132" s="312"/>
      <c r="K132" s="312"/>
      <c r="L132" s="312"/>
      <c r="M132" s="313"/>
    </row>
    <row r="133" spans="1:13" ht="21" customHeight="1" x14ac:dyDescent="0.25">
      <c r="A133" s="255" t="s">
        <v>412</v>
      </c>
      <c r="B133" s="206" t="s">
        <v>405</v>
      </c>
      <c r="C133" s="207" t="s">
        <v>38</v>
      </c>
      <c r="D133" s="256">
        <v>1</v>
      </c>
      <c r="E133" s="312"/>
      <c r="F133" s="312"/>
      <c r="G133" s="312"/>
      <c r="H133" s="312"/>
      <c r="I133" s="312"/>
      <c r="J133" s="312"/>
      <c r="K133" s="312"/>
      <c r="L133" s="312"/>
      <c r="M133" s="313"/>
    </row>
    <row r="134" spans="1:13" ht="21" customHeight="1" x14ac:dyDescent="0.25">
      <c r="A134" s="255" t="s">
        <v>413</v>
      </c>
      <c r="B134" s="206" t="s">
        <v>406</v>
      </c>
      <c r="C134" s="207" t="s">
        <v>38</v>
      </c>
      <c r="D134" s="256">
        <v>3</v>
      </c>
      <c r="E134" s="312"/>
      <c r="F134" s="312"/>
      <c r="G134" s="312"/>
      <c r="H134" s="312"/>
      <c r="I134" s="312"/>
      <c r="J134" s="312"/>
      <c r="K134" s="312"/>
      <c r="L134" s="312"/>
      <c r="M134" s="313"/>
    </row>
    <row r="135" spans="1:13" ht="21" customHeight="1" x14ac:dyDescent="0.25">
      <c r="A135" s="255" t="s">
        <v>414</v>
      </c>
      <c r="B135" s="206" t="s">
        <v>407</v>
      </c>
      <c r="C135" s="207" t="s">
        <v>38</v>
      </c>
      <c r="D135" s="256">
        <v>2</v>
      </c>
      <c r="E135" s="312"/>
      <c r="F135" s="312"/>
      <c r="G135" s="312"/>
      <c r="H135" s="312"/>
      <c r="I135" s="312"/>
      <c r="J135" s="312"/>
      <c r="K135" s="312"/>
      <c r="L135" s="312"/>
      <c r="M135" s="313"/>
    </row>
    <row r="136" spans="1:13" ht="21" customHeight="1" x14ac:dyDescent="0.25">
      <c r="A136" s="255" t="s">
        <v>415</v>
      </c>
      <c r="B136" s="206" t="s">
        <v>408</v>
      </c>
      <c r="C136" s="207" t="s">
        <v>38</v>
      </c>
      <c r="D136" s="256">
        <v>3</v>
      </c>
      <c r="E136" s="312"/>
      <c r="F136" s="312"/>
      <c r="G136" s="312"/>
      <c r="H136" s="312"/>
      <c r="I136" s="312"/>
      <c r="J136" s="312"/>
      <c r="K136" s="312"/>
      <c r="L136" s="312"/>
      <c r="M136" s="313"/>
    </row>
    <row r="137" spans="1:13" ht="21" customHeight="1" x14ac:dyDescent="0.25">
      <c r="A137" s="255" t="s">
        <v>416</v>
      </c>
      <c r="B137" s="206" t="s">
        <v>409</v>
      </c>
      <c r="C137" s="207" t="s">
        <v>38</v>
      </c>
      <c r="D137" s="257">
        <v>14</v>
      </c>
      <c r="E137" s="312"/>
      <c r="F137" s="312"/>
      <c r="G137" s="312"/>
      <c r="H137" s="312"/>
      <c r="I137" s="312"/>
      <c r="J137" s="312"/>
      <c r="K137" s="312"/>
      <c r="L137" s="312"/>
      <c r="M137" s="313"/>
    </row>
    <row r="138" spans="1:13" ht="21" customHeight="1" x14ac:dyDescent="0.25">
      <c r="A138" s="228">
        <f>A129+1</f>
        <v>45677</v>
      </c>
      <c r="B138" s="220" t="s">
        <v>398</v>
      </c>
      <c r="C138" s="228" t="s">
        <v>38</v>
      </c>
      <c r="D138" s="258">
        <v>3</v>
      </c>
      <c r="E138" s="259">
        <f>2170.75*0.7</f>
        <v>1519.5249999999999</v>
      </c>
      <c r="F138" s="259">
        <f>ROUND(E138*1,2)</f>
        <v>1519.53</v>
      </c>
      <c r="G138" s="259">
        <f t="shared" ref="G138" si="78">ROUND(F138*1.2,2)</f>
        <v>1823.44</v>
      </c>
      <c r="H138" s="259"/>
      <c r="I138" s="259"/>
      <c r="J138" s="259"/>
      <c r="K138" s="259">
        <f t="shared" ref="K138:L138" si="79">F138+I138</f>
        <v>1519.53</v>
      </c>
      <c r="L138" s="259">
        <f t="shared" si="79"/>
        <v>1823.44</v>
      </c>
      <c r="M138" s="66" t="s">
        <v>440</v>
      </c>
    </row>
    <row r="139" spans="1:13" ht="21" customHeight="1" x14ac:dyDescent="0.25">
      <c r="A139" s="207">
        <f>A138+1</f>
        <v>45678</v>
      </c>
      <c r="B139" s="206" t="s">
        <v>219</v>
      </c>
      <c r="C139" s="207" t="s">
        <v>15</v>
      </c>
      <c r="D139" s="256">
        <v>8</v>
      </c>
      <c r="E139" s="287">
        <f>1853.74*0.5</f>
        <v>926.87</v>
      </c>
      <c r="F139" s="287">
        <f>ROUND(E139*1,2)</f>
        <v>926.87</v>
      </c>
      <c r="G139" s="287">
        <f t="shared" si="76"/>
        <v>1112.24</v>
      </c>
      <c r="H139" s="287"/>
      <c r="I139" s="287"/>
      <c r="J139" s="287"/>
      <c r="K139" s="287">
        <f t="shared" si="77"/>
        <v>926.87</v>
      </c>
      <c r="L139" s="287">
        <f t="shared" si="77"/>
        <v>1112.24</v>
      </c>
      <c r="M139" s="66"/>
    </row>
    <row r="140" spans="1:13" ht="21" customHeight="1" x14ac:dyDescent="0.25">
      <c r="A140" s="228">
        <f t="shared" ref="A140" si="80">A139+1</f>
        <v>45679</v>
      </c>
      <c r="B140" s="220" t="s">
        <v>262</v>
      </c>
      <c r="C140" s="228" t="s">
        <v>15</v>
      </c>
      <c r="D140" s="258">
        <f>4.4+5.6</f>
        <v>10</v>
      </c>
      <c r="E140" s="259">
        <f>1149.5*0.7</f>
        <v>804.65</v>
      </c>
      <c r="F140" s="259">
        <f>ROUND(E140*1,2)</f>
        <v>804.65</v>
      </c>
      <c r="G140" s="259">
        <f t="shared" si="76"/>
        <v>965.58</v>
      </c>
      <c r="H140" s="259"/>
      <c r="I140" s="259"/>
      <c r="J140" s="259"/>
      <c r="K140" s="259">
        <f t="shared" si="77"/>
        <v>804.65</v>
      </c>
      <c r="L140" s="259">
        <f t="shared" si="77"/>
        <v>965.58</v>
      </c>
      <c r="M140" s="66" t="s">
        <v>440</v>
      </c>
    </row>
    <row r="141" spans="1:13" ht="19.5" customHeight="1" x14ac:dyDescent="0.25">
      <c r="A141" s="115"/>
      <c r="B141" s="132" t="s">
        <v>229</v>
      </c>
      <c r="C141" s="90"/>
      <c r="D141" s="108"/>
      <c r="E141" s="199"/>
      <c r="F141" s="198"/>
      <c r="G141" s="198"/>
      <c r="H141" s="288"/>
      <c r="I141" s="198"/>
      <c r="J141" s="198"/>
      <c r="K141" s="288"/>
      <c r="L141" s="198"/>
      <c r="M141" s="151"/>
    </row>
    <row r="142" spans="1:13" ht="30.75" customHeight="1" x14ac:dyDescent="0.25">
      <c r="A142" s="228">
        <f>A140+1</f>
        <v>45680</v>
      </c>
      <c r="B142" s="220" t="s">
        <v>204</v>
      </c>
      <c r="C142" s="228" t="s">
        <v>13</v>
      </c>
      <c r="D142" s="232">
        <f>0.3+0.54+0.52+0.18+0.59+0.2+0.06+0.02+0.08</f>
        <v>2.4900000000000002</v>
      </c>
      <c r="E142" s="215">
        <v>17265.68</v>
      </c>
      <c r="F142" s="216">
        <f t="shared" ref="F142" si="81">ROUND(E142*D142,2)</f>
        <v>42991.54</v>
      </c>
      <c r="G142" s="216">
        <f t="shared" ref="G142" si="82">ROUND(F142*1.2,2)</f>
        <v>51589.85</v>
      </c>
      <c r="H142" s="260"/>
      <c r="I142" s="216"/>
      <c r="J142" s="216"/>
      <c r="K142" s="215">
        <f t="shared" ref="K142:L158" si="83">F142+I142</f>
        <v>42991.54</v>
      </c>
      <c r="L142" s="227">
        <f t="shared" si="83"/>
        <v>51589.85</v>
      </c>
      <c r="M142" s="114"/>
    </row>
    <row r="143" spans="1:13" ht="18.75" customHeight="1" x14ac:dyDescent="0.25">
      <c r="A143" s="38" t="s">
        <v>103</v>
      </c>
      <c r="B143" s="153" t="s">
        <v>244</v>
      </c>
      <c r="C143" s="116" t="s">
        <v>38</v>
      </c>
      <c r="D143" s="154">
        <v>2</v>
      </c>
      <c r="E143" s="28"/>
      <c r="F143" s="22"/>
      <c r="G143" s="22"/>
      <c r="H143" s="155">
        <v>1427.85</v>
      </c>
      <c r="I143" s="22">
        <f t="shared" ref="I143:I152" si="84">ROUND(H143*D143,2)</f>
        <v>2855.7</v>
      </c>
      <c r="J143" s="22">
        <f t="shared" ref="J143:J152" si="85">ROUND(I143*1.2,2)</f>
        <v>3426.84</v>
      </c>
      <c r="K143" s="23">
        <f t="shared" si="83"/>
        <v>2855.7</v>
      </c>
      <c r="L143" s="22">
        <f t="shared" si="83"/>
        <v>3426.84</v>
      </c>
      <c r="M143" s="37"/>
    </row>
    <row r="144" spans="1:13" ht="18.75" customHeight="1" x14ac:dyDescent="0.25">
      <c r="A144" s="38" t="s">
        <v>190</v>
      </c>
      <c r="B144" s="153" t="s">
        <v>207</v>
      </c>
      <c r="C144" s="116" t="s">
        <v>38</v>
      </c>
      <c r="D144" s="154">
        <v>2</v>
      </c>
      <c r="E144" s="28"/>
      <c r="F144" s="22"/>
      <c r="G144" s="22"/>
      <c r="H144" s="155">
        <v>4075.5</v>
      </c>
      <c r="I144" s="22">
        <f t="shared" si="84"/>
        <v>8151</v>
      </c>
      <c r="J144" s="22">
        <f t="shared" si="85"/>
        <v>9781.2000000000007</v>
      </c>
      <c r="K144" s="23">
        <f t="shared" si="83"/>
        <v>8151</v>
      </c>
      <c r="L144" s="22">
        <f t="shared" si="83"/>
        <v>9781.2000000000007</v>
      </c>
      <c r="M144" s="37"/>
    </row>
    <row r="145" spans="1:13" ht="18.75" customHeight="1" x14ac:dyDescent="0.25">
      <c r="A145" s="38" t="s">
        <v>417</v>
      </c>
      <c r="B145" s="153" t="s">
        <v>237</v>
      </c>
      <c r="C145" s="116" t="s">
        <v>38</v>
      </c>
      <c r="D145" s="154">
        <v>1</v>
      </c>
      <c r="E145" s="28"/>
      <c r="F145" s="22"/>
      <c r="G145" s="22"/>
      <c r="H145" s="155">
        <v>10815.75</v>
      </c>
      <c r="I145" s="22">
        <f t="shared" si="84"/>
        <v>10815.75</v>
      </c>
      <c r="J145" s="22">
        <f t="shared" si="85"/>
        <v>12978.9</v>
      </c>
      <c r="K145" s="23">
        <f t="shared" si="83"/>
        <v>10815.75</v>
      </c>
      <c r="L145" s="22">
        <f t="shared" si="83"/>
        <v>12978.9</v>
      </c>
      <c r="M145" s="37"/>
    </row>
    <row r="146" spans="1:13" ht="18.75" customHeight="1" x14ac:dyDescent="0.25">
      <c r="A146" s="38" t="s">
        <v>420</v>
      </c>
      <c r="B146" s="153" t="s">
        <v>418</v>
      </c>
      <c r="C146" s="116" t="s">
        <v>38</v>
      </c>
      <c r="D146" s="154">
        <v>1</v>
      </c>
      <c r="E146" s="21"/>
      <c r="F146" s="22"/>
      <c r="G146" s="22"/>
      <c r="H146" s="155">
        <v>1657.75</v>
      </c>
      <c r="I146" s="22">
        <f t="shared" si="84"/>
        <v>1657.75</v>
      </c>
      <c r="J146" s="22">
        <f t="shared" si="85"/>
        <v>1989.3</v>
      </c>
      <c r="K146" s="23">
        <f t="shared" si="83"/>
        <v>1657.75</v>
      </c>
      <c r="L146" s="22">
        <f t="shared" si="83"/>
        <v>1989.3</v>
      </c>
      <c r="M146" s="37"/>
    </row>
    <row r="147" spans="1:13" ht="18.75" customHeight="1" x14ac:dyDescent="0.25">
      <c r="A147" s="38" t="s">
        <v>421</v>
      </c>
      <c r="B147" s="153" t="s">
        <v>419</v>
      </c>
      <c r="C147" s="116" t="s">
        <v>38</v>
      </c>
      <c r="D147" s="200">
        <v>1</v>
      </c>
      <c r="E147" s="28"/>
      <c r="F147" s="22"/>
      <c r="G147" s="22"/>
      <c r="H147" s="155">
        <v>10215.35</v>
      </c>
      <c r="I147" s="22">
        <f>ROUND(H147*D147,2)</f>
        <v>10215.35</v>
      </c>
      <c r="J147" s="22">
        <f>ROUND(I147*1.2,2)</f>
        <v>12258.42</v>
      </c>
      <c r="K147" s="23">
        <f t="shared" si="83"/>
        <v>10215.35</v>
      </c>
      <c r="L147" s="22">
        <f t="shared" si="83"/>
        <v>12258.42</v>
      </c>
      <c r="M147" s="37"/>
    </row>
    <row r="148" spans="1:13" ht="18.75" customHeight="1" x14ac:dyDescent="0.25">
      <c r="A148" s="38" t="s">
        <v>422</v>
      </c>
      <c r="B148" s="153" t="s">
        <v>211</v>
      </c>
      <c r="C148" s="116" t="s">
        <v>38</v>
      </c>
      <c r="D148" s="154">
        <v>2</v>
      </c>
      <c r="E148" s="28"/>
      <c r="F148" s="22"/>
      <c r="G148" s="22"/>
      <c r="H148" s="202">
        <v>3136</v>
      </c>
      <c r="I148" s="22">
        <f t="shared" si="84"/>
        <v>6272</v>
      </c>
      <c r="J148" s="22">
        <f t="shared" si="85"/>
        <v>7526.4</v>
      </c>
      <c r="K148" s="23">
        <f t="shared" si="83"/>
        <v>6272</v>
      </c>
      <c r="L148" s="22">
        <f t="shared" si="83"/>
        <v>7526.4</v>
      </c>
      <c r="M148" s="37" t="s">
        <v>435</v>
      </c>
    </row>
    <row r="149" spans="1:13" ht="18.75" customHeight="1" x14ac:dyDescent="0.25">
      <c r="A149" s="38" t="s">
        <v>423</v>
      </c>
      <c r="B149" s="153" t="s">
        <v>238</v>
      </c>
      <c r="C149" s="116" t="s">
        <v>38</v>
      </c>
      <c r="D149" s="154">
        <v>1</v>
      </c>
      <c r="E149" s="28"/>
      <c r="F149" s="22"/>
      <c r="G149" s="22"/>
      <c r="H149" s="202">
        <v>1379.4</v>
      </c>
      <c r="I149" s="22">
        <f t="shared" si="84"/>
        <v>1379.4</v>
      </c>
      <c r="J149" s="22">
        <f t="shared" si="85"/>
        <v>1655.28</v>
      </c>
      <c r="K149" s="23">
        <f t="shared" si="83"/>
        <v>1379.4</v>
      </c>
      <c r="L149" s="22">
        <f t="shared" si="83"/>
        <v>1655.28</v>
      </c>
      <c r="M149" s="37"/>
    </row>
    <row r="150" spans="1:13" ht="18.75" customHeight="1" x14ac:dyDescent="0.25">
      <c r="A150" s="38" t="s">
        <v>424</v>
      </c>
      <c r="B150" s="153" t="s">
        <v>248</v>
      </c>
      <c r="C150" s="116" t="s">
        <v>38</v>
      </c>
      <c r="D150" s="154">
        <v>1</v>
      </c>
      <c r="E150" s="28"/>
      <c r="F150" s="22"/>
      <c r="G150" s="22"/>
      <c r="H150" s="202">
        <v>754.45</v>
      </c>
      <c r="I150" s="22">
        <f t="shared" si="84"/>
        <v>754.45</v>
      </c>
      <c r="J150" s="22">
        <f t="shared" si="85"/>
        <v>905.34</v>
      </c>
      <c r="K150" s="23">
        <f t="shared" si="83"/>
        <v>754.45</v>
      </c>
      <c r="L150" s="22">
        <f t="shared" si="83"/>
        <v>905.34</v>
      </c>
      <c r="M150" s="37"/>
    </row>
    <row r="151" spans="1:13" ht="18.75" customHeight="1" x14ac:dyDescent="0.25">
      <c r="A151" s="38" t="s">
        <v>425</v>
      </c>
      <c r="B151" s="153" t="s">
        <v>243</v>
      </c>
      <c r="C151" s="116" t="s">
        <v>38</v>
      </c>
      <c r="D151" s="154">
        <v>4</v>
      </c>
      <c r="E151" s="28"/>
      <c r="F151" s="22"/>
      <c r="G151" s="22"/>
      <c r="H151" s="202">
        <v>3400</v>
      </c>
      <c r="I151" s="22">
        <f t="shared" si="84"/>
        <v>13600</v>
      </c>
      <c r="J151" s="22">
        <f t="shared" si="85"/>
        <v>16320</v>
      </c>
      <c r="K151" s="23">
        <f t="shared" si="83"/>
        <v>13600</v>
      </c>
      <c r="L151" s="22">
        <f t="shared" si="83"/>
        <v>16320</v>
      </c>
      <c r="M151" s="37" t="s">
        <v>435</v>
      </c>
    </row>
    <row r="152" spans="1:13" ht="18.75" customHeight="1" x14ac:dyDescent="0.25">
      <c r="A152" s="38" t="s">
        <v>426</v>
      </c>
      <c r="B152" s="153" t="s">
        <v>221</v>
      </c>
      <c r="C152" s="116" t="s">
        <v>38</v>
      </c>
      <c r="D152" s="154">
        <v>3</v>
      </c>
      <c r="E152" s="28"/>
      <c r="F152" s="22"/>
      <c r="G152" s="22"/>
      <c r="H152" s="155">
        <v>14421</v>
      </c>
      <c r="I152" s="22">
        <f t="shared" si="84"/>
        <v>43263</v>
      </c>
      <c r="J152" s="22">
        <f t="shared" si="85"/>
        <v>51915.6</v>
      </c>
      <c r="K152" s="23">
        <f t="shared" si="83"/>
        <v>43263</v>
      </c>
      <c r="L152" s="22">
        <f t="shared" si="83"/>
        <v>51915.6</v>
      </c>
      <c r="M152" s="37"/>
    </row>
    <row r="153" spans="1:13" ht="18" customHeight="1" x14ac:dyDescent="0.25">
      <c r="A153" s="212">
        <f>A142+1</f>
        <v>45681</v>
      </c>
      <c r="B153" s="213" t="s">
        <v>267</v>
      </c>
      <c r="C153" s="212" t="s">
        <v>13</v>
      </c>
      <c r="D153" s="251">
        <v>0.55000000000000004</v>
      </c>
      <c r="E153" s="215">
        <v>6459.05</v>
      </c>
      <c r="F153" s="216">
        <f t="shared" ref="F153" si="86">ROUND(E153*D153,2)</f>
        <v>3552.48</v>
      </c>
      <c r="G153" s="216">
        <f t="shared" ref="G153" si="87">ROUND(F153*1.2,2)</f>
        <v>4262.9799999999996</v>
      </c>
      <c r="H153" s="217"/>
      <c r="I153" s="216"/>
      <c r="J153" s="216"/>
      <c r="K153" s="218">
        <f t="shared" si="83"/>
        <v>3552.48</v>
      </c>
      <c r="L153" s="219">
        <f t="shared" si="83"/>
        <v>4262.9799999999996</v>
      </c>
    </row>
    <row r="154" spans="1:13" ht="18" customHeight="1" x14ac:dyDescent="0.25">
      <c r="A154" s="67" t="s">
        <v>104</v>
      </c>
      <c r="B154" s="68" t="s">
        <v>67</v>
      </c>
      <c r="C154" s="67" t="s">
        <v>38</v>
      </c>
      <c r="D154" s="201">
        <f>453*D153</f>
        <v>249.15000000000003</v>
      </c>
      <c r="E154" s="28"/>
      <c r="F154" s="22"/>
      <c r="G154" s="22"/>
      <c r="H154" s="28">
        <v>24</v>
      </c>
      <c r="I154" s="22">
        <f>ROUND(H154*D154,2)</f>
        <v>5979.6</v>
      </c>
      <c r="J154" s="22">
        <f t="shared" ref="J154" si="88">ROUND(I154*1.2,2)</f>
        <v>7175.52</v>
      </c>
      <c r="K154" s="23">
        <f t="shared" si="83"/>
        <v>5979.6</v>
      </c>
      <c r="L154" s="24">
        <f t="shared" si="83"/>
        <v>7175.52</v>
      </c>
    </row>
    <row r="155" spans="1:13" ht="27.75" customHeight="1" x14ac:dyDescent="0.25">
      <c r="A155" s="228">
        <f>A153+1</f>
        <v>45682</v>
      </c>
      <c r="B155" s="220" t="s">
        <v>265</v>
      </c>
      <c r="C155" s="228" t="s">
        <v>44</v>
      </c>
      <c r="D155" s="252">
        <v>21.385000000000002</v>
      </c>
      <c r="E155" s="215">
        <v>144.4</v>
      </c>
      <c r="F155" s="216">
        <f>ROUND(E155*D155,2)</f>
        <v>3087.99</v>
      </c>
      <c r="G155" s="216">
        <f t="shared" ref="G155" si="89">ROUND(F155*1.2,2)</f>
        <v>3705.59</v>
      </c>
      <c r="H155" s="215"/>
      <c r="I155" s="216"/>
      <c r="J155" s="216"/>
      <c r="K155" s="215">
        <f t="shared" si="83"/>
        <v>3087.99</v>
      </c>
      <c r="L155" s="227">
        <f t="shared" si="83"/>
        <v>3705.59</v>
      </c>
      <c r="M155" s="66"/>
    </row>
    <row r="156" spans="1:13" ht="17.25" customHeight="1" x14ac:dyDescent="0.25">
      <c r="A156" s="38" t="s">
        <v>427</v>
      </c>
      <c r="B156" s="153" t="s">
        <v>208</v>
      </c>
      <c r="C156" s="116" t="s">
        <v>209</v>
      </c>
      <c r="D156" s="156">
        <f>D155*0.3*20/16</f>
        <v>8.0193750000000001</v>
      </c>
      <c r="E156" s="28"/>
      <c r="F156" s="22"/>
      <c r="G156" s="22"/>
      <c r="H156" s="155">
        <v>237.5</v>
      </c>
      <c r="I156" s="22">
        <f>ROUND(H156*D156,2)</f>
        <v>1904.6</v>
      </c>
      <c r="J156" s="22">
        <f t="shared" ref="J156" si="90">ROUND(I156*1.2,2)</f>
        <v>2285.52</v>
      </c>
      <c r="K156" s="23">
        <f t="shared" si="83"/>
        <v>1904.6</v>
      </c>
      <c r="L156" s="22">
        <f t="shared" si="83"/>
        <v>2285.52</v>
      </c>
      <c r="M156" s="66"/>
    </row>
    <row r="157" spans="1:13" ht="28.5" customHeight="1" x14ac:dyDescent="0.25">
      <c r="A157" s="228">
        <f>A155+1</f>
        <v>45683</v>
      </c>
      <c r="B157" s="220" t="s">
        <v>266</v>
      </c>
      <c r="C157" s="228" t="s">
        <v>44</v>
      </c>
      <c r="D157" s="252">
        <v>21.385000000000002</v>
      </c>
      <c r="E157" s="215">
        <v>299.76</v>
      </c>
      <c r="F157" s="216">
        <f>ROUND(E157*D157,2)</f>
        <v>6410.37</v>
      </c>
      <c r="G157" s="216">
        <f t="shared" ref="G157" si="91">ROUND(F157*1.2,2)</f>
        <v>7692.44</v>
      </c>
      <c r="H157" s="215"/>
      <c r="I157" s="216"/>
      <c r="J157" s="216"/>
      <c r="K157" s="215">
        <f t="shared" si="83"/>
        <v>6410.37</v>
      </c>
      <c r="L157" s="227">
        <f t="shared" si="83"/>
        <v>7692.44</v>
      </c>
      <c r="M157" s="66"/>
    </row>
    <row r="158" spans="1:13" x14ac:dyDescent="0.25">
      <c r="A158" s="38" t="s">
        <v>191</v>
      </c>
      <c r="B158" s="153" t="s">
        <v>210</v>
      </c>
      <c r="C158" s="116" t="s">
        <v>61</v>
      </c>
      <c r="D158" s="117">
        <f>D157*2.5*2</f>
        <v>106.92500000000001</v>
      </c>
      <c r="E158" s="28"/>
      <c r="F158" s="22"/>
      <c r="G158" s="22"/>
      <c r="H158" s="155">
        <v>296.39999999999998</v>
      </c>
      <c r="I158" s="22">
        <f t="shared" ref="I158" si="92">ROUND(H158*D158,2)</f>
        <v>31692.57</v>
      </c>
      <c r="J158" s="22">
        <f t="shared" ref="J158" si="93">ROUND(I158*1.2,2)</f>
        <v>38031.08</v>
      </c>
      <c r="K158" s="28">
        <f t="shared" si="83"/>
        <v>31692.57</v>
      </c>
      <c r="L158" s="137">
        <f t="shared" si="83"/>
        <v>38031.08</v>
      </c>
      <c r="M158" s="66"/>
    </row>
    <row r="159" spans="1:13" ht="18" customHeight="1" x14ac:dyDescent="0.25">
      <c r="A159" s="134"/>
      <c r="B159" s="290" t="s">
        <v>169</v>
      </c>
      <c r="C159" s="134"/>
      <c r="D159" s="291"/>
      <c r="E159" s="25"/>
      <c r="F159" s="30"/>
      <c r="G159" s="30"/>
      <c r="H159" s="27"/>
      <c r="I159" s="30"/>
      <c r="J159" s="30"/>
      <c r="K159" s="31"/>
      <c r="L159" s="32"/>
    </row>
    <row r="160" spans="1:13" ht="18" customHeight="1" x14ac:dyDescent="0.25">
      <c r="A160" s="212">
        <f>A157+1</f>
        <v>45684</v>
      </c>
      <c r="B160" s="213" t="s">
        <v>170</v>
      </c>
      <c r="C160" s="212" t="s">
        <v>17</v>
      </c>
      <c r="D160" s="253">
        <v>9.65</v>
      </c>
      <c r="E160" s="227">
        <v>431.37</v>
      </c>
      <c r="F160" s="216">
        <f t="shared" ref="F160" si="94">ROUND(E160*D160,2)</f>
        <v>4162.72</v>
      </c>
      <c r="G160" s="216">
        <f t="shared" ref="G160" si="95">ROUND(F160*1.2,2)</f>
        <v>4995.26</v>
      </c>
      <c r="H160" s="217"/>
      <c r="I160" s="216"/>
      <c r="J160" s="216"/>
      <c r="K160" s="218">
        <f t="shared" ref="K160:L160" si="96">F160+I160</f>
        <v>4162.72</v>
      </c>
      <c r="L160" s="219">
        <f t="shared" si="96"/>
        <v>4995.26</v>
      </c>
      <c r="M160" s="66" t="s">
        <v>434</v>
      </c>
    </row>
    <row r="161" spans="1:12" ht="21.75" customHeight="1" x14ac:dyDescent="0.25">
      <c r="A161" s="308" t="s">
        <v>14</v>
      </c>
      <c r="B161" s="309"/>
      <c r="C161" s="309"/>
      <c r="D161" s="309"/>
      <c r="E161" s="310"/>
      <c r="F161" s="42">
        <f>SUM(F8:F160)</f>
        <v>28428730.090000004</v>
      </c>
      <c r="G161" s="40">
        <f>ROUND(F161*1.2,2)</f>
        <v>34114476.109999999</v>
      </c>
      <c r="H161" s="43"/>
      <c r="I161" s="42">
        <f>SUM(I8:I160)</f>
        <v>29857662.54000001</v>
      </c>
      <c r="J161" s="40">
        <f>ROUND(I161*1.2,2)</f>
        <v>35829195.049999997</v>
      </c>
      <c r="K161" s="42">
        <f>SUM(K8:K160)</f>
        <v>58286392.629999988</v>
      </c>
      <c r="L161" s="40">
        <f>ROUND(K161*1.2,2)</f>
        <v>69943671.159999996</v>
      </c>
    </row>
    <row r="163" spans="1:12" x14ac:dyDescent="0.25">
      <c r="B163" s="261" t="s">
        <v>441</v>
      </c>
    </row>
    <row r="164" spans="1:12" x14ac:dyDescent="0.25">
      <c r="B164" s="262" t="s">
        <v>442</v>
      </c>
    </row>
  </sheetData>
  <mergeCells count="19">
    <mergeCell ref="M129:M137"/>
    <mergeCell ref="H129:H137"/>
    <mergeCell ref="I129:I137"/>
    <mergeCell ref="J129:J137"/>
    <mergeCell ref="K129:K137"/>
    <mergeCell ref="L129:L137"/>
    <mergeCell ref="B6:D6"/>
    <mergeCell ref="A161:E161"/>
    <mergeCell ref="E129:E137"/>
    <mergeCell ref="F129:F137"/>
    <mergeCell ref="G129:G1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426-1FA7-4BFF-95E4-FAF4AEE878F9}">
  <sheetPr>
    <tabColor theme="9" tint="0.59999389629810485"/>
  </sheetPr>
  <dimension ref="A1:M265"/>
  <sheetViews>
    <sheetView view="pageBreakPreview" topLeftCell="A79" zoomScale="80" zoomScaleNormal="100" zoomScaleSheetLayoutView="80" workbookViewId="0">
      <selection activeCell="A94" sqref="A94:XFD9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295" t="s">
        <v>0</v>
      </c>
      <c r="B1" s="298" t="s">
        <v>1</v>
      </c>
      <c r="C1" s="301" t="s">
        <v>2</v>
      </c>
      <c r="D1" s="301" t="s">
        <v>3</v>
      </c>
      <c r="E1" s="302" t="s">
        <v>4</v>
      </c>
      <c r="F1" s="303"/>
      <c r="G1" s="303"/>
      <c r="H1" s="303"/>
      <c r="I1" s="303"/>
      <c r="J1" s="303"/>
      <c r="K1" s="303"/>
      <c r="L1" s="303"/>
    </row>
    <row r="2" spans="1:13" ht="14.45" customHeight="1" x14ac:dyDescent="0.25">
      <c r="A2" s="296"/>
      <c r="B2" s="299"/>
      <c r="C2" s="301"/>
      <c r="D2" s="301"/>
      <c r="E2" s="304"/>
      <c r="F2" s="305"/>
      <c r="G2" s="305"/>
      <c r="H2" s="305"/>
      <c r="I2" s="305"/>
      <c r="J2" s="305"/>
      <c r="K2" s="305"/>
      <c r="L2" s="305"/>
    </row>
    <row r="3" spans="1:13" ht="27.75" customHeight="1" x14ac:dyDescent="0.25">
      <c r="A3" s="296"/>
      <c r="B3" s="299"/>
      <c r="C3" s="301"/>
      <c r="D3" s="301"/>
      <c r="E3" s="301" t="s">
        <v>5</v>
      </c>
      <c r="F3" s="301"/>
      <c r="G3" s="301"/>
      <c r="H3" s="301" t="s">
        <v>6</v>
      </c>
      <c r="I3" s="301"/>
      <c r="J3" s="301"/>
      <c r="K3" s="292" t="s">
        <v>7</v>
      </c>
      <c r="L3" s="292"/>
    </row>
    <row r="4" spans="1:13" ht="56.1" customHeight="1" x14ac:dyDescent="0.25">
      <c r="A4" s="297"/>
      <c r="B4" s="300"/>
      <c r="C4" s="301"/>
      <c r="D4" s="301"/>
      <c r="E4" s="197" t="s">
        <v>8</v>
      </c>
      <c r="F4" s="197" t="s">
        <v>9</v>
      </c>
      <c r="G4" s="1" t="s">
        <v>10</v>
      </c>
      <c r="H4" s="197" t="s">
        <v>8</v>
      </c>
      <c r="I4" s="197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306" t="s">
        <v>25</v>
      </c>
      <c r="C6" s="307"/>
      <c r="D6" s="307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81" t="s">
        <v>53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25">
      <c r="A8" s="11">
        <f>A7+1</f>
        <v>1</v>
      </c>
      <c r="B8" s="110" t="s">
        <v>322</v>
      </c>
      <c r="C8" s="90" t="s">
        <v>15</v>
      </c>
      <c r="D8" s="111">
        <v>137.91999999999999</v>
      </c>
      <c r="E8" s="129">
        <v>1900</v>
      </c>
      <c r="F8" s="14">
        <f t="shared" ref="F8:F21" si="0">ROUND(E8*D8,2)</f>
        <v>262048</v>
      </c>
      <c r="G8" s="14">
        <f t="shared" ref="G8:G21" si="1">ROUND(F8*1.2,2)</f>
        <v>314457.59999999998</v>
      </c>
      <c r="H8" s="18"/>
      <c r="I8" s="16"/>
      <c r="J8" s="16"/>
      <c r="K8" s="13">
        <f t="shared" ref="K8:L21" si="2">F8+I8</f>
        <v>262048</v>
      </c>
      <c r="L8" s="14">
        <f t="shared" si="2"/>
        <v>314457.59999999998</v>
      </c>
      <c r="M8" s="151"/>
    </row>
    <row r="9" spans="1:13" ht="18.75" customHeight="1" x14ac:dyDescent="0.25">
      <c r="A9" s="36">
        <f t="shared" ref="A9" si="3">A8+1</f>
        <v>2</v>
      </c>
      <c r="B9" s="35" t="s">
        <v>346</v>
      </c>
      <c r="C9" s="36" t="s">
        <v>38</v>
      </c>
      <c r="D9" s="128">
        <v>297</v>
      </c>
      <c r="E9" s="25">
        <v>1055.02</v>
      </c>
      <c r="F9" s="30">
        <f t="shared" si="0"/>
        <v>313340.94</v>
      </c>
      <c r="G9" s="30">
        <f t="shared" si="1"/>
        <v>376009.13</v>
      </c>
      <c r="H9" s="27"/>
      <c r="I9" s="30"/>
      <c r="J9" s="30"/>
      <c r="K9" s="31">
        <f t="shared" si="2"/>
        <v>313340.94</v>
      </c>
      <c r="L9" s="32">
        <f t="shared" si="2"/>
        <v>376009.13</v>
      </c>
    </row>
    <row r="10" spans="1:13" ht="18.75" customHeight="1" x14ac:dyDescent="0.25">
      <c r="A10" s="36">
        <f>A8+1</f>
        <v>2</v>
      </c>
      <c r="B10" s="110" t="s">
        <v>160</v>
      </c>
      <c r="C10" s="36" t="s">
        <v>13</v>
      </c>
      <c r="D10" s="96"/>
      <c r="E10" s="25">
        <v>4380.38</v>
      </c>
      <c r="F10" s="30">
        <f t="shared" si="0"/>
        <v>0</v>
      </c>
      <c r="G10" s="30">
        <f t="shared" si="1"/>
        <v>0</v>
      </c>
      <c r="H10" s="27"/>
      <c r="I10" s="30"/>
      <c r="J10" s="30"/>
      <c r="K10" s="31">
        <f t="shared" si="2"/>
        <v>0</v>
      </c>
      <c r="L10" s="32">
        <f t="shared" si="2"/>
        <v>0</v>
      </c>
    </row>
    <row r="11" spans="1:13" ht="18.75" customHeight="1" x14ac:dyDescent="0.25">
      <c r="A11" s="36">
        <f>A10+1</f>
        <v>3</v>
      </c>
      <c r="B11" s="110" t="s">
        <v>161</v>
      </c>
      <c r="C11" s="36" t="s">
        <v>13</v>
      </c>
      <c r="D11" s="96"/>
      <c r="E11" s="25">
        <v>4380.38</v>
      </c>
      <c r="F11" s="30">
        <f t="shared" si="0"/>
        <v>0</v>
      </c>
      <c r="G11" s="30">
        <f t="shared" si="1"/>
        <v>0</v>
      </c>
      <c r="H11" s="27"/>
      <c r="I11" s="30"/>
      <c r="J11" s="30"/>
      <c r="K11" s="31">
        <f t="shared" si="2"/>
        <v>0</v>
      </c>
      <c r="L11" s="32">
        <f t="shared" si="2"/>
        <v>0</v>
      </c>
    </row>
    <row r="12" spans="1:13" ht="18.75" customHeight="1" x14ac:dyDescent="0.25">
      <c r="A12" s="36">
        <f>A11+1</f>
        <v>4</v>
      </c>
      <c r="B12" s="110" t="s">
        <v>162</v>
      </c>
      <c r="C12" s="36" t="s">
        <v>13</v>
      </c>
      <c r="D12" s="96"/>
      <c r="E12" s="25">
        <v>4380.38</v>
      </c>
      <c r="F12" s="30">
        <f t="shared" si="0"/>
        <v>0</v>
      </c>
      <c r="G12" s="30">
        <f t="shared" si="1"/>
        <v>0</v>
      </c>
      <c r="H12" s="27"/>
      <c r="I12" s="30"/>
      <c r="J12" s="30"/>
      <c r="K12" s="31">
        <f t="shared" si="2"/>
        <v>0</v>
      </c>
      <c r="L12" s="32">
        <f t="shared" si="2"/>
        <v>0</v>
      </c>
    </row>
    <row r="13" spans="1:13" ht="18.75" customHeight="1" x14ac:dyDescent="0.25">
      <c r="A13" s="36">
        <f t="shared" ref="A13:A21" si="4">A12+1</f>
        <v>5</v>
      </c>
      <c r="B13" s="35" t="s">
        <v>105</v>
      </c>
      <c r="C13" s="36" t="s">
        <v>13</v>
      </c>
      <c r="D13" s="96"/>
      <c r="E13" s="25">
        <v>1440.52</v>
      </c>
      <c r="F13" s="30">
        <f t="shared" si="0"/>
        <v>0</v>
      </c>
      <c r="G13" s="30">
        <f t="shared" si="1"/>
        <v>0</v>
      </c>
      <c r="H13" s="27"/>
      <c r="I13" s="30"/>
      <c r="J13" s="30"/>
      <c r="K13" s="31">
        <f t="shared" si="2"/>
        <v>0</v>
      </c>
      <c r="L13" s="32">
        <f t="shared" si="2"/>
        <v>0</v>
      </c>
    </row>
    <row r="14" spans="1:13" ht="18.75" customHeight="1" x14ac:dyDescent="0.25">
      <c r="A14" s="36">
        <f t="shared" si="4"/>
        <v>6</v>
      </c>
      <c r="B14" s="35" t="s">
        <v>163</v>
      </c>
      <c r="C14" s="36" t="s">
        <v>13</v>
      </c>
      <c r="D14" s="96"/>
      <c r="E14" s="25">
        <v>1440.52</v>
      </c>
      <c r="F14" s="30">
        <f t="shared" si="0"/>
        <v>0</v>
      </c>
      <c r="G14" s="30">
        <f t="shared" si="1"/>
        <v>0</v>
      </c>
      <c r="H14" s="27"/>
      <c r="I14" s="30"/>
      <c r="J14" s="30"/>
      <c r="K14" s="31">
        <f t="shared" si="2"/>
        <v>0</v>
      </c>
      <c r="L14" s="32">
        <f t="shared" si="2"/>
        <v>0</v>
      </c>
    </row>
    <row r="15" spans="1:13" ht="18.75" customHeight="1" x14ac:dyDescent="0.25">
      <c r="A15" s="36">
        <f t="shared" si="4"/>
        <v>7</v>
      </c>
      <c r="B15" s="35" t="s">
        <v>163</v>
      </c>
      <c r="C15" s="36" t="s">
        <v>13</v>
      </c>
      <c r="D15" s="96"/>
      <c r="E15" s="25">
        <v>1440.52</v>
      </c>
      <c r="F15" s="30">
        <f t="shared" si="0"/>
        <v>0</v>
      </c>
      <c r="G15" s="30">
        <f t="shared" si="1"/>
        <v>0</v>
      </c>
      <c r="H15" s="27"/>
      <c r="I15" s="30"/>
      <c r="J15" s="30"/>
      <c r="K15" s="31">
        <f t="shared" si="2"/>
        <v>0</v>
      </c>
      <c r="L15" s="32">
        <f t="shared" si="2"/>
        <v>0</v>
      </c>
    </row>
    <row r="16" spans="1:13" ht="18.75" customHeight="1" x14ac:dyDescent="0.25">
      <c r="A16" s="36">
        <f t="shared" si="4"/>
        <v>8</v>
      </c>
      <c r="B16" s="35" t="s">
        <v>71</v>
      </c>
      <c r="C16" s="36" t="s">
        <v>13</v>
      </c>
      <c r="D16" s="96"/>
      <c r="E16" s="69">
        <v>308.75</v>
      </c>
      <c r="F16" s="30">
        <f t="shared" si="0"/>
        <v>0</v>
      </c>
      <c r="G16" s="30">
        <f t="shared" si="1"/>
        <v>0</v>
      </c>
      <c r="H16" s="27"/>
      <c r="I16" s="30"/>
      <c r="J16" s="30"/>
      <c r="K16" s="31">
        <f t="shared" si="2"/>
        <v>0</v>
      </c>
      <c r="L16" s="32">
        <f t="shared" si="2"/>
        <v>0</v>
      </c>
      <c r="M16" s="127" t="s">
        <v>165</v>
      </c>
    </row>
    <row r="17" spans="1:13" ht="21.75" customHeight="1" x14ac:dyDescent="0.25">
      <c r="A17" s="36">
        <f t="shared" si="4"/>
        <v>9</v>
      </c>
      <c r="B17" s="122" t="s">
        <v>164</v>
      </c>
      <c r="C17" s="123" t="s">
        <v>13</v>
      </c>
      <c r="D17" s="126">
        <v>1387</v>
      </c>
      <c r="E17" s="18">
        <v>308.75</v>
      </c>
      <c r="F17" s="14">
        <f t="shared" si="0"/>
        <v>428236.25</v>
      </c>
      <c r="G17" s="14">
        <f t="shared" si="1"/>
        <v>513883.5</v>
      </c>
      <c r="H17" s="112"/>
      <c r="I17" s="113"/>
      <c r="J17" s="113"/>
      <c r="K17" s="18">
        <f t="shared" si="2"/>
        <v>428236.25</v>
      </c>
      <c r="L17" s="93">
        <f t="shared" si="2"/>
        <v>513883.5</v>
      </c>
      <c r="M17" s="114"/>
    </row>
    <row r="18" spans="1:13" ht="18.75" customHeight="1" x14ac:dyDescent="0.25">
      <c r="A18" s="36">
        <f t="shared" si="4"/>
        <v>10</v>
      </c>
      <c r="B18" s="35" t="s">
        <v>54</v>
      </c>
      <c r="C18" s="36" t="s">
        <v>38</v>
      </c>
      <c r="D18" s="128">
        <v>415</v>
      </c>
      <c r="E18" s="25">
        <v>1055.02</v>
      </c>
      <c r="F18" s="30">
        <f t="shared" si="0"/>
        <v>437833.3</v>
      </c>
      <c r="G18" s="30">
        <f t="shared" si="1"/>
        <v>525399.96</v>
      </c>
      <c r="H18" s="27"/>
      <c r="I18" s="30"/>
      <c r="J18" s="30"/>
      <c r="K18" s="31">
        <f t="shared" si="2"/>
        <v>437833.3</v>
      </c>
      <c r="L18" s="32">
        <f t="shared" si="2"/>
        <v>525399.96</v>
      </c>
    </row>
    <row r="19" spans="1:13" ht="32.25" customHeight="1" x14ac:dyDescent="0.25">
      <c r="A19" s="36">
        <f t="shared" si="4"/>
        <v>11</v>
      </c>
      <c r="B19" s="35" t="s">
        <v>166</v>
      </c>
      <c r="C19" s="123" t="s">
        <v>13</v>
      </c>
      <c r="D19" s="131">
        <v>17.02</v>
      </c>
      <c r="E19" s="69">
        <v>4380.38</v>
      </c>
      <c r="F19" s="30">
        <f t="shared" si="0"/>
        <v>74554.070000000007</v>
      </c>
      <c r="G19" s="30">
        <f t="shared" si="1"/>
        <v>89464.88</v>
      </c>
      <c r="H19" s="27"/>
      <c r="I19" s="30"/>
      <c r="J19" s="30"/>
      <c r="K19" s="31">
        <f t="shared" si="2"/>
        <v>74554.070000000007</v>
      </c>
      <c r="L19" s="32">
        <f t="shared" si="2"/>
        <v>89464.88</v>
      </c>
    </row>
    <row r="20" spans="1:13" ht="34.5" customHeight="1" x14ac:dyDescent="0.25">
      <c r="A20" s="36">
        <f t="shared" si="4"/>
        <v>12</v>
      </c>
      <c r="B20" s="35" t="s">
        <v>167</v>
      </c>
      <c r="C20" s="123" t="s">
        <v>13</v>
      </c>
      <c r="D20" s="131">
        <v>84.38</v>
      </c>
      <c r="E20" s="130">
        <f>3982.45/(3*1.75*0.17)</f>
        <v>4462.1288515406159</v>
      </c>
      <c r="F20" s="30">
        <f t="shared" si="0"/>
        <v>376514.43</v>
      </c>
      <c r="G20" s="30">
        <f t="shared" si="1"/>
        <v>451817.32</v>
      </c>
      <c r="H20" s="27"/>
      <c r="I20" s="30"/>
      <c r="J20" s="30"/>
      <c r="K20" s="31">
        <f t="shared" si="2"/>
        <v>376514.43</v>
      </c>
      <c r="L20" s="32">
        <f t="shared" si="2"/>
        <v>451817.32</v>
      </c>
      <c r="M20" s="66"/>
    </row>
    <row r="21" spans="1:13" ht="20.25" customHeight="1" x14ac:dyDescent="0.25">
      <c r="A21" s="36">
        <f t="shared" si="4"/>
        <v>13</v>
      </c>
      <c r="B21" s="110" t="s">
        <v>168</v>
      </c>
      <c r="C21" s="123" t="s">
        <v>13</v>
      </c>
      <c r="D21" s="111">
        <v>20.41</v>
      </c>
      <c r="E21" s="130">
        <f>3982.45/(3*1.75*0.17)</f>
        <v>4462.1288515406159</v>
      </c>
      <c r="F21" s="14">
        <f t="shared" si="0"/>
        <v>91072.05</v>
      </c>
      <c r="G21" s="14">
        <f t="shared" si="1"/>
        <v>109286.46</v>
      </c>
      <c r="H21" s="15"/>
      <c r="I21" s="16"/>
      <c r="J21" s="16"/>
      <c r="K21" s="13">
        <f t="shared" si="2"/>
        <v>91072.05</v>
      </c>
      <c r="L21" s="14">
        <f t="shared" si="2"/>
        <v>109286.46</v>
      </c>
      <c r="M21" s="66"/>
    </row>
    <row r="22" spans="1:13" ht="20.25" customHeight="1" x14ac:dyDescent="0.25">
      <c r="A22" s="36"/>
      <c r="B22" s="132" t="s">
        <v>169</v>
      </c>
      <c r="C22" s="123"/>
      <c r="D22" s="111"/>
      <c r="E22" s="130"/>
      <c r="F22" s="14"/>
      <c r="G22" s="14"/>
      <c r="H22" s="15"/>
      <c r="I22" s="16"/>
      <c r="J22" s="16"/>
      <c r="K22" s="13"/>
      <c r="L22" s="17"/>
      <c r="M22" s="66"/>
    </row>
    <row r="23" spans="1:13" ht="18.75" customHeight="1" x14ac:dyDescent="0.25">
      <c r="A23" s="36">
        <f>A21+1</f>
        <v>14</v>
      </c>
      <c r="B23" s="35" t="s">
        <v>170</v>
      </c>
      <c r="C23" s="36" t="s">
        <v>17</v>
      </c>
      <c r="D23" s="31">
        <v>5982.21</v>
      </c>
      <c r="E23" s="25">
        <v>544.86</v>
      </c>
      <c r="F23" s="30">
        <f t="shared" ref="F23:F24" si="5">ROUND(E23*D23,2)</f>
        <v>3259466.94</v>
      </c>
      <c r="G23" s="30">
        <f t="shared" ref="G23:G24" si="6">ROUND(F23*1.2,2)</f>
        <v>3911360.33</v>
      </c>
      <c r="H23" s="27"/>
      <c r="I23" s="30"/>
      <c r="J23" s="30"/>
      <c r="K23" s="31">
        <f t="shared" ref="K23:L24" si="7">F23+I23</f>
        <v>3259466.94</v>
      </c>
      <c r="L23" s="32">
        <f t="shared" si="7"/>
        <v>3911360.33</v>
      </c>
      <c r="M23" s="85"/>
    </row>
    <row r="24" spans="1:13" ht="18.75" customHeight="1" x14ac:dyDescent="0.25">
      <c r="A24" s="36">
        <f>A23+1</f>
        <v>15</v>
      </c>
      <c r="B24" s="35" t="s">
        <v>171</v>
      </c>
      <c r="C24" s="36" t="s">
        <v>17</v>
      </c>
      <c r="D24" s="31">
        <v>54.6</v>
      </c>
      <c r="E24" s="25">
        <v>544.86</v>
      </c>
      <c r="F24" s="30">
        <f t="shared" si="5"/>
        <v>29749.360000000001</v>
      </c>
      <c r="G24" s="30">
        <f t="shared" si="6"/>
        <v>35699.230000000003</v>
      </c>
      <c r="H24" s="27"/>
      <c r="I24" s="30"/>
      <c r="J24" s="30"/>
      <c r="K24" s="31">
        <f t="shared" si="7"/>
        <v>29749.360000000001</v>
      </c>
      <c r="L24" s="32">
        <f t="shared" si="7"/>
        <v>35699.230000000003</v>
      </c>
      <c r="M24" s="85"/>
    </row>
    <row r="25" spans="1:13" ht="18" customHeight="1" x14ac:dyDescent="0.25">
      <c r="A25" s="70"/>
      <c r="B25" s="77" t="s">
        <v>31</v>
      </c>
      <c r="C25" s="70"/>
      <c r="D25" s="78"/>
      <c r="E25" s="79"/>
      <c r="F25" s="74"/>
      <c r="G25" s="74"/>
      <c r="H25" s="75"/>
      <c r="I25" s="74"/>
      <c r="J25" s="74"/>
      <c r="K25" s="73"/>
      <c r="L25" s="76"/>
    </row>
    <row r="26" spans="1:13" ht="18.75" customHeight="1" x14ac:dyDescent="0.25">
      <c r="A26" s="11">
        <v>1</v>
      </c>
      <c r="B26" s="35" t="s">
        <v>32</v>
      </c>
      <c r="C26" s="11" t="s">
        <v>15</v>
      </c>
      <c r="D26" s="94">
        <v>520</v>
      </c>
      <c r="E26" s="18">
        <v>4236.34</v>
      </c>
      <c r="F26" s="14">
        <f t="shared" ref="F26" si="8">ROUND(E26*D26,2)</f>
        <v>2202896.7999999998</v>
      </c>
      <c r="G26" s="14">
        <f t="shared" ref="G26" si="9">ROUND(F26*1.2,2)</f>
        <v>2643476.16</v>
      </c>
      <c r="H26" s="15"/>
      <c r="I26" s="16"/>
      <c r="J26" s="16"/>
      <c r="K26" s="13">
        <f t="shared" ref="K26:L26" si="10">F26+I26</f>
        <v>2202896.7999999998</v>
      </c>
      <c r="L26" s="17">
        <f t="shared" si="10"/>
        <v>2643476.16</v>
      </c>
    </row>
    <row r="27" spans="1:13" ht="18.75" customHeight="1" x14ac:dyDescent="0.25">
      <c r="A27" s="38" t="s">
        <v>115</v>
      </c>
      <c r="B27" s="19" t="s">
        <v>34</v>
      </c>
      <c r="C27" s="20" t="s">
        <v>38</v>
      </c>
      <c r="D27" s="95">
        <v>520</v>
      </c>
      <c r="E27" s="28"/>
      <c r="F27" s="22"/>
      <c r="G27" s="22"/>
      <c r="H27" s="28">
        <v>3021.81</v>
      </c>
      <c r="I27" s="22">
        <f>ROUND(H27*D27,2)</f>
        <v>1571341.2</v>
      </c>
      <c r="J27" s="22">
        <f t="shared" ref="J27" si="11">ROUND(I27*1.2,2)</f>
        <v>1885609.44</v>
      </c>
      <c r="K27" s="23">
        <f>F27+I27</f>
        <v>1571341.2</v>
      </c>
      <c r="L27" s="24">
        <f>G27+J27</f>
        <v>1885609.44</v>
      </c>
      <c r="M27" s="63"/>
    </row>
    <row r="28" spans="1:13" ht="30.75" customHeight="1" x14ac:dyDescent="0.25">
      <c r="A28" s="36">
        <f>A26+1</f>
        <v>2</v>
      </c>
      <c r="B28" s="35" t="s">
        <v>39</v>
      </c>
      <c r="C28" s="36" t="s">
        <v>13</v>
      </c>
      <c r="D28" s="96">
        <v>41.6</v>
      </c>
      <c r="E28" s="25">
        <v>1178</v>
      </c>
      <c r="F28" s="30">
        <f t="shared" ref="F28" si="12">ROUND(E28*D28,2)</f>
        <v>49004.800000000003</v>
      </c>
      <c r="G28" s="30">
        <f t="shared" ref="G28" si="13">ROUND(F28*1.2,2)</f>
        <v>58805.760000000002</v>
      </c>
      <c r="H28" s="27"/>
      <c r="I28" s="30"/>
      <c r="J28" s="30"/>
      <c r="K28" s="31">
        <f t="shared" ref="K28:L28" si="14">F28+I28</f>
        <v>49004.800000000003</v>
      </c>
      <c r="L28" s="32">
        <f t="shared" si="14"/>
        <v>58805.760000000002</v>
      </c>
    </row>
    <row r="29" spans="1:13" ht="18.75" customHeight="1" x14ac:dyDescent="0.25">
      <c r="A29" s="38" t="s">
        <v>116</v>
      </c>
      <c r="B29" s="19" t="s">
        <v>41</v>
      </c>
      <c r="C29" s="20" t="s">
        <v>13</v>
      </c>
      <c r="D29" s="95">
        <f>ROUND(D28*1.26,2)</f>
        <v>52.42</v>
      </c>
      <c r="E29" s="21"/>
      <c r="F29" s="22"/>
      <c r="G29" s="22"/>
      <c r="H29" s="39">
        <f>2827.078</f>
        <v>2827.078</v>
      </c>
      <c r="I29" s="22">
        <f>ROUND(H29*D29,2)</f>
        <v>148195.43</v>
      </c>
      <c r="J29" s="22">
        <f t="shared" ref="J29" si="15">ROUND(I29*1.2,2)</f>
        <v>177834.52</v>
      </c>
      <c r="K29" s="23">
        <f>F29+I29</f>
        <v>148195.43</v>
      </c>
      <c r="L29" s="24">
        <f>G29+J29</f>
        <v>177834.52</v>
      </c>
    </row>
    <row r="30" spans="1:13" ht="18.75" customHeight="1" x14ac:dyDescent="0.25">
      <c r="A30" s="36">
        <f>A28+1</f>
        <v>3</v>
      </c>
      <c r="B30" s="35" t="s">
        <v>33</v>
      </c>
      <c r="C30" s="36" t="s">
        <v>15</v>
      </c>
      <c r="D30" s="96">
        <v>520</v>
      </c>
      <c r="E30" s="25">
        <v>526.29999999999995</v>
      </c>
      <c r="F30" s="30">
        <f t="shared" ref="F30" si="16">ROUND(E30*D30,2)</f>
        <v>273676</v>
      </c>
      <c r="G30" s="30">
        <f t="shared" ref="G30" si="17">ROUND(F30*1.2,2)</f>
        <v>328411.2</v>
      </c>
      <c r="H30" s="27"/>
      <c r="I30" s="30"/>
      <c r="J30" s="30"/>
      <c r="K30" s="31">
        <f t="shared" ref="K30:L34" si="18">F30+I30</f>
        <v>273676</v>
      </c>
      <c r="L30" s="32">
        <f t="shared" si="18"/>
        <v>328411.2</v>
      </c>
    </row>
    <row r="31" spans="1:13" ht="18.75" customHeight="1" x14ac:dyDescent="0.25">
      <c r="A31" s="38" t="s">
        <v>117</v>
      </c>
      <c r="B31" s="19" t="s">
        <v>35</v>
      </c>
      <c r="C31" s="20" t="s">
        <v>38</v>
      </c>
      <c r="D31" s="95">
        <v>1040</v>
      </c>
      <c r="E31" s="28"/>
      <c r="F31" s="22"/>
      <c r="G31" s="22"/>
      <c r="H31" s="28">
        <v>3285.68</v>
      </c>
      <c r="I31" s="22">
        <f>ROUND(H31*D31,2)</f>
        <v>3417107.2</v>
      </c>
      <c r="J31" s="22">
        <f t="shared" ref="J31:J33" si="19">ROUND(I31*1.2,2)</f>
        <v>4100528.64</v>
      </c>
      <c r="K31" s="23">
        <f t="shared" si="18"/>
        <v>3417107.2</v>
      </c>
      <c r="L31" s="24">
        <f t="shared" si="18"/>
        <v>4100528.64</v>
      </c>
      <c r="M31" s="63"/>
    </row>
    <row r="32" spans="1:13" ht="18.75" customHeight="1" x14ac:dyDescent="0.25">
      <c r="A32" s="38" t="s">
        <v>118</v>
      </c>
      <c r="B32" s="19" t="s">
        <v>36</v>
      </c>
      <c r="C32" s="20" t="s">
        <v>38</v>
      </c>
      <c r="D32" s="97">
        <v>2080</v>
      </c>
      <c r="E32" s="21"/>
      <c r="F32" s="22"/>
      <c r="G32" s="22"/>
      <c r="H32" s="41">
        <v>13.8</v>
      </c>
      <c r="I32" s="22">
        <f>ROUND(H32*D32,2)</f>
        <v>28704</v>
      </c>
      <c r="J32" s="22">
        <f t="shared" si="19"/>
        <v>34444.800000000003</v>
      </c>
      <c r="K32" s="23">
        <f t="shared" si="18"/>
        <v>28704</v>
      </c>
      <c r="L32" s="24">
        <f t="shared" si="18"/>
        <v>34444.800000000003</v>
      </c>
    </row>
    <row r="33" spans="1:13" ht="18.75" customHeight="1" x14ac:dyDescent="0.25">
      <c r="A33" s="38" t="s">
        <v>119</v>
      </c>
      <c r="B33" s="19" t="s">
        <v>37</v>
      </c>
      <c r="C33" s="20" t="s">
        <v>38</v>
      </c>
      <c r="D33" s="97">
        <v>2080</v>
      </c>
      <c r="E33" s="21"/>
      <c r="F33" s="22"/>
      <c r="G33" s="22"/>
      <c r="H33" s="41">
        <v>16.87</v>
      </c>
      <c r="I33" s="22">
        <f>ROUND(H33*D33,2)</f>
        <v>35089.599999999999</v>
      </c>
      <c r="J33" s="22">
        <f t="shared" si="19"/>
        <v>42107.519999999997</v>
      </c>
      <c r="K33" s="23">
        <f t="shared" si="18"/>
        <v>35089.599999999999</v>
      </c>
      <c r="L33" s="24">
        <f t="shared" si="18"/>
        <v>42107.519999999997</v>
      </c>
    </row>
    <row r="34" spans="1:13" ht="18.75" customHeight="1" x14ac:dyDescent="0.25">
      <c r="A34" s="36">
        <f>A30+1</f>
        <v>4</v>
      </c>
      <c r="B34" s="35" t="s">
        <v>40</v>
      </c>
      <c r="C34" s="36" t="s">
        <v>13</v>
      </c>
      <c r="D34" s="96">
        <v>6.4</v>
      </c>
      <c r="E34" s="25">
        <v>1178</v>
      </c>
      <c r="F34" s="30">
        <f t="shared" ref="F34" si="20">ROUND(E34*D34,2)</f>
        <v>7539.2</v>
      </c>
      <c r="G34" s="30">
        <f t="shared" ref="G34" si="21">ROUND(F34*1.2,2)</f>
        <v>9047.0400000000009</v>
      </c>
      <c r="H34" s="27"/>
      <c r="I34" s="30"/>
      <c r="J34" s="30"/>
      <c r="K34" s="31">
        <f t="shared" si="18"/>
        <v>7539.2</v>
      </c>
      <c r="L34" s="32">
        <f t="shared" si="18"/>
        <v>9047.0400000000009</v>
      </c>
    </row>
    <row r="35" spans="1:13" ht="18.75" customHeight="1" x14ac:dyDescent="0.25">
      <c r="A35" s="38" t="s">
        <v>120</v>
      </c>
      <c r="B35" s="19" t="s">
        <v>41</v>
      </c>
      <c r="C35" s="20" t="s">
        <v>13</v>
      </c>
      <c r="D35" s="95">
        <f>ROUND(D34*1.26,2)</f>
        <v>8.06</v>
      </c>
      <c r="E35" s="21"/>
      <c r="F35" s="22"/>
      <c r="G35" s="22"/>
      <c r="H35" s="39">
        <f>2827.078</f>
        <v>2827.078</v>
      </c>
      <c r="I35" s="22">
        <f>ROUND(H35*D35,2)</f>
        <v>22786.25</v>
      </c>
      <c r="J35" s="22">
        <f t="shared" ref="J35" si="22">ROUND(I35*1.2,2)</f>
        <v>27343.5</v>
      </c>
      <c r="K35" s="23">
        <f>F35+I35</f>
        <v>22786.25</v>
      </c>
      <c r="L35" s="24">
        <f>G35+J35</f>
        <v>27343.5</v>
      </c>
    </row>
    <row r="36" spans="1:13" ht="18.75" customHeight="1" x14ac:dyDescent="0.25">
      <c r="A36" s="11">
        <f>A34+1</f>
        <v>5</v>
      </c>
      <c r="B36" s="34" t="s">
        <v>30</v>
      </c>
      <c r="C36" s="11" t="s">
        <v>13</v>
      </c>
      <c r="D36" s="98">
        <f>1136*0.1</f>
        <v>113.60000000000001</v>
      </c>
      <c r="E36" s="18">
        <v>1666.3</v>
      </c>
      <c r="F36" s="14">
        <f t="shared" ref="F36" si="23">ROUND(E36*D36,2)</f>
        <v>189291.68</v>
      </c>
      <c r="G36" s="14">
        <f t="shared" ref="G36" si="24">ROUND(F36*1.2,2)</f>
        <v>227150.02</v>
      </c>
      <c r="H36" s="15"/>
      <c r="I36" s="16"/>
      <c r="J36" s="16"/>
      <c r="K36" s="13">
        <f t="shared" ref="K36:L36" si="25">F36+I36</f>
        <v>189291.68</v>
      </c>
      <c r="L36" s="17">
        <f t="shared" si="25"/>
        <v>227150.02</v>
      </c>
    </row>
    <row r="37" spans="1:13" ht="18.75" customHeight="1" x14ac:dyDescent="0.25">
      <c r="A37" s="38" t="s">
        <v>121</v>
      </c>
      <c r="B37" s="19" t="s">
        <v>43</v>
      </c>
      <c r="C37" s="20" t="s">
        <v>13</v>
      </c>
      <c r="D37" s="95">
        <f>ROUND(D36*1.26,2)</f>
        <v>143.13999999999999</v>
      </c>
      <c r="E37" s="21"/>
      <c r="F37" s="22"/>
      <c r="G37" s="22"/>
      <c r="H37" s="39">
        <f>2827.078</f>
        <v>2827.078</v>
      </c>
      <c r="I37" s="22">
        <f>ROUND(H37*D37,2)</f>
        <v>404667.94</v>
      </c>
      <c r="J37" s="22">
        <f t="shared" ref="J37" si="26">ROUND(I37*1.2,2)</f>
        <v>485601.53</v>
      </c>
      <c r="K37" s="23">
        <f>F37+I37</f>
        <v>404667.94</v>
      </c>
      <c r="L37" s="24">
        <f>G37+J37</f>
        <v>485601.53</v>
      </c>
    </row>
    <row r="38" spans="1:13" ht="18.75" customHeight="1" x14ac:dyDescent="0.25">
      <c r="A38" s="36">
        <f>A36+1</f>
        <v>6</v>
      </c>
      <c r="B38" s="35" t="s">
        <v>45</v>
      </c>
      <c r="C38" s="36" t="s">
        <v>13</v>
      </c>
      <c r="D38" s="99">
        <f>1136*0.1</f>
        <v>113.60000000000001</v>
      </c>
      <c r="E38" s="25">
        <v>1055.45</v>
      </c>
      <c r="F38" s="30">
        <f>ROUND(E38*D38,2)</f>
        <v>119899.12</v>
      </c>
      <c r="G38" s="30">
        <f>ROUND(F38*1.2,2)</f>
        <v>143878.94</v>
      </c>
      <c r="H38" s="27"/>
      <c r="I38" s="30"/>
      <c r="J38" s="30"/>
      <c r="K38" s="31">
        <f t="shared" ref="K38:L48" si="27">F38+I38</f>
        <v>119899.12</v>
      </c>
      <c r="L38" s="32">
        <f t="shared" si="27"/>
        <v>143878.94</v>
      </c>
    </row>
    <row r="39" spans="1:13" ht="18.75" customHeight="1" x14ac:dyDescent="0.25">
      <c r="A39" s="38" t="s">
        <v>122</v>
      </c>
      <c r="B39" s="19" t="s">
        <v>49</v>
      </c>
      <c r="C39" s="20" t="s">
        <v>13</v>
      </c>
      <c r="D39" s="100">
        <f>D38*1.1</f>
        <v>124.96000000000002</v>
      </c>
      <c r="E39" s="21"/>
      <c r="F39" s="22"/>
      <c r="G39" s="22"/>
      <c r="H39" s="39">
        <v>1427.76</v>
      </c>
      <c r="I39" s="22">
        <f>ROUND(H39*D39,2)</f>
        <v>178412.89</v>
      </c>
      <c r="J39" s="22">
        <f t="shared" ref="J39" si="28">ROUND(I39*1.2,2)</f>
        <v>214095.47</v>
      </c>
      <c r="K39" s="23">
        <f t="shared" si="27"/>
        <v>178412.89</v>
      </c>
      <c r="L39" s="24">
        <f t="shared" si="27"/>
        <v>214095.47</v>
      </c>
      <c r="M39" s="37"/>
    </row>
    <row r="40" spans="1:13" ht="18" customHeight="1" x14ac:dyDescent="0.25">
      <c r="A40" s="70"/>
      <c r="B40" s="77" t="s">
        <v>123</v>
      </c>
      <c r="C40" s="70"/>
      <c r="D40" s="78"/>
      <c r="E40" s="79"/>
      <c r="F40" s="74"/>
      <c r="G40" s="74"/>
      <c r="H40" s="75"/>
      <c r="I40" s="74"/>
      <c r="J40" s="74"/>
      <c r="K40" s="73"/>
      <c r="L40" s="76"/>
    </row>
    <row r="41" spans="1:13" ht="20.25" customHeight="1" x14ac:dyDescent="0.25">
      <c r="A41" s="36">
        <f>A38+1</f>
        <v>7</v>
      </c>
      <c r="B41" s="35" t="s">
        <v>96</v>
      </c>
      <c r="C41" s="36" t="s">
        <v>13</v>
      </c>
      <c r="D41" s="101">
        <f>ROUND(3*0.18+3*0.24+6*0.079+3*0.18,2)</f>
        <v>2.27</v>
      </c>
      <c r="E41" s="25">
        <v>17265.68</v>
      </c>
      <c r="F41" s="30">
        <f t="shared" ref="F41" si="29">ROUND(E41*D41,2)</f>
        <v>39193.089999999997</v>
      </c>
      <c r="G41" s="30">
        <f t="shared" ref="G41" si="30">ROUND(F41*1.2,2)</f>
        <v>47031.71</v>
      </c>
      <c r="H41" s="27"/>
      <c r="I41" s="30"/>
      <c r="J41" s="30"/>
      <c r="K41" s="31">
        <f t="shared" si="27"/>
        <v>39193.089999999997</v>
      </c>
      <c r="L41" s="32">
        <f t="shared" si="27"/>
        <v>47031.71</v>
      </c>
    </row>
    <row r="42" spans="1:13" ht="18.75" customHeight="1" x14ac:dyDescent="0.25">
      <c r="A42" s="87" t="s">
        <v>72</v>
      </c>
      <c r="B42" s="68" t="s">
        <v>88</v>
      </c>
      <c r="C42" s="67" t="s">
        <v>38</v>
      </c>
      <c r="D42" s="102">
        <v>3</v>
      </c>
      <c r="E42" s="28"/>
      <c r="F42" s="22"/>
      <c r="G42" s="22"/>
      <c r="H42" s="28">
        <v>4025</v>
      </c>
      <c r="I42" s="22">
        <f t="shared" ref="I42:I46" si="31">ROUND(H42*D42,2)</f>
        <v>12075</v>
      </c>
      <c r="J42" s="22">
        <f t="shared" ref="J42:J46" si="32">ROUND(I42*1.2,2)</f>
        <v>14490</v>
      </c>
      <c r="K42" s="23">
        <f t="shared" si="27"/>
        <v>12075</v>
      </c>
      <c r="L42" s="24">
        <f t="shared" si="27"/>
        <v>14490</v>
      </c>
    </row>
    <row r="43" spans="1:13" ht="18.75" customHeight="1" x14ac:dyDescent="0.25">
      <c r="A43" s="87" t="s">
        <v>124</v>
      </c>
      <c r="B43" s="68" t="s">
        <v>89</v>
      </c>
      <c r="C43" s="67" t="s">
        <v>38</v>
      </c>
      <c r="D43" s="102">
        <v>3</v>
      </c>
      <c r="E43" s="28"/>
      <c r="F43" s="22"/>
      <c r="G43" s="22"/>
      <c r="H43" s="28">
        <v>6995.83</v>
      </c>
      <c r="I43" s="22">
        <f t="shared" si="31"/>
        <v>20987.49</v>
      </c>
      <c r="J43" s="22">
        <f t="shared" si="32"/>
        <v>25184.99</v>
      </c>
      <c r="K43" s="23">
        <f t="shared" si="27"/>
        <v>20987.49</v>
      </c>
      <c r="L43" s="24">
        <f t="shared" si="27"/>
        <v>25184.99</v>
      </c>
    </row>
    <row r="44" spans="1:13" ht="18.75" customHeight="1" x14ac:dyDescent="0.25">
      <c r="A44" s="87" t="s">
        <v>125</v>
      </c>
      <c r="B44" s="68" t="s">
        <v>90</v>
      </c>
      <c r="C44" s="67" t="s">
        <v>38</v>
      </c>
      <c r="D44" s="102">
        <v>3</v>
      </c>
      <c r="E44" s="28"/>
      <c r="F44" s="22"/>
      <c r="G44" s="22"/>
      <c r="H44" s="28">
        <v>5079.17</v>
      </c>
      <c r="I44" s="22">
        <f t="shared" si="31"/>
        <v>15237.51</v>
      </c>
      <c r="J44" s="22">
        <f t="shared" si="32"/>
        <v>18285.009999999998</v>
      </c>
      <c r="K44" s="23">
        <f t="shared" si="27"/>
        <v>15237.51</v>
      </c>
      <c r="L44" s="24">
        <f t="shared" si="27"/>
        <v>18285.009999999998</v>
      </c>
    </row>
    <row r="45" spans="1:13" ht="18.75" customHeight="1" x14ac:dyDescent="0.25">
      <c r="A45" s="87" t="s">
        <v>126</v>
      </c>
      <c r="B45" s="68" t="s">
        <v>91</v>
      </c>
      <c r="C45" s="67" t="s">
        <v>38</v>
      </c>
      <c r="D45" s="102">
        <v>6</v>
      </c>
      <c r="E45" s="28"/>
      <c r="F45" s="22"/>
      <c r="G45" s="22"/>
      <c r="H45" s="28">
        <f>ROUND(4600/1.2*1.15,2)</f>
        <v>4408.33</v>
      </c>
      <c r="I45" s="22">
        <f t="shared" si="31"/>
        <v>26449.98</v>
      </c>
      <c r="J45" s="22">
        <f t="shared" si="32"/>
        <v>31739.98</v>
      </c>
      <c r="K45" s="23">
        <f t="shared" si="27"/>
        <v>26449.98</v>
      </c>
      <c r="L45" s="24">
        <f t="shared" si="27"/>
        <v>31739.98</v>
      </c>
    </row>
    <row r="46" spans="1:13" ht="18.75" customHeight="1" x14ac:dyDescent="0.25">
      <c r="A46" s="87" t="s">
        <v>127</v>
      </c>
      <c r="B46" s="68" t="s">
        <v>92</v>
      </c>
      <c r="C46" s="67" t="s">
        <v>38</v>
      </c>
      <c r="D46" s="102">
        <v>3</v>
      </c>
      <c r="E46" s="28"/>
      <c r="F46" s="22"/>
      <c r="G46" s="22"/>
      <c r="H46" s="28">
        <v>14421</v>
      </c>
      <c r="I46" s="22">
        <f t="shared" si="31"/>
        <v>43263</v>
      </c>
      <c r="J46" s="22">
        <f t="shared" si="32"/>
        <v>51915.6</v>
      </c>
      <c r="K46" s="23">
        <f t="shared" si="27"/>
        <v>43263</v>
      </c>
      <c r="L46" s="24">
        <f t="shared" si="27"/>
        <v>51915.6</v>
      </c>
    </row>
    <row r="47" spans="1:13" ht="18.75" customHeight="1" x14ac:dyDescent="0.25">
      <c r="A47" s="105">
        <f>A41+1</f>
        <v>8</v>
      </c>
      <c r="B47" s="89" t="s">
        <v>128</v>
      </c>
      <c r="C47" s="90" t="s">
        <v>38</v>
      </c>
      <c r="D47" s="103">
        <v>12</v>
      </c>
      <c r="E47" s="92">
        <v>2314.11</v>
      </c>
      <c r="F47" s="93">
        <f t="shared" ref="F47:F48" si="33">ROUND(E47*D47,2)</f>
        <v>27769.32</v>
      </c>
      <c r="G47" s="93">
        <f t="shared" ref="G47:G48" si="34">ROUND(F47*1.2,2)</f>
        <v>33323.18</v>
      </c>
      <c r="H47" s="15"/>
      <c r="I47" s="93"/>
      <c r="J47" s="93"/>
      <c r="K47" s="18">
        <f t="shared" si="27"/>
        <v>27769.32</v>
      </c>
      <c r="L47" s="93">
        <f t="shared" si="27"/>
        <v>33323.18</v>
      </c>
    </row>
    <row r="48" spans="1:13" ht="28.5" customHeight="1" x14ac:dyDescent="0.25">
      <c r="A48" s="105">
        <f>A47+1</f>
        <v>9</v>
      </c>
      <c r="B48" s="104" t="s">
        <v>129</v>
      </c>
      <c r="C48" s="90" t="s">
        <v>38</v>
      </c>
      <c r="D48" s="103">
        <v>12</v>
      </c>
      <c r="E48" s="194">
        <v>6060.29</v>
      </c>
      <c r="F48" s="93">
        <f t="shared" si="33"/>
        <v>72723.48</v>
      </c>
      <c r="G48" s="93">
        <f t="shared" si="34"/>
        <v>87268.18</v>
      </c>
      <c r="H48" s="15"/>
      <c r="I48" s="93"/>
      <c r="J48" s="93"/>
      <c r="K48" s="18">
        <f t="shared" si="27"/>
        <v>72723.48</v>
      </c>
      <c r="L48" s="93">
        <f t="shared" si="27"/>
        <v>87268.18</v>
      </c>
    </row>
    <row r="49" spans="1:13" ht="18" customHeight="1" x14ac:dyDescent="0.25">
      <c r="A49" s="70"/>
      <c r="B49" s="77" t="s">
        <v>130</v>
      </c>
      <c r="C49" s="70"/>
      <c r="D49" s="78"/>
      <c r="E49" s="79"/>
      <c r="F49" s="74"/>
      <c r="G49" s="74"/>
      <c r="H49" s="75"/>
      <c r="I49" s="74"/>
      <c r="J49" s="74"/>
      <c r="K49" s="73"/>
      <c r="L49" s="76"/>
    </row>
    <row r="50" spans="1:13" ht="18.75" customHeight="1" x14ac:dyDescent="0.25">
      <c r="A50" s="36">
        <f>A48+1</f>
        <v>10</v>
      </c>
      <c r="B50" s="35" t="s">
        <v>100</v>
      </c>
      <c r="C50" s="36" t="s">
        <v>15</v>
      </c>
      <c r="D50" s="106">
        <f>6*1</f>
        <v>6</v>
      </c>
      <c r="E50" s="69">
        <v>1449.23</v>
      </c>
      <c r="F50" s="30">
        <f t="shared" ref="F50" si="35">ROUND(E50*D50,2)</f>
        <v>8695.3799999999992</v>
      </c>
      <c r="G50" s="30">
        <f t="shared" ref="G50" si="36">ROUND(F50*1.2,2)</f>
        <v>10434.459999999999</v>
      </c>
      <c r="H50" s="27"/>
      <c r="I50" s="30"/>
      <c r="J50" s="30"/>
      <c r="K50" s="31">
        <f t="shared" ref="K50:L55" si="37">F50+I50</f>
        <v>8695.3799999999992</v>
      </c>
      <c r="L50" s="32">
        <f t="shared" si="37"/>
        <v>10434.459999999999</v>
      </c>
      <c r="M50" s="63" t="s">
        <v>99</v>
      </c>
    </row>
    <row r="51" spans="1:13" ht="18.75" customHeight="1" x14ac:dyDescent="0.25">
      <c r="A51" s="87" t="s">
        <v>18</v>
      </c>
      <c r="B51" s="68" t="s">
        <v>94</v>
      </c>
      <c r="C51" s="67" t="s">
        <v>38</v>
      </c>
      <c r="D51" s="102">
        <v>6</v>
      </c>
      <c r="E51" s="28"/>
      <c r="F51" s="22"/>
      <c r="G51" s="22"/>
      <c r="H51" s="28">
        <f>ROUND(853/1.2*1.15,2)</f>
        <v>817.46</v>
      </c>
      <c r="I51" s="22">
        <f t="shared" ref="I51" si="38">ROUND(H51*D51,2)</f>
        <v>4904.76</v>
      </c>
      <c r="J51" s="22">
        <f t="shared" ref="J51" si="39">ROUND(I51*1.2,2)</f>
        <v>5885.71</v>
      </c>
      <c r="K51" s="23">
        <f t="shared" si="37"/>
        <v>4904.76</v>
      </c>
      <c r="L51" s="24">
        <f t="shared" si="37"/>
        <v>5885.71</v>
      </c>
    </row>
    <row r="52" spans="1:13" ht="18.75" customHeight="1" x14ac:dyDescent="0.25">
      <c r="A52" s="36">
        <f>A50+1</f>
        <v>11</v>
      </c>
      <c r="B52" s="35" t="s">
        <v>98</v>
      </c>
      <c r="C52" s="36" t="s">
        <v>15</v>
      </c>
      <c r="D52" s="106">
        <v>36</v>
      </c>
      <c r="E52" s="69">
        <v>1449.23</v>
      </c>
      <c r="F52" s="30">
        <f t="shared" ref="F52" si="40">ROUND(E52*D52,2)</f>
        <v>52172.28</v>
      </c>
      <c r="G52" s="30">
        <f t="shared" ref="G52" si="41">ROUND(F52*1.2,2)</f>
        <v>62606.74</v>
      </c>
      <c r="H52" s="27"/>
      <c r="I52" s="30"/>
      <c r="J52" s="30"/>
      <c r="K52" s="31">
        <f t="shared" si="37"/>
        <v>52172.28</v>
      </c>
      <c r="L52" s="32">
        <f t="shared" si="37"/>
        <v>62606.74</v>
      </c>
      <c r="M52" s="63" t="s">
        <v>99</v>
      </c>
    </row>
    <row r="53" spans="1:13" ht="18.75" customHeight="1" x14ac:dyDescent="0.25">
      <c r="A53" s="87" t="s">
        <v>74</v>
      </c>
      <c r="B53" s="68" t="s">
        <v>95</v>
      </c>
      <c r="C53" s="67" t="s">
        <v>15</v>
      </c>
      <c r="D53" s="102">
        <v>36</v>
      </c>
      <c r="E53" s="28"/>
      <c r="F53" s="22"/>
      <c r="G53" s="22"/>
      <c r="H53" s="28">
        <f>ROUND(1013/1.2*1.15,2)</f>
        <v>970.79</v>
      </c>
      <c r="I53" s="22">
        <f t="shared" ref="I53" si="42">ROUND(H53*D53,2)</f>
        <v>34948.44</v>
      </c>
      <c r="J53" s="22">
        <f t="shared" ref="J53" si="43">ROUND(I53*1.2,2)</f>
        <v>41938.129999999997</v>
      </c>
      <c r="K53" s="23">
        <f t="shared" si="37"/>
        <v>34948.44</v>
      </c>
      <c r="L53" s="24">
        <f t="shared" si="37"/>
        <v>41938.129999999997</v>
      </c>
    </row>
    <row r="54" spans="1:13" ht="18.75" customHeight="1" x14ac:dyDescent="0.25">
      <c r="A54" s="36">
        <f>A52+1</f>
        <v>12</v>
      </c>
      <c r="B54" s="35" t="s">
        <v>97</v>
      </c>
      <c r="C54" s="90" t="s">
        <v>38</v>
      </c>
      <c r="D54" s="106">
        <v>6</v>
      </c>
      <c r="E54" s="25">
        <v>1449.7</v>
      </c>
      <c r="F54" s="30">
        <f t="shared" ref="F54" si="44">ROUND(E54*D54,2)</f>
        <v>8698.2000000000007</v>
      </c>
      <c r="G54" s="30">
        <f t="shared" ref="G54" si="45">ROUND(F54*1.2,2)</f>
        <v>10437.84</v>
      </c>
      <c r="H54" s="27"/>
      <c r="I54" s="30"/>
      <c r="J54" s="30"/>
      <c r="K54" s="31">
        <f t="shared" si="37"/>
        <v>8698.2000000000007</v>
      </c>
      <c r="L54" s="32">
        <f t="shared" si="37"/>
        <v>10437.84</v>
      </c>
      <c r="M54" s="63" t="s">
        <v>131</v>
      </c>
    </row>
    <row r="55" spans="1:13" ht="18.75" customHeight="1" x14ac:dyDescent="0.25">
      <c r="A55" s="87" t="s">
        <v>75</v>
      </c>
      <c r="B55" s="68" t="s">
        <v>93</v>
      </c>
      <c r="C55" s="67" t="s">
        <v>38</v>
      </c>
      <c r="D55" s="102">
        <v>6</v>
      </c>
      <c r="E55" s="28"/>
      <c r="F55" s="22"/>
      <c r="G55" s="22"/>
      <c r="H55" s="28">
        <v>3815</v>
      </c>
      <c r="I55" s="22">
        <f t="shared" ref="I55" si="46">ROUND(H55*D55,2)</f>
        <v>22890</v>
      </c>
      <c r="J55" s="22">
        <f t="shared" ref="J55" si="47">ROUND(I55*1.2,2)</f>
        <v>27468</v>
      </c>
      <c r="K55" s="23">
        <f t="shared" si="37"/>
        <v>22890</v>
      </c>
      <c r="L55" s="24">
        <f t="shared" si="37"/>
        <v>27468</v>
      </c>
    </row>
    <row r="56" spans="1:13" ht="18" customHeight="1" x14ac:dyDescent="0.25">
      <c r="A56" s="70"/>
      <c r="B56" s="77" t="s">
        <v>132</v>
      </c>
      <c r="C56" s="70"/>
      <c r="D56" s="78"/>
      <c r="E56" s="79"/>
      <c r="F56" s="74"/>
      <c r="G56" s="74"/>
      <c r="H56" s="75"/>
      <c r="I56" s="74"/>
      <c r="J56" s="74"/>
      <c r="K56" s="73"/>
      <c r="L56" s="76"/>
    </row>
    <row r="57" spans="1:13" ht="20.25" customHeight="1" x14ac:dyDescent="0.25">
      <c r="A57" s="36">
        <f>A54+1</f>
        <v>13</v>
      </c>
      <c r="B57" s="35" t="s">
        <v>96</v>
      </c>
      <c r="C57" s="36" t="s">
        <v>13</v>
      </c>
      <c r="D57" s="101">
        <f>ROUND(3*0.18+3*0.24,2)</f>
        <v>1.26</v>
      </c>
      <c r="E57" s="25">
        <v>17265.68</v>
      </c>
      <c r="F57" s="30">
        <f t="shared" ref="F57" si="48">ROUND(E57*D57,2)</f>
        <v>21754.76</v>
      </c>
      <c r="G57" s="30">
        <f t="shared" ref="G57" si="49">ROUND(F57*1.2,2)</f>
        <v>26105.71</v>
      </c>
      <c r="H57" s="27"/>
      <c r="I57" s="30"/>
      <c r="J57" s="30"/>
      <c r="K57" s="31">
        <f t="shared" ref="K57:L60" si="50">F57+I57</f>
        <v>21754.76</v>
      </c>
      <c r="L57" s="32">
        <f t="shared" si="50"/>
        <v>26105.71</v>
      </c>
    </row>
    <row r="58" spans="1:13" ht="18.75" customHeight="1" x14ac:dyDescent="0.25">
      <c r="A58" s="87" t="s">
        <v>76</v>
      </c>
      <c r="B58" s="68" t="s">
        <v>88</v>
      </c>
      <c r="C58" s="67" t="s">
        <v>38</v>
      </c>
      <c r="D58" s="102">
        <v>3</v>
      </c>
      <c r="E58" s="28"/>
      <c r="F58" s="22"/>
      <c r="G58" s="22"/>
      <c r="H58" s="28">
        <v>4025</v>
      </c>
      <c r="I58" s="22">
        <f t="shared" ref="I58:I60" si="51">ROUND(H58*D58,2)</f>
        <v>12075</v>
      </c>
      <c r="J58" s="22">
        <f t="shared" ref="J58:J60" si="52">ROUND(I58*1.2,2)</f>
        <v>14490</v>
      </c>
      <c r="K58" s="23">
        <f t="shared" si="50"/>
        <v>12075</v>
      </c>
      <c r="L58" s="24">
        <f t="shared" si="50"/>
        <v>14490</v>
      </c>
    </row>
    <row r="59" spans="1:13" ht="18.75" customHeight="1" x14ac:dyDescent="0.25">
      <c r="A59" s="87" t="s">
        <v>135</v>
      </c>
      <c r="B59" s="68" t="s">
        <v>89</v>
      </c>
      <c r="C59" s="67" t="s">
        <v>38</v>
      </c>
      <c r="D59" s="102">
        <v>3</v>
      </c>
      <c r="E59" s="28"/>
      <c r="F59" s="22"/>
      <c r="G59" s="22"/>
      <c r="H59" s="28">
        <v>6995.83</v>
      </c>
      <c r="I59" s="22">
        <f t="shared" si="51"/>
        <v>20987.49</v>
      </c>
      <c r="J59" s="22">
        <f t="shared" si="52"/>
        <v>25184.99</v>
      </c>
      <c r="K59" s="23">
        <f t="shared" si="50"/>
        <v>20987.49</v>
      </c>
      <c r="L59" s="24">
        <f t="shared" si="50"/>
        <v>25184.99</v>
      </c>
    </row>
    <row r="60" spans="1:13" ht="18.75" customHeight="1" x14ac:dyDescent="0.25">
      <c r="A60" s="87" t="s">
        <v>77</v>
      </c>
      <c r="B60" s="68" t="s">
        <v>133</v>
      </c>
      <c r="C60" s="67" t="s">
        <v>38</v>
      </c>
      <c r="D60" s="102">
        <v>3</v>
      </c>
      <c r="E60" s="28"/>
      <c r="F60" s="22"/>
      <c r="G60" s="22"/>
      <c r="H60" s="28">
        <v>14421</v>
      </c>
      <c r="I60" s="22">
        <f t="shared" si="51"/>
        <v>43263</v>
      </c>
      <c r="J60" s="22">
        <f t="shared" si="52"/>
        <v>51915.6</v>
      </c>
      <c r="K60" s="23">
        <f t="shared" si="50"/>
        <v>43263</v>
      </c>
      <c r="L60" s="24">
        <f t="shared" si="50"/>
        <v>51915.6</v>
      </c>
    </row>
    <row r="61" spans="1:13" ht="18" customHeight="1" x14ac:dyDescent="0.25">
      <c r="A61" s="70"/>
      <c r="B61" s="77" t="s">
        <v>136</v>
      </c>
      <c r="C61" s="70"/>
      <c r="D61" s="78"/>
      <c r="E61" s="79"/>
      <c r="F61" s="74"/>
      <c r="G61" s="74"/>
      <c r="H61" s="75"/>
      <c r="I61" s="74"/>
      <c r="J61" s="74"/>
      <c r="K61" s="73"/>
      <c r="L61" s="76"/>
    </row>
    <row r="62" spans="1:13" ht="18.75" customHeight="1" x14ac:dyDescent="0.25">
      <c r="A62" s="11">
        <f>14+1</f>
        <v>15</v>
      </c>
      <c r="B62" s="34" t="s">
        <v>137</v>
      </c>
      <c r="C62" s="11" t="s">
        <v>13</v>
      </c>
      <c r="D62" s="98">
        <v>47.97</v>
      </c>
      <c r="E62" s="18">
        <v>1666.3</v>
      </c>
      <c r="F62" s="14">
        <f t="shared" ref="F62" si="53">ROUND(E62*D62,2)</f>
        <v>79932.41</v>
      </c>
      <c r="G62" s="14">
        <f t="shared" ref="G62" si="54">ROUND(F62*1.2,2)</f>
        <v>95918.89</v>
      </c>
      <c r="H62" s="15"/>
      <c r="I62" s="16"/>
      <c r="J62" s="16"/>
      <c r="K62" s="13">
        <f t="shared" ref="K62:L62" si="55">F62+I62</f>
        <v>79932.41</v>
      </c>
      <c r="L62" s="17">
        <f t="shared" si="55"/>
        <v>95918.89</v>
      </c>
    </row>
    <row r="63" spans="1:13" ht="18.75" customHeight="1" x14ac:dyDescent="0.25">
      <c r="A63" s="38" t="s">
        <v>78</v>
      </c>
      <c r="B63" s="19" t="s">
        <v>41</v>
      </c>
      <c r="C63" s="20" t="s">
        <v>13</v>
      </c>
      <c r="D63" s="95">
        <f>ROUND(D62*1.26,2)</f>
        <v>60.44</v>
      </c>
      <c r="E63" s="21"/>
      <c r="F63" s="22"/>
      <c r="G63" s="22"/>
      <c r="H63" s="39">
        <f>2827.078</f>
        <v>2827.078</v>
      </c>
      <c r="I63" s="22">
        <f>ROUND(H63*D63,2)</f>
        <v>170868.59</v>
      </c>
      <c r="J63" s="22">
        <f t="shared" ref="J63" si="56">ROUND(I63*1.2,2)</f>
        <v>205042.31</v>
      </c>
      <c r="K63" s="23">
        <f>F63+I63</f>
        <v>170868.59</v>
      </c>
      <c r="L63" s="24">
        <f>G63+J63</f>
        <v>205042.31</v>
      </c>
    </row>
    <row r="64" spans="1:13" ht="18.75" customHeight="1" x14ac:dyDescent="0.25">
      <c r="A64" s="11">
        <f>A62+1</f>
        <v>16</v>
      </c>
      <c r="B64" s="34" t="s">
        <v>138</v>
      </c>
      <c r="C64" s="11" t="s">
        <v>13</v>
      </c>
      <c r="D64" s="98">
        <v>538.32000000000005</v>
      </c>
      <c r="E64" s="18">
        <v>1666.3</v>
      </c>
      <c r="F64" s="14">
        <f t="shared" ref="F64" si="57">ROUND(E64*D64,2)</f>
        <v>897002.62</v>
      </c>
      <c r="G64" s="14">
        <f t="shared" ref="G64" si="58">ROUND(F64*1.2,2)</f>
        <v>1076403.1399999999</v>
      </c>
      <c r="H64" s="15"/>
      <c r="I64" s="16"/>
      <c r="J64" s="16"/>
      <c r="K64" s="13">
        <f t="shared" ref="K64:L64" si="59">F64+I64</f>
        <v>897002.62</v>
      </c>
      <c r="L64" s="17">
        <f t="shared" si="59"/>
        <v>1076403.1399999999</v>
      </c>
    </row>
    <row r="65" spans="1:13" ht="18.75" customHeight="1" x14ac:dyDescent="0.25">
      <c r="A65" s="38" t="s">
        <v>79</v>
      </c>
      <c r="B65" s="19" t="s">
        <v>41</v>
      </c>
      <c r="C65" s="20" t="s">
        <v>13</v>
      </c>
      <c r="D65" s="95">
        <f>ROUND(D64*1.26,2)</f>
        <v>678.28</v>
      </c>
      <c r="E65" s="21"/>
      <c r="F65" s="22"/>
      <c r="G65" s="22"/>
      <c r="H65" s="39">
        <f>2827.078</f>
        <v>2827.078</v>
      </c>
      <c r="I65" s="22">
        <f>ROUND(H65*D65,2)</f>
        <v>1917550.47</v>
      </c>
      <c r="J65" s="22">
        <f t="shared" ref="J65" si="60">ROUND(I65*1.2,2)</f>
        <v>2301060.56</v>
      </c>
      <c r="K65" s="23">
        <f>F65+I65</f>
        <v>1917550.47</v>
      </c>
      <c r="L65" s="24">
        <f>G65+J65</f>
        <v>2301060.56</v>
      </c>
    </row>
    <row r="66" spans="1:13" ht="18" customHeight="1" x14ac:dyDescent="0.25">
      <c r="A66" s="70"/>
      <c r="B66" s="71" t="s">
        <v>139</v>
      </c>
      <c r="C66" s="72"/>
      <c r="D66" s="72"/>
      <c r="E66" s="73"/>
      <c r="F66" s="74"/>
      <c r="G66" s="74"/>
      <c r="H66" s="75"/>
      <c r="I66" s="74"/>
      <c r="J66" s="74"/>
      <c r="K66" s="73"/>
      <c r="L66" s="76"/>
    </row>
    <row r="67" spans="1:13" ht="18.75" customHeight="1" x14ac:dyDescent="0.25">
      <c r="A67" s="11">
        <f>A64+1</f>
        <v>17</v>
      </c>
      <c r="B67" s="34" t="s">
        <v>28</v>
      </c>
      <c r="C67" s="11" t="s">
        <v>13</v>
      </c>
      <c r="D67" s="62">
        <v>31.2</v>
      </c>
      <c r="E67" s="18">
        <v>308.75</v>
      </c>
      <c r="F67" s="14">
        <f t="shared" ref="F67:F69" si="61">ROUND(E67*D67,2)</f>
        <v>9633</v>
      </c>
      <c r="G67" s="14">
        <f t="shared" ref="G67:G69" si="62">ROUND(F67*1.2,2)</f>
        <v>11559.6</v>
      </c>
      <c r="H67" s="15"/>
      <c r="I67" s="16"/>
      <c r="J67" s="16"/>
      <c r="K67" s="13">
        <f t="shared" ref="K67:L74" si="63">F67+I67</f>
        <v>9633</v>
      </c>
      <c r="L67" s="17">
        <f t="shared" si="63"/>
        <v>11559.6</v>
      </c>
    </row>
    <row r="68" spans="1:13" ht="18.75" customHeight="1" x14ac:dyDescent="0.25">
      <c r="A68" s="11">
        <f t="shared" ref="A68:A69" si="64">A67+1</f>
        <v>18</v>
      </c>
      <c r="B68" s="34" t="s">
        <v>16</v>
      </c>
      <c r="C68" s="11" t="s">
        <v>17</v>
      </c>
      <c r="D68" s="62">
        <f>D67*1.9</f>
        <v>59.279999999999994</v>
      </c>
      <c r="E68" s="18">
        <v>308.75</v>
      </c>
      <c r="F68" s="14">
        <f t="shared" si="61"/>
        <v>18302.7</v>
      </c>
      <c r="G68" s="14">
        <f t="shared" si="62"/>
        <v>21963.24</v>
      </c>
      <c r="H68" s="15"/>
      <c r="I68" s="16"/>
      <c r="J68" s="16"/>
      <c r="K68" s="13">
        <f t="shared" si="63"/>
        <v>18302.7</v>
      </c>
      <c r="L68" s="17">
        <f t="shared" si="63"/>
        <v>21963.24</v>
      </c>
    </row>
    <row r="69" spans="1:13" ht="20.25" customHeight="1" x14ac:dyDescent="0.25">
      <c r="A69" s="11">
        <f t="shared" si="64"/>
        <v>19</v>
      </c>
      <c r="B69" s="110" t="s">
        <v>140</v>
      </c>
      <c r="C69" s="90" t="s">
        <v>13</v>
      </c>
      <c r="D69" s="111">
        <v>2.4</v>
      </c>
      <c r="E69" s="15">
        <v>1310.05</v>
      </c>
      <c r="F69" s="16">
        <f t="shared" si="61"/>
        <v>3144.12</v>
      </c>
      <c r="G69" s="16">
        <f t="shared" si="62"/>
        <v>3772.94</v>
      </c>
      <c r="H69" s="112"/>
      <c r="I69" s="113"/>
      <c r="J69" s="113"/>
      <c r="K69" s="18">
        <f t="shared" si="63"/>
        <v>3144.12</v>
      </c>
      <c r="L69" s="93">
        <f t="shared" si="63"/>
        <v>3772.94</v>
      </c>
      <c r="M69" s="114"/>
    </row>
    <row r="70" spans="1:13" ht="20.25" customHeight="1" x14ac:dyDescent="0.25">
      <c r="A70" s="38" t="s">
        <v>82</v>
      </c>
      <c r="B70" s="19" t="s">
        <v>141</v>
      </c>
      <c r="C70" s="116" t="s">
        <v>13</v>
      </c>
      <c r="D70" s="117">
        <f>D69*1.1</f>
        <v>2.64</v>
      </c>
      <c r="E70" s="21"/>
      <c r="F70" s="22"/>
      <c r="G70" s="22"/>
      <c r="H70" s="22">
        <v>1191.3</v>
      </c>
      <c r="I70" s="22">
        <f>ROUND(H70*D70,2)</f>
        <v>3145.03</v>
      </c>
      <c r="J70" s="22">
        <f>ROUND(I70*1.2,2)</f>
        <v>3774.04</v>
      </c>
      <c r="K70" s="23">
        <f t="shared" si="63"/>
        <v>3145.03</v>
      </c>
      <c r="L70" s="22">
        <f t="shared" si="63"/>
        <v>3774.04</v>
      </c>
      <c r="M70" s="114"/>
    </row>
    <row r="71" spans="1:13" ht="20.25" customHeight="1" x14ac:dyDescent="0.25">
      <c r="A71" s="11">
        <f>A69+1</f>
        <v>20</v>
      </c>
      <c r="B71" s="110" t="s">
        <v>142</v>
      </c>
      <c r="C71" s="90" t="s">
        <v>13</v>
      </c>
      <c r="D71" s="111">
        <v>4.8</v>
      </c>
      <c r="E71" s="15">
        <v>1310.05</v>
      </c>
      <c r="F71" s="16">
        <f t="shared" ref="F71" si="65">ROUND(E71*D71,2)</f>
        <v>6288.24</v>
      </c>
      <c r="G71" s="16">
        <f t="shared" ref="G71" si="66">ROUND(F71*1.2,2)</f>
        <v>7545.89</v>
      </c>
      <c r="H71" s="112"/>
      <c r="I71" s="113"/>
      <c r="J71" s="113"/>
      <c r="K71" s="18">
        <f t="shared" si="63"/>
        <v>6288.24</v>
      </c>
      <c r="L71" s="93">
        <f t="shared" si="63"/>
        <v>7545.89</v>
      </c>
      <c r="M71" s="114"/>
    </row>
    <row r="72" spans="1:13" ht="20.25" customHeight="1" x14ac:dyDescent="0.25">
      <c r="A72" s="38" t="s">
        <v>144</v>
      </c>
      <c r="B72" s="19" t="s">
        <v>141</v>
      </c>
      <c r="C72" s="116" t="s">
        <v>13</v>
      </c>
      <c r="D72" s="117">
        <f>D71*1.1</f>
        <v>5.28</v>
      </c>
      <c r="E72" s="21"/>
      <c r="F72" s="22"/>
      <c r="G72" s="22"/>
      <c r="H72" s="22">
        <v>1191.3</v>
      </c>
      <c r="I72" s="22">
        <f>ROUND(H72*D72,2)</f>
        <v>6290.06</v>
      </c>
      <c r="J72" s="22">
        <f>ROUND(I72*1.2,2)</f>
        <v>7548.07</v>
      </c>
      <c r="K72" s="23">
        <f t="shared" si="63"/>
        <v>6290.06</v>
      </c>
      <c r="L72" s="22">
        <f t="shared" si="63"/>
        <v>7548.07</v>
      </c>
      <c r="M72" s="114"/>
    </row>
    <row r="73" spans="1:13" ht="20.25" customHeight="1" x14ac:dyDescent="0.25">
      <c r="A73" s="11">
        <f>A71+1</f>
        <v>21</v>
      </c>
      <c r="B73" s="110" t="s">
        <v>143</v>
      </c>
      <c r="C73" s="90" t="s">
        <v>13</v>
      </c>
      <c r="D73" s="111">
        <v>24</v>
      </c>
      <c r="E73" s="15">
        <v>1310.05</v>
      </c>
      <c r="F73" s="16">
        <f t="shared" ref="F73" si="67">ROUND(E73*D73,2)</f>
        <v>31441.200000000001</v>
      </c>
      <c r="G73" s="16">
        <f t="shared" ref="G73" si="68">ROUND(F73*1.2,2)</f>
        <v>37729.440000000002</v>
      </c>
      <c r="H73" s="112"/>
      <c r="I73" s="113"/>
      <c r="J73" s="113"/>
      <c r="K73" s="18">
        <f t="shared" si="63"/>
        <v>31441.200000000001</v>
      </c>
      <c r="L73" s="93">
        <f t="shared" si="63"/>
        <v>37729.440000000002</v>
      </c>
      <c r="M73" s="114"/>
    </row>
    <row r="74" spans="1:13" ht="20.25" customHeight="1" x14ac:dyDescent="0.25">
      <c r="A74" s="38" t="s">
        <v>145</v>
      </c>
      <c r="B74" s="19" t="s">
        <v>141</v>
      </c>
      <c r="C74" s="116" t="s">
        <v>13</v>
      </c>
      <c r="D74" s="117">
        <f>D73*1.1</f>
        <v>26.400000000000002</v>
      </c>
      <c r="E74" s="21"/>
      <c r="F74" s="22"/>
      <c r="G74" s="22"/>
      <c r="H74" s="22">
        <v>1191.3</v>
      </c>
      <c r="I74" s="22">
        <f>ROUND(H74*D74,2)</f>
        <v>31450.32</v>
      </c>
      <c r="J74" s="22">
        <f>ROUND(I74*1.2,2)</f>
        <v>37740.379999999997</v>
      </c>
      <c r="K74" s="23">
        <f t="shared" si="63"/>
        <v>31450.32</v>
      </c>
      <c r="L74" s="22">
        <f t="shared" si="63"/>
        <v>37740.379999999997</v>
      </c>
      <c r="M74" s="114"/>
    </row>
    <row r="75" spans="1:13" ht="23.25" customHeight="1" x14ac:dyDescent="0.25">
      <c r="A75" s="70"/>
      <c r="B75" s="77" t="s">
        <v>42</v>
      </c>
      <c r="C75" s="70"/>
      <c r="D75" s="80"/>
      <c r="E75" s="79"/>
      <c r="F75" s="74"/>
      <c r="G75" s="74"/>
      <c r="H75" s="75"/>
      <c r="I75" s="74"/>
      <c r="J75" s="74"/>
      <c r="K75" s="73"/>
      <c r="L75" s="76"/>
    </row>
    <row r="76" spans="1:13" ht="23.25" customHeight="1" x14ac:dyDescent="0.25">
      <c r="A76" s="36">
        <f>A73+1</f>
        <v>22</v>
      </c>
      <c r="B76" s="35" t="s">
        <v>106</v>
      </c>
      <c r="C76" s="36" t="s">
        <v>44</v>
      </c>
      <c r="D76" s="101">
        <v>6013.43</v>
      </c>
      <c r="E76" s="25">
        <v>1083</v>
      </c>
      <c r="F76" s="30">
        <f t="shared" ref="F76" si="69">ROUND(E76*D76,2)</f>
        <v>6512544.6900000004</v>
      </c>
      <c r="G76" s="30">
        <f t="shared" ref="G76" si="70">ROUND(F76*1.2,2)</f>
        <v>7815053.6299999999</v>
      </c>
      <c r="H76" s="27"/>
      <c r="I76" s="30"/>
      <c r="J76" s="30"/>
      <c r="K76" s="31">
        <f t="shared" ref="K76:L90" si="71">F76+I76</f>
        <v>6512544.6900000004</v>
      </c>
      <c r="L76" s="32">
        <f t="shared" si="71"/>
        <v>7815053.6299999999</v>
      </c>
    </row>
    <row r="77" spans="1:13" ht="37.5" customHeight="1" x14ac:dyDescent="0.25">
      <c r="A77" s="38" t="s">
        <v>150</v>
      </c>
      <c r="B77" s="19" t="s">
        <v>47</v>
      </c>
      <c r="C77" s="20" t="s">
        <v>17</v>
      </c>
      <c r="D77" s="118">
        <f>D76*0.05*2.48</f>
        <v>745.66532000000007</v>
      </c>
      <c r="E77" s="21"/>
      <c r="F77" s="22"/>
      <c r="G77" s="22"/>
      <c r="H77" s="65">
        <v>4407.05</v>
      </c>
      <c r="I77" s="22">
        <f>ROUND(H77*D77,2)</f>
        <v>3286184.35</v>
      </c>
      <c r="J77" s="22">
        <f t="shared" ref="J77" si="72">ROUND(I77*1.2,2)</f>
        <v>3943421.22</v>
      </c>
      <c r="K77" s="23">
        <f t="shared" si="71"/>
        <v>3286184.35</v>
      </c>
      <c r="L77" s="24">
        <f t="shared" si="71"/>
        <v>3943421.22</v>
      </c>
      <c r="M77" s="37" t="s">
        <v>149</v>
      </c>
    </row>
    <row r="78" spans="1:13" ht="30.75" customHeight="1" x14ac:dyDescent="0.25">
      <c r="A78" s="36">
        <f>A76+1</f>
        <v>23</v>
      </c>
      <c r="B78" s="35" t="s">
        <v>146</v>
      </c>
      <c r="C78" s="36" t="s">
        <v>44</v>
      </c>
      <c r="D78" s="101">
        <v>6013.43</v>
      </c>
      <c r="E78" s="69">
        <v>1516</v>
      </c>
      <c r="F78" s="30">
        <f>ROUND(E78*D78,2)</f>
        <v>9116359.8800000008</v>
      </c>
      <c r="G78" s="30">
        <f>ROUND(F78*1.2,2)</f>
        <v>10939631.859999999</v>
      </c>
      <c r="H78" s="27"/>
      <c r="I78" s="30"/>
      <c r="J78" s="30"/>
      <c r="K78" s="31">
        <f t="shared" si="71"/>
        <v>9116359.8800000008</v>
      </c>
      <c r="L78" s="32">
        <f t="shared" si="71"/>
        <v>10939631.859999999</v>
      </c>
      <c r="M78" s="37" t="s">
        <v>157</v>
      </c>
    </row>
    <row r="79" spans="1:13" ht="31.5" customHeight="1" x14ac:dyDescent="0.25">
      <c r="A79" s="38" t="s">
        <v>151</v>
      </c>
      <c r="B79" s="19" t="s">
        <v>46</v>
      </c>
      <c r="C79" s="20" t="s">
        <v>17</v>
      </c>
      <c r="D79" s="118">
        <f>D78*0.07*2.48</f>
        <v>1043.9314480000003</v>
      </c>
      <c r="E79" s="21"/>
      <c r="F79" s="22"/>
      <c r="G79" s="22"/>
      <c r="H79" s="65">
        <v>4407.05</v>
      </c>
      <c r="I79" s="22">
        <f>ROUND(H79*D79,2)</f>
        <v>4600658.09</v>
      </c>
      <c r="J79" s="22">
        <f t="shared" ref="J79" si="73">ROUND(I79*1.2,2)</f>
        <v>5520789.71</v>
      </c>
      <c r="K79" s="23">
        <f t="shared" si="71"/>
        <v>4600658.09</v>
      </c>
      <c r="L79" s="24">
        <f t="shared" si="71"/>
        <v>5520789.71</v>
      </c>
      <c r="M79" s="37" t="s">
        <v>149</v>
      </c>
    </row>
    <row r="80" spans="1:13" ht="31.5" customHeight="1" x14ac:dyDescent="0.25">
      <c r="A80" s="36">
        <f>A78+1</f>
        <v>24</v>
      </c>
      <c r="B80" s="35" t="s">
        <v>52</v>
      </c>
      <c r="C80" s="36" t="s">
        <v>44</v>
      </c>
      <c r="D80" s="99">
        <v>6013.43</v>
      </c>
      <c r="E80" s="25">
        <v>194.58</v>
      </c>
      <c r="F80" s="30">
        <f>ROUND(E80*D80,2)</f>
        <v>1170093.21</v>
      </c>
      <c r="G80" s="30">
        <f>ROUND(F80*1.2,2)</f>
        <v>1404111.85</v>
      </c>
      <c r="H80" s="27"/>
      <c r="I80" s="30"/>
      <c r="J80" s="30"/>
      <c r="K80" s="31">
        <f t="shared" si="71"/>
        <v>1170093.21</v>
      </c>
      <c r="L80" s="32">
        <f t="shared" si="71"/>
        <v>1404111.85</v>
      </c>
    </row>
    <row r="81" spans="1:13" ht="18.75" customHeight="1" x14ac:dyDescent="0.25">
      <c r="A81" s="38" t="s">
        <v>152</v>
      </c>
      <c r="B81" s="19" t="s">
        <v>41</v>
      </c>
      <c r="C81" s="20" t="s">
        <v>13</v>
      </c>
      <c r="D81" s="100">
        <f>D80*0.08*1.26</f>
        <v>606.15374400000007</v>
      </c>
      <c r="E81" s="21"/>
      <c r="F81" s="22"/>
      <c r="G81" s="22"/>
      <c r="H81" s="39">
        <v>2827.078</v>
      </c>
      <c r="I81" s="22">
        <f>ROUND(H81*D81,2)</f>
        <v>1713643.91</v>
      </c>
      <c r="J81" s="22">
        <f t="shared" ref="J81:J82" si="74">ROUND(I81*1.2,2)</f>
        <v>2056372.69</v>
      </c>
      <c r="K81" s="23">
        <f t="shared" si="71"/>
        <v>1713643.91</v>
      </c>
      <c r="L81" s="24">
        <f t="shared" si="71"/>
        <v>2056372.69</v>
      </c>
      <c r="M81" s="37"/>
    </row>
    <row r="82" spans="1:13" ht="18.75" customHeight="1" x14ac:dyDescent="0.25">
      <c r="A82" s="38" t="s">
        <v>153</v>
      </c>
      <c r="B82" s="19" t="s">
        <v>51</v>
      </c>
      <c r="C82" s="20" t="s">
        <v>17</v>
      </c>
      <c r="D82" s="119">
        <f>D80*0.86/1000</f>
        <v>5.1715498000000002</v>
      </c>
      <c r="E82" s="21"/>
      <c r="F82" s="22"/>
      <c r="G82" s="22"/>
      <c r="H82" s="39">
        <v>13706</v>
      </c>
      <c r="I82" s="22">
        <f>ROUND(H82*D82,2)</f>
        <v>70881.259999999995</v>
      </c>
      <c r="J82" s="22">
        <f t="shared" si="74"/>
        <v>85057.51</v>
      </c>
      <c r="K82" s="23">
        <f t="shared" si="71"/>
        <v>70881.259999999995</v>
      </c>
      <c r="L82" s="24">
        <f t="shared" si="71"/>
        <v>85057.51</v>
      </c>
      <c r="M82" s="63" t="s">
        <v>131</v>
      </c>
    </row>
    <row r="83" spans="1:13" ht="18.75" customHeight="1" x14ac:dyDescent="0.25">
      <c r="A83" s="36">
        <f>A80+1</f>
        <v>25</v>
      </c>
      <c r="B83" s="35" t="s">
        <v>159</v>
      </c>
      <c r="C83" s="36" t="s">
        <v>13</v>
      </c>
      <c r="D83" s="99">
        <v>724.39</v>
      </c>
      <c r="E83" s="25">
        <v>1666.3</v>
      </c>
      <c r="F83" s="30">
        <f>ROUND(E83*D83,2)</f>
        <v>1207051.06</v>
      </c>
      <c r="G83" s="30">
        <f>ROUND(F83*1.2,2)</f>
        <v>1448461.27</v>
      </c>
      <c r="H83" s="27"/>
      <c r="I83" s="30"/>
      <c r="J83" s="30"/>
      <c r="K83" s="31">
        <f t="shared" si="71"/>
        <v>1207051.06</v>
      </c>
      <c r="L83" s="32">
        <f t="shared" si="71"/>
        <v>1448461.27</v>
      </c>
    </row>
    <row r="84" spans="1:13" ht="18.75" customHeight="1" x14ac:dyDescent="0.25">
      <c r="A84" s="38" t="s">
        <v>154</v>
      </c>
      <c r="B84" s="19" t="s">
        <v>41</v>
      </c>
      <c r="C84" s="20" t="s">
        <v>13</v>
      </c>
      <c r="D84" s="100">
        <f>D83*1.26</f>
        <v>912.73140000000001</v>
      </c>
      <c r="E84" s="21"/>
      <c r="F84" s="22"/>
      <c r="G84" s="22"/>
      <c r="H84" s="39">
        <v>2827.078</v>
      </c>
      <c r="I84" s="22">
        <f>ROUND(H84*D84,2)</f>
        <v>2580362.86</v>
      </c>
      <c r="J84" s="22">
        <f t="shared" ref="J84" si="75">ROUND(I84*1.2,2)</f>
        <v>3096435.43</v>
      </c>
      <c r="K84" s="23">
        <f t="shared" si="71"/>
        <v>2580362.86</v>
      </c>
      <c r="L84" s="24">
        <f t="shared" si="71"/>
        <v>3096435.43</v>
      </c>
      <c r="M84" s="37"/>
    </row>
    <row r="85" spans="1:13" ht="18.75" customHeight="1" x14ac:dyDescent="0.25">
      <c r="A85" s="36">
        <f>A83+1</f>
        <v>26</v>
      </c>
      <c r="B85" s="35" t="s">
        <v>156</v>
      </c>
      <c r="C85" s="36" t="s">
        <v>13</v>
      </c>
      <c r="D85" s="99">
        <v>1448.78</v>
      </c>
      <c r="E85" s="25">
        <v>1055.45</v>
      </c>
      <c r="F85" s="30">
        <f>ROUND(E85*D85,2)</f>
        <v>1529114.85</v>
      </c>
      <c r="G85" s="30">
        <f>ROUND(F85*1.2,2)</f>
        <v>1834937.82</v>
      </c>
      <c r="H85" s="27"/>
      <c r="I85" s="30"/>
      <c r="J85" s="30"/>
      <c r="K85" s="31">
        <f t="shared" si="71"/>
        <v>1529114.85</v>
      </c>
      <c r="L85" s="32">
        <f t="shared" si="71"/>
        <v>1834937.82</v>
      </c>
    </row>
    <row r="86" spans="1:13" ht="18.75" customHeight="1" x14ac:dyDescent="0.25">
      <c r="A86" s="38" t="s">
        <v>83</v>
      </c>
      <c r="B86" s="19" t="s">
        <v>49</v>
      </c>
      <c r="C86" s="20" t="s">
        <v>13</v>
      </c>
      <c r="D86" s="100">
        <f>D85*1.1</f>
        <v>1593.6580000000001</v>
      </c>
      <c r="E86" s="21"/>
      <c r="F86" s="22"/>
      <c r="G86" s="22"/>
      <c r="H86" s="39">
        <v>1427.76</v>
      </c>
      <c r="I86" s="22">
        <f>ROUND(H86*D86,2)</f>
        <v>2275361.15</v>
      </c>
      <c r="J86" s="22">
        <f t="shared" ref="J86" si="76">ROUND(I86*1.2,2)</f>
        <v>2730433.38</v>
      </c>
      <c r="K86" s="23">
        <f t="shared" si="71"/>
        <v>2275361.15</v>
      </c>
      <c r="L86" s="24">
        <f t="shared" si="71"/>
        <v>2730433.38</v>
      </c>
      <c r="M86" s="37"/>
    </row>
    <row r="87" spans="1:13" ht="20.25" customHeight="1" x14ac:dyDescent="0.25">
      <c r="A87" s="36">
        <f>A85+1</f>
        <v>27</v>
      </c>
      <c r="B87" s="35" t="s">
        <v>147</v>
      </c>
      <c r="C87" s="36" t="s">
        <v>44</v>
      </c>
      <c r="D87" s="99">
        <v>4829.28</v>
      </c>
      <c r="E87" s="25">
        <v>183.58</v>
      </c>
      <c r="F87" s="30">
        <f>ROUND(E87*D87,2)</f>
        <v>886559.22</v>
      </c>
      <c r="G87" s="30">
        <f>ROUND(F87*1.2,2)</f>
        <v>1063871.06</v>
      </c>
      <c r="H87" s="27"/>
      <c r="I87" s="30"/>
      <c r="J87" s="30"/>
      <c r="K87" s="31">
        <f t="shared" si="71"/>
        <v>886559.22</v>
      </c>
      <c r="L87" s="32">
        <f t="shared" si="71"/>
        <v>1063871.06</v>
      </c>
    </row>
    <row r="88" spans="1:13" ht="18.75" customHeight="1" x14ac:dyDescent="0.25">
      <c r="A88" s="38" t="s">
        <v>84</v>
      </c>
      <c r="B88" s="19" t="s">
        <v>148</v>
      </c>
      <c r="C88" s="20" t="s">
        <v>44</v>
      </c>
      <c r="D88" s="100">
        <f>D87*1.1</f>
        <v>5312.2080000000005</v>
      </c>
      <c r="E88" s="21"/>
      <c r="F88" s="22"/>
      <c r="G88" s="22"/>
      <c r="H88" s="39">
        <v>153.33000000000001</v>
      </c>
      <c r="I88" s="22">
        <f>ROUND(H88*D88,2)</f>
        <v>814520.85</v>
      </c>
      <c r="J88" s="22">
        <f t="shared" ref="J88" si="77">ROUND(I88*1.2,2)</f>
        <v>977425.02</v>
      </c>
      <c r="K88" s="23">
        <f t="shared" si="71"/>
        <v>814520.85</v>
      </c>
      <c r="L88" s="24">
        <f t="shared" si="71"/>
        <v>977425.02</v>
      </c>
      <c r="M88" s="66"/>
    </row>
    <row r="89" spans="1:13" ht="18.75" customHeight="1" x14ac:dyDescent="0.25">
      <c r="A89" s="36">
        <f>A87+1</f>
        <v>28</v>
      </c>
      <c r="B89" s="35" t="s">
        <v>48</v>
      </c>
      <c r="C89" s="36" t="s">
        <v>38</v>
      </c>
      <c r="D89" s="99">
        <v>330</v>
      </c>
      <c r="E89" s="25">
        <v>1555.15</v>
      </c>
      <c r="F89" s="30">
        <f>ROUND(E89*D89,2)</f>
        <v>513199.5</v>
      </c>
      <c r="G89" s="30">
        <f>ROUND(F89*1.2,2)</f>
        <v>615839.4</v>
      </c>
      <c r="H89" s="27"/>
      <c r="I89" s="30"/>
      <c r="J89" s="30"/>
      <c r="K89" s="31">
        <f t="shared" si="71"/>
        <v>513199.5</v>
      </c>
      <c r="L89" s="32">
        <f t="shared" si="71"/>
        <v>615839.4</v>
      </c>
    </row>
    <row r="90" spans="1:13" ht="18.75" customHeight="1" x14ac:dyDescent="0.25">
      <c r="A90" s="38" t="s">
        <v>85</v>
      </c>
      <c r="B90" s="19" t="s">
        <v>50</v>
      </c>
      <c r="C90" s="20" t="s">
        <v>38</v>
      </c>
      <c r="D90" s="120">
        <v>330</v>
      </c>
      <c r="E90" s="21"/>
      <c r="F90" s="22"/>
      <c r="G90" s="22"/>
      <c r="H90" s="39">
        <v>247</v>
      </c>
      <c r="I90" s="22">
        <f>ROUND(H90*D90,2)</f>
        <v>81510</v>
      </c>
      <c r="J90" s="22">
        <f t="shared" ref="J90" si="78">ROUND(I90*1.2,2)</f>
        <v>97812</v>
      </c>
      <c r="K90" s="23">
        <f t="shared" si="71"/>
        <v>81510</v>
      </c>
      <c r="L90" s="24">
        <f t="shared" si="71"/>
        <v>97812</v>
      </c>
      <c r="M90" s="37"/>
    </row>
    <row r="91" spans="1:13" ht="29.25" customHeight="1" x14ac:dyDescent="0.25">
      <c r="A91" s="70"/>
      <c r="B91" s="77" t="s">
        <v>155</v>
      </c>
      <c r="C91" s="70"/>
      <c r="D91" s="121"/>
      <c r="E91" s="79"/>
      <c r="F91" s="74"/>
      <c r="G91" s="74"/>
      <c r="H91" s="75"/>
      <c r="I91" s="74"/>
      <c r="J91" s="74"/>
      <c r="K91" s="73"/>
      <c r="L91" s="76"/>
    </row>
    <row r="92" spans="1:13" ht="18.75" customHeight="1" x14ac:dyDescent="0.25">
      <c r="A92" s="36">
        <f>A89+1</f>
        <v>29</v>
      </c>
      <c r="B92" s="35" t="s">
        <v>158</v>
      </c>
      <c r="C92" s="36" t="s">
        <v>13</v>
      </c>
      <c r="D92" s="99">
        <v>65.5</v>
      </c>
      <c r="E92" s="25">
        <v>1666.3</v>
      </c>
      <c r="F92" s="30">
        <f>ROUND(E92*D92,2)</f>
        <v>109142.65</v>
      </c>
      <c r="G92" s="30">
        <f>ROUND(F92*1.2,2)</f>
        <v>130971.18</v>
      </c>
      <c r="H92" s="27"/>
      <c r="I92" s="30"/>
      <c r="J92" s="30"/>
      <c r="K92" s="31">
        <f t="shared" ref="K92:L93" si="79">F92+I92</f>
        <v>109142.65</v>
      </c>
      <c r="L92" s="32">
        <f t="shared" si="79"/>
        <v>130971.18</v>
      </c>
    </row>
    <row r="93" spans="1:13" ht="18.75" customHeight="1" x14ac:dyDescent="0.25">
      <c r="A93" s="38" t="s">
        <v>86</v>
      </c>
      <c r="B93" s="19" t="s">
        <v>41</v>
      </c>
      <c r="C93" s="20" t="s">
        <v>13</v>
      </c>
      <c r="D93" s="100">
        <f>D92*1.26</f>
        <v>82.53</v>
      </c>
      <c r="E93" s="21"/>
      <c r="F93" s="22"/>
      <c r="G93" s="22"/>
      <c r="H93" s="39">
        <v>2827.078</v>
      </c>
      <c r="I93" s="22">
        <f>ROUND(H93*D93,2)</f>
        <v>233318.75</v>
      </c>
      <c r="J93" s="22">
        <f t="shared" ref="J93" si="80">ROUND(I93*1.2,2)</f>
        <v>279982.5</v>
      </c>
      <c r="K93" s="23">
        <f t="shared" si="79"/>
        <v>233318.75</v>
      </c>
      <c r="L93" s="24">
        <f t="shared" si="79"/>
        <v>279982.5</v>
      </c>
      <c r="M93" s="37"/>
    </row>
    <row r="94" spans="1:13" ht="34.5" customHeight="1" x14ac:dyDescent="0.25">
      <c r="A94" s="70"/>
      <c r="B94" s="81" t="s">
        <v>172</v>
      </c>
      <c r="C94" s="70"/>
      <c r="D94" s="82"/>
      <c r="E94" s="79"/>
      <c r="F94" s="74"/>
      <c r="G94" s="74"/>
      <c r="H94" s="75"/>
      <c r="I94" s="74"/>
      <c r="J94" s="74"/>
      <c r="K94" s="73"/>
      <c r="L94" s="76"/>
    </row>
    <row r="95" spans="1:13" ht="21.75" customHeight="1" x14ac:dyDescent="0.25">
      <c r="A95" s="115" t="e">
        <f>#REF!+1</f>
        <v>#REF!</v>
      </c>
      <c r="B95" s="133" t="s">
        <v>173</v>
      </c>
      <c r="C95" s="134" t="s">
        <v>38</v>
      </c>
      <c r="D95" s="141">
        <v>22</v>
      </c>
      <c r="E95" s="135">
        <v>21240</v>
      </c>
      <c r="F95" s="14">
        <f t="shared" ref="F95:F97" si="81">ROUND(E95*D95,2)</f>
        <v>467280</v>
      </c>
      <c r="G95" s="14">
        <f t="shared" ref="G95:G97" si="82">ROUND(F95*1.2,2)</f>
        <v>560736</v>
      </c>
      <c r="H95" s="27"/>
      <c r="I95" s="16"/>
      <c r="J95" s="16"/>
      <c r="K95" s="13">
        <f t="shared" ref="K95:L98" si="83">F95+I95</f>
        <v>467280</v>
      </c>
      <c r="L95" s="14">
        <f t="shared" si="83"/>
        <v>560736</v>
      </c>
      <c r="M95" s="63" t="s">
        <v>179</v>
      </c>
    </row>
    <row r="96" spans="1:13" ht="21.75" customHeight="1" x14ac:dyDescent="0.25">
      <c r="A96" s="115" t="e">
        <f>A95+1</f>
        <v>#REF!</v>
      </c>
      <c r="B96" s="133" t="s">
        <v>174</v>
      </c>
      <c r="C96" s="134" t="s">
        <v>38</v>
      </c>
      <c r="D96" s="141">
        <v>44</v>
      </c>
      <c r="E96" s="135">
        <v>16840</v>
      </c>
      <c r="F96" s="14">
        <f t="shared" si="81"/>
        <v>740960</v>
      </c>
      <c r="G96" s="14">
        <f t="shared" si="82"/>
        <v>889152</v>
      </c>
      <c r="H96" s="27"/>
      <c r="I96" s="16"/>
      <c r="J96" s="16"/>
      <c r="K96" s="13">
        <f t="shared" si="83"/>
        <v>740960</v>
      </c>
      <c r="L96" s="14">
        <f t="shared" si="83"/>
        <v>889152</v>
      </c>
      <c r="M96" s="63" t="s">
        <v>179</v>
      </c>
    </row>
    <row r="97" spans="1:13" ht="21.75" customHeight="1" x14ac:dyDescent="0.25">
      <c r="A97" s="115" t="e">
        <f t="shared" ref="A97" si="84">A96+1</f>
        <v>#REF!</v>
      </c>
      <c r="B97" s="133" t="s">
        <v>175</v>
      </c>
      <c r="C97" s="134" t="s">
        <v>38</v>
      </c>
      <c r="D97" s="141">
        <v>44</v>
      </c>
      <c r="E97" s="135">
        <v>1020</v>
      </c>
      <c r="F97" s="14">
        <f t="shared" si="81"/>
        <v>44880</v>
      </c>
      <c r="G97" s="14">
        <f t="shared" si="82"/>
        <v>53856</v>
      </c>
      <c r="H97" s="27"/>
      <c r="I97" s="16"/>
      <c r="J97" s="16"/>
      <c r="K97" s="13">
        <f t="shared" si="83"/>
        <v>44880</v>
      </c>
      <c r="L97" s="14">
        <f t="shared" si="83"/>
        <v>53856</v>
      </c>
      <c r="M97" s="63" t="s">
        <v>179</v>
      </c>
    </row>
    <row r="98" spans="1:13" ht="24" customHeight="1" x14ac:dyDescent="0.25">
      <c r="A98" s="38" t="s">
        <v>178</v>
      </c>
      <c r="B98" s="140" t="s">
        <v>176</v>
      </c>
      <c r="C98" s="136" t="s">
        <v>177</v>
      </c>
      <c r="D98" s="142">
        <v>2</v>
      </c>
      <c r="E98" s="22"/>
      <c r="F98" s="22"/>
      <c r="G98" s="22"/>
      <c r="H98" s="138">
        <v>531646.56000000006</v>
      </c>
      <c r="I98" s="22">
        <f t="shared" ref="I98" si="85">ROUND(H98*D98,2)</f>
        <v>1063293.1200000001</v>
      </c>
      <c r="J98" s="22">
        <f t="shared" ref="J98" si="86">ROUND(I98*1.2,2)</f>
        <v>1275951.74</v>
      </c>
      <c r="K98" s="23">
        <f t="shared" si="83"/>
        <v>1063293.1200000001</v>
      </c>
      <c r="L98" s="22">
        <f t="shared" si="83"/>
        <v>1275951.74</v>
      </c>
      <c r="M98" s="63" t="s">
        <v>180</v>
      </c>
    </row>
    <row r="99" spans="1:13" ht="34.5" customHeight="1" x14ac:dyDescent="0.25">
      <c r="A99" s="70"/>
      <c r="B99" s="81" t="s">
        <v>184</v>
      </c>
      <c r="C99" s="70"/>
      <c r="D99" s="82"/>
      <c r="E99" s="79"/>
      <c r="F99" s="74"/>
      <c r="G99" s="74"/>
      <c r="H99" s="75"/>
      <c r="I99" s="74"/>
      <c r="J99" s="74"/>
      <c r="K99" s="73"/>
      <c r="L99" s="76"/>
    </row>
    <row r="100" spans="1:13" ht="21.75" customHeight="1" x14ac:dyDescent="0.25">
      <c r="A100" s="115" t="e">
        <f>A97+1</f>
        <v>#REF!</v>
      </c>
      <c r="B100" s="133" t="s">
        <v>173</v>
      </c>
      <c r="C100" s="134" t="s">
        <v>38</v>
      </c>
      <c r="D100" s="141">
        <v>76</v>
      </c>
      <c r="E100" s="135">
        <v>21240</v>
      </c>
      <c r="F100" s="14">
        <f t="shared" ref="F100:F103" si="87">ROUND(E100*D100,2)</f>
        <v>1614240</v>
      </c>
      <c r="G100" s="14">
        <f t="shared" ref="G100:G103" si="88">ROUND(F100*1.2,2)</f>
        <v>1937088</v>
      </c>
      <c r="H100" s="27"/>
      <c r="I100" s="16"/>
      <c r="J100" s="16"/>
      <c r="K100" s="13">
        <f t="shared" ref="K100:L104" si="89">F100+I100</f>
        <v>1614240</v>
      </c>
      <c r="L100" s="14">
        <f t="shared" si="89"/>
        <v>1937088</v>
      </c>
      <c r="M100" s="63" t="s">
        <v>179</v>
      </c>
    </row>
    <row r="101" spans="1:13" ht="21.75" customHeight="1" x14ac:dyDescent="0.25">
      <c r="A101" s="109" t="e">
        <f>A100+1</f>
        <v>#REF!</v>
      </c>
      <c r="B101" s="133" t="s">
        <v>174</v>
      </c>
      <c r="C101" s="134" t="s">
        <v>38</v>
      </c>
      <c r="D101" s="141">
        <v>152</v>
      </c>
      <c r="E101" s="135">
        <v>16840</v>
      </c>
      <c r="F101" s="14">
        <f t="shared" si="87"/>
        <v>2559680</v>
      </c>
      <c r="G101" s="14">
        <f t="shared" si="88"/>
        <v>3071616</v>
      </c>
      <c r="H101" s="27"/>
      <c r="I101" s="16"/>
      <c r="J101" s="16"/>
      <c r="K101" s="13">
        <f t="shared" si="89"/>
        <v>2559680</v>
      </c>
      <c r="L101" s="14">
        <f t="shared" si="89"/>
        <v>3071616</v>
      </c>
      <c r="M101" s="63" t="s">
        <v>179</v>
      </c>
    </row>
    <row r="102" spans="1:13" ht="21.75" customHeight="1" x14ac:dyDescent="0.25">
      <c r="A102" s="109" t="e">
        <f t="shared" ref="A102:A103" si="90">A101+1</f>
        <v>#REF!</v>
      </c>
      <c r="B102" s="139" t="s">
        <v>181</v>
      </c>
      <c r="C102" s="134" t="s">
        <v>38</v>
      </c>
      <c r="D102" s="141">
        <v>16</v>
      </c>
      <c r="E102" s="135"/>
      <c r="F102" s="14">
        <f t="shared" si="87"/>
        <v>0</v>
      </c>
      <c r="G102" s="14">
        <f t="shared" si="88"/>
        <v>0</v>
      </c>
      <c r="H102" s="27"/>
      <c r="I102" s="16"/>
      <c r="J102" s="16"/>
      <c r="K102" s="13">
        <f t="shared" si="89"/>
        <v>0</v>
      </c>
      <c r="L102" s="14">
        <f t="shared" si="89"/>
        <v>0</v>
      </c>
      <c r="M102" s="63"/>
    </row>
    <row r="103" spans="1:13" ht="21.75" customHeight="1" x14ac:dyDescent="0.25">
      <c r="A103" s="109" t="e">
        <f t="shared" si="90"/>
        <v>#REF!</v>
      </c>
      <c r="B103" s="139" t="s">
        <v>182</v>
      </c>
      <c r="C103" s="134" t="s">
        <v>38</v>
      </c>
      <c r="D103" s="141">
        <v>8</v>
      </c>
      <c r="E103" s="135"/>
      <c r="F103" s="14">
        <f t="shared" si="87"/>
        <v>0</v>
      </c>
      <c r="G103" s="14">
        <f t="shared" si="88"/>
        <v>0</v>
      </c>
      <c r="H103" s="27"/>
      <c r="I103" s="16"/>
      <c r="J103" s="16"/>
      <c r="K103" s="13">
        <f t="shared" si="89"/>
        <v>0</v>
      </c>
      <c r="L103" s="14">
        <f t="shared" si="89"/>
        <v>0</v>
      </c>
      <c r="M103" s="63"/>
    </row>
    <row r="104" spans="1:13" ht="24" customHeight="1" x14ac:dyDescent="0.25">
      <c r="A104" s="38" t="s">
        <v>183</v>
      </c>
      <c r="B104" s="140" t="s">
        <v>176</v>
      </c>
      <c r="C104" s="136" t="s">
        <v>177</v>
      </c>
      <c r="D104" s="142">
        <v>1</v>
      </c>
      <c r="E104" s="22"/>
      <c r="F104" s="22"/>
      <c r="G104" s="22"/>
      <c r="H104" s="138">
        <f>ROUND(4785220/1.2,2)</f>
        <v>3987683.33</v>
      </c>
      <c r="I104" s="22">
        <f t="shared" ref="I104" si="91">ROUND(H104*D104,2)</f>
        <v>3987683.33</v>
      </c>
      <c r="J104" s="22">
        <f t="shared" ref="J104" si="92">ROUND(I104*1.2,2)</f>
        <v>4785220</v>
      </c>
      <c r="K104" s="23">
        <f t="shared" si="89"/>
        <v>3987683.33</v>
      </c>
      <c r="L104" s="22">
        <f t="shared" si="89"/>
        <v>4785220</v>
      </c>
      <c r="M104" s="63" t="s">
        <v>345</v>
      </c>
    </row>
    <row r="105" spans="1:13" ht="23.25" customHeight="1" x14ac:dyDescent="0.25">
      <c r="A105" s="70"/>
      <c r="B105" s="81" t="s">
        <v>55</v>
      </c>
      <c r="C105" s="70"/>
      <c r="D105" s="82"/>
      <c r="E105" s="79"/>
      <c r="F105" s="74"/>
      <c r="G105" s="74"/>
      <c r="H105" s="75"/>
      <c r="I105" s="74"/>
      <c r="J105" s="74"/>
      <c r="K105" s="73"/>
      <c r="L105" s="76"/>
    </row>
    <row r="106" spans="1:13" ht="27.75" customHeight="1" x14ac:dyDescent="0.25">
      <c r="A106" s="36" t="e">
        <f>A103+1</f>
        <v>#REF!</v>
      </c>
      <c r="B106" s="35" t="s">
        <v>107</v>
      </c>
      <c r="C106" s="36" t="s">
        <v>13</v>
      </c>
      <c r="D106" s="101">
        <v>398.56</v>
      </c>
      <c r="E106" s="25">
        <v>419.9</v>
      </c>
      <c r="F106" s="30">
        <f t="shared" ref="F106" si="93">ROUND(E106*D106,2)</f>
        <v>167355.34</v>
      </c>
      <c r="G106" s="30">
        <f t="shared" ref="G106" si="94">ROUND(F106*1.2,2)</f>
        <v>200826.41</v>
      </c>
      <c r="H106" s="27"/>
      <c r="I106" s="30"/>
      <c r="J106" s="30"/>
      <c r="K106" s="31">
        <f t="shared" ref="K106:L113" si="95">F106+I106</f>
        <v>167355.34</v>
      </c>
      <c r="L106" s="32">
        <f t="shared" si="95"/>
        <v>200826.41</v>
      </c>
      <c r="M106" s="64"/>
    </row>
    <row r="107" spans="1:13" ht="18.75" customHeight="1" x14ac:dyDescent="0.25">
      <c r="A107" s="38" t="s">
        <v>185</v>
      </c>
      <c r="B107" s="68" t="s">
        <v>109</v>
      </c>
      <c r="C107" s="67" t="s">
        <v>13</v>
      </c>
      <c r="D107" s="143">
        <f>D106+1.1</f>
        <v>399.66</v>
      </c>
      <c r="E107" s="28"/>
      <c r="F107" s="22"/>
      <c r="G107" s="22"/>
      <c r="H107" s="65">
        <v>1262.44</v>
      </c>
      <c r="I107" s="22">
        <f>ROUND(H107*D107,2)</f>
        <v>504546.77</v>
      </c>
      <c r="J107" s="22">
        <f t="shared" ref="J107" si="96">ROUND(I107*1.2,2)</f>
        <v>605456.12</v>
      </c>
      <c r="K107" s="23">
        <f t="shared" si="95"/>
        <v>504546.77</v>
      </c>
      <c r="L107" s="24">
        <f t="shared" si="95"/>
        <v>605456.12</v>
      </c>
      <c r="M107" s="37" t="s">
        <v>110</v>
      </c>
    </row>
    <row r="108" spans="1:13" ht="29.25" customHeight="1" x14ac:dyDescent="0.25">
      <c r="A108" s="36" t="e">
        <f>A106+1</f>
        <v>#REF!</v>
      </c>
      <c r="B108" s="35" t="s">
        <v>108</v>
      </c>
      <c r="C108" s="36" t="s">
        <v>13</v>
      </c>
      <c r="D108" s="101">
        <v>99.92</v>
      </c>
      <c r="E108" s="69">
        <v>304.06</v>
      </c>
      <c r="F108" s="30">
        <f t="shared" ref="F108" si="97">ROUND(E108*D108,2)</f>
        <v>30381.68</v>
      </c>
      <c r="G108" s="30">
        <f t="shared" ref="G108" si="98">ROUND(F108*1.2,2)</f>
        <v>36458.019999999997</v>
      </c>
      <c r="H108" s="27"/>
      <c r="I108" s="30"/>
      <c r="J108" s="30"/>
      <c r="K108" s="31">
        <f t="shared" si="95"/>
        <v>30381.68</v>
      </c>
      <c r="L108" s="32">
        <f t="shared" si="95"/>
        <v>36458.019999999997</v>
      </c>
      <c r="M108" s="37" t="s">
        <v>110</v>
      </c>
    </row>
    <row r="109" spans="1:13" ht="18.75" customHeight="1" x14ac:dyDescent="0.25">
      <c r="A109" s="38" t="s">
        <v>101</v>
      </c>
      <c r="B109" s="68" t="s">
        <v>109</v>
      </c>
      <c r="C109" s="67" t="s">
        <v>13</v>
      </c>
      <c r="D109" s="143">
        <f>D108*1.1</f>
        <v>109.91200000000001</v>
      </c>
      <c r="E109" s="28"/>
      <c r="F109" s="22"/>
      <c r="G109" s="22"/>
      <c r="H109" s="65">
        <v>1262.44</v>
      </c>
      <c r="I109" s="22">
        <f>ROUND(H109*D109,2)</f>
        <v>138757.31</v>
      </c>
      <c r="J109" s="22">
        <f t="shared" ref="J109" si="99">ROUND(I109*1.2,2)</f>
        <v>166508.76999999999</v>
      </c>
      <c r="K109" s="23">
        <f t="shared" si="95"/>
        <v>138757.31</v>
      </c>
      <c r="L109" s="24">
        <f t="shared" si="95"/>
        <v>166508.76999999999</v>
      </c>
      <c r="M109" s="37" t="s">
        <v>110</v>
      </c>
    </row>
    <row r="110" spans="1:13" ht="18.75" customHeight="1" x14ac:dyDescent="0.25">
      <c r="A110" s="36" t="e">
        <f>A108+1</f>
        <v>#REF!</v>
      </c>
      <c r="B110" s="35" t="s">
        <v>56</v>
      </c>
      <c r="C110" s="36" t="s">
        <v>44</v>
      </c>
      <c r="D110" s="125">
        <v>2491</v>
      </c>
      <c r="E110" s="69">
        <v>118.81</v>
      </c>
      <c r="F110" s="30">
        <f t="shared" ref="F110" si="100">ROUND(E110*D110,2)</f>
        <v>295955.71000000002</v>
      </c>
      <c r="G110" s="30">
        <f t="shared" ref="G110" si="101">ROUND(F110*1.2,2)</f>
        <v>355146.85</v>
      </c>
      <c r="H110" s="27"/>
      <c r="I110" s="30"/>
      <c r="J110" s="30"/>
      <c r="K110" s="31">
        <f t="shared" si="95"/>
        <v>295955.71000000002</v>
      </c>
      <c r="L110" s="32">
        <f t="shared" si="95"/>
        <v>355146.85</v>
      </c>
      <c r="M110" s="37" t="s">
        <v>110</v>
      </c>
    </row>
    <row r="111" spans="1:13" ht="18.75" customHeight="1" x14ac:dyDescent="0.25">
      <c r="A111" s="38" t="s">
        <v>102</v>
      </c>
      <c r="B111" s="68" t="s">
        <v>57</v>
      </c>
      <c r="C111" s="67" t="s">
        <v>61</v>
      </c>
      <c r="D111" s="144">
        <v>16.5</v>
      </c>
      <c r="E111" s="28"/>
      <c r="F111" s="22"/>
      <c r="G111" s="22"/>
      <c r="H111" s="39">
        <v>461.7</v>
      </c>
      <c r="I111" s="22">
        <f>ROUND(H111*D111,2)</f>
        <v>7618.05</v>
      </c>
      <c r="J111" s="22">
        <f t="shared" ref="J111:J113" si="102">ROUND(I111*1.2,2)</f>
        <v>9141.66</v>
      </c>
      <c r="K111" s="23">
        <f t="shared" si="95"/>
        <v>7618.05</v>
      </c>
      <c r="L111" s="24">
        <f t="shared" si="95"/>
        <v>9141.66</v>
      </c>
      <c r="M111" s="64"/>
    </row>
    <row r="112" spans="1:13" ht="18.75" customHeight="1" x14ac:dyDescent="0.25">
      <c r="A112" s="38" t="s">
        <v>186</v>
      </c>
      <c r="B112" s="68" t="s">
        <v>58</v>
      </c>
      <c r="C112" s="67" t="s">
        <v>61</v>
      </c>
      <c r="D112" s="144">
        <v>16.5</v>
      </c>
      <c r="E112" s="28"/>
      <c r="F112" s="22"/>
      <c r="G112" s="22"/>
      <c r="H112" s="39">
        <v>615.6</v>
      </c>
      <c r="I112" s="22">
        <f>ROUND(H112*D112,2)</f>
        <v>10157.4</v>
      </c>
      <c r="J112" s="22">
        <f t="shared" si="102"/>
        <v>12188.88</v>
      </c>
      <c r="K112" s="23">
        <f t="shared" si="95"/>
        <v>10157.4</v>
      </c>
      <c r="L112" s="24">
        <f t="shared" si="95"/>
        <v>12188.88</v>
      </c>
      <c r="M112" s="64"/>
    </row>
    <row r="113" spans="1:13" ht="18.75" customHeight="1" x14ac:dyDescent="0.25">
      <c r="A113" s="38" t="s">
        <v>187</v>
      </c>
      <c r="B113" s="68" t="s">
        <v>59</v>
      </c>
      <c r="C113" s="67" t="s">
        <v>61</v>
      </c>
      <c r="D113" s="144">
        <v>16.5</v>
      </c>
      <c r="E113" s="28"/>
      <c r="F113" s="22"/>
      <c r="G113" s="22"/>
      <c r="H113" s="39">
        <v>1201.75</v>
      </c>
      <c r="I113" s="22">
        <f>ROUND(H113*D113,2)</f>
        <v>19828.88</v>
      </c>
      <c r="J113" s="22">
        <f t="shared" si="102"/>
        <v>23794.66</v>
      </c>
      <c r="K113" s="23">
        <f t="shared" si="95"/>
        <v>19828.88</v>
      </c>
      <c r="L113" s="24">
        <f t="shared" si="95"/>
        <v>23794.66</v>
      </c>
      <c r="M113" s="64"/>
    </row>
    <row r="114" spans="1:13" ht="18" customHeight="1" x14ac:dyDescent="0.25">
      <c r="A114" s="70"/>
      <c r="B114" s="81" t="s">
        <v>60</v>
      </c>
      <c r="C114" s="70"/>
      <c r="D114" s="82"/>
      <c r="E114" s="79"/>
      <c r="F114" s="74"/>
      <c r="G114" s="74"/>
      <c r="H114" s="75"/>
      <c r="I114" s="74"/>
      <c r="J114" s="74"/>
      <c r="K114" s="73"/>
      <c r="L114" s="76"/>
    </row>
    <row r="115" spans="1:13" ht="18.75" customHeight="1" x14ac:dyDescent="0.25">
      <c r="A115" s="36" t="e">
        <f>A110+1</f>
        <v>#REF!</v>
      </c>
      <c r="B115" s="35" t="s">
        <v>111</v>
      </c>
      <c r="C115" s="36" t="s">
        <v>44</v>
      </c>
      <c r="D115" s="106">
        <v>294</v>
      </c>
      <c r="E115" s="69">
        <f>308.75+188.1</f>
        <v>496.85</v>
      </c>
      <c r="F115" s="30">
        <f t="shared" ref="F115:F116" si="103">ROUND(E115*D115,2)</f>
        <v>146073.9</v>
      </c>
      <c r="G115" s="30">
        <f t="shared" ref="G115:G116" si="104">ROUND(F115*1.2,2)</f>
        <v>175288.68</v>
      </c>
      <c r="H115" s="27"/>
      <c r="I115" s="30"/>
      <c r="J115" s="30"/>
      <c r="K115" s="31">
        <f t="shared" ref="K115:L116" si="105">F115+I115</f>
        <v>146073.9</v>
      </c>
      <c r="L115" s="32">
        <f t="shared" si="105"/>
        <v>175288.68</v>
      </c>
      <c r="M115" s="64"/>
    </row>
    <row r="116" spans="1:13" ht="18.75" customHeight="1" x14ac:dyDescent="0.25">
      <c r="A116" s="36" t="e">
        <f>A115+1</f>
        <v>#REF!</v>
      </c>
      <c r="B116" s="35" t="s">
        <v>112</v>
      </c>
      <c r="C116" s="36" t="s">
        <v>44</v>
      </c>
      <c r="D116" s="125">
        <v>294</v>
      </c>
      <c r="E116" s="69">
        <f>157.6</f>
        <v>157.6</v>
      </c>
      <c r="F116" s="30">
        <f t="shared" si="103"/>
        <v>46334.400000000001</v>
      </c>
      <c r="G116" s="30">
        <f t="shared" si="104"/>
        <v>55601.279999999999</v>
      </c>
      <c r="H116" s="27"/>
      <c r="I116" s="30"/>
      <c r="J116" s="30"/>
      <c r="K116" s="31">
        <f t="shared" si="105"/>
        <v>46334.400000000001</v>
      </c>
      <c r="L116" s="32">
        <f t="shared" si="105"/>
        <v>55601.279999999999</v>
      </c>
    </row>
    <row r="117" spans="1:13" ht="18.75" customHeight="1" x14ac:dyDescent="0.25">
      <c r="A117" s="67" t="s">
        <v>103</v>
      </c>
      <c r="B117" s="84" t="s">
        <v>188</v>
      </c>
      <c r="C117" s="67" t="s">
        <v>44</v>
      </c>
      <c r="D117" s="143">
        <f>D116*1.1</f>
        <v>323.40000000000003</v>
      </c>
      <c r="E117" s="28"/>
      <c r="F117" s="22"/>
      <c r="G117" s="22"/>
      <c r="H117" s="21"/>
      <c r="I117" s="22">
        <f>ROUND(H117*D117,2)</f>
        <v>0</v>
      </c>
      <c r="J117" s="22">
        <f t="shared" ref="J117:J118" si="106">ROUND(I117*1.2,2)</f>
        <v>0</v>
      </c>
      <c r="K117" s="23">
        <f>F117+I117</f>
        <v>0</v>
      </c>
      <c r="L117" s="24">
        <f>G117+J117</f>
        <v>0</v>
      </c>
    </row>
    <row r="118" spans="1:13" ht="18.75" customHeight="1" x14ac:dyDescent="0.25">
      <c r="A118" s="67" t="s">
        <v>190</v>
      </c>
      <c r="B118" s="84" t="s">
        <v>189</v>
      </c>
      <c r="C118" s="67" t="s">
        <v>38</v>
      </c>
      <c r="D118" s="143">
        <v>675</v>
      </c>
      <c r="E118" s="28"/>
      <c r="F118" s="22"/>
      <c r="G118" s="22"/>
      <c r="H118" s="39"/>
      <c r="I118" s="22">
        <f>ROUND(H118*D118,2)</f>
        <v>0</v>
      </c>
      <c r="J118" s="22">
        <f t="shared" si="106"/>
        <v>0</v>
      </c>
      <c r="K118" s="23">
        <f t="shared" ref="K118:L120" si="107">F118+I118</f>
        <v>0</v>
      </c>
      <c r="L118" s="24">
        <f t="shared" si="107"/>
        <v>0</v>
      </c>
    </row>
    <row r="119" spans="1:13" ht="18.75" customHeight="1" x14ac:dyDescent="0.25">
      <c r="A119" s="36" t="e">
        <f>A116+1</f>
        <v>#REF!</v>
      </c>
      <c r="B119" s="35" t="s">
        <v>113</v>
      </c>
      <c r="C119" s="36" t="s">
        <v>44</v>
      </c>
      <c r="D119" s="125">
        <v>294</v>
      </c>
      <c r="E119" s="25">
        <v>1178</v>
      </c>
      <c r="F119" s="30">
        <f t="shared" ref="F119" si="108">ROUND(E119*D119,2)</f>
        <v>346332</v>
      </c>
      <c r="G119" s="30">
        <f t="shared" ref="G119" si="109">ROUND(F119*1.2,2)</f>
        <v>415598.4</v>
      </c>
      <c r="H119" s="27"/>
      <c r="I119" s="30"/>
      <c r="J119" s="30"/>
      <c r="K119" s="31">
        <f t="shared" si="107"/>
        <v>346332</v>
      </c>
      <c r="L119" s="32">
        <f t="shared" si="107"/>
        <v>415598.4</v>
      </c>
    </row>
    <row r="120" spans="1:13" ht="18.75" customHeight="1" x14ac:dyDescent="0.25">
      <c r="A120" s="67" t="s">
        <v>104</v>
      </c>
      <c r="B120" s="68" t="s">
        <v>69</v>
      </c>
      <c r="C120" s="67" t="s">
        <v>13</v>
      </c>
      <c r="D120" s="143">
        <f>D119*0.1*1.26</f>
        <v>37.044000000000004</v>
      </c>
      <c r="E120" s="28"/>
      <c r="F120" s="22"/>
      <c r="G120" s="22"/>
      <c r="H120" s="39">
        <f>2827.078</f>
        <v>2827.078</v>
      </c>
      <c r="I120" s="22">
        <f>ROUND(H120*D120,2)</f>
        <v>104726.28</v>
      </c>
      <c r="J120" s="22">
        <f t="shared" ref="J120" si="110">ROUND(I120*1.2,2)</f>
        <v>125671.54</v>
      </c>
      <c r="K120" s="23">
        <f t="shared" si="107"/>
        <v>104726.28</v>
      </c>
      <c r="L120" s="24">
        <f t="shared" si="107"/>
        <v>125671.54</v>
      </c>
    </row>
    <row r="121" spans="1:13" ht="18.75" customHeight="1" x14ac:dyDescent="0.25">
      <c r="A121" s="70"/>
      <c r="B121" s="81" t="s">
        <v>62</v>
      </c>
      <c r="C121" s="70"/>
      <c r="D121" s="147"/>
      <c r="E121" s="79"/>
      <c r="F121" s="74"/>
      <c r="G121" s="74"/>
      <c r="H121" s="75"/>
      <c r="I121" s="74"/>
      <c r="J121" s="74"/>
      <c r="K121" s="73"/>
      <c r="L121" s="76"/>
    </row>
    <row r="122" spans="1:13" ht="18.75" customHeight="1" x14ac:dyDescent="0.25">
      <c r="A122" s="36" t="e">
        <f>A119+1</f>
        <v>#REF!</v>
      </c>
      <c r="B122" s="35" t="s">
        <v>63</v>
      </c>
      <c r="C122" s="36" t="s">
        <v>13</v>
      </c>
      <c r="D122" s="125">
        <v>29.4</v>
      </c>
      <c r="E122" s="25">
        <v>1777</v>
      </c>
      <c r="F122" s="30">
        <f t="shared" ref="F122" si="111">ROUND(E122*D122,2)</f>
        <v>52243.8</v>
      </c>
      <c r="G122" s="30">
        <f t="shared" ref="G122" si="112">ROUND(F122*1.2,2)</f>
        <v>62692.56</v>
      </c>
      <c r="H122" s="27"/>
      <c r="I122" s="30"/>
      <c r="J122" s="30"/>
      <c r="K122" s="31">
        <f t="shared" ref="K122:L122" si="113">F122+I122</f>
        <v>52243.8</v>
      </c>
      <c r="L122" s="32">
        <f t="shared" si="113"/>
        <v>62692.56</v>
      </c>
    </row>
    <row r="123" spans="1:13" ht="26.25" customHeight="1" x14ac:dyDescent="0.25">
      <c r="A123" s="70"/>
      <c r="B123" s="81" t="s">
        <v>64</v>
      </c>
      <c r="C123" s="70"/>
      <c r="D123" s="82"/>
      <c r="E123" s="79"/>
      <c r="F123" s="74"/>
      <c r="G123" s="74"/>
      <c r="H123" s="75"/>
      <c r="I123" s="74"/>
      <c r="J123" s="74"/>
      <c r="K123" s="73"/>
      <c r="L123" s="76"/>
    </row>
    <row r="124" spans="1:13" ht="18.75" customHeight="1" x14ac:dyDescent="0.25">
      <c r="A124" s="36" t="e">
        <f>A122+1</f>
        <v>#REF!</v>
      </c>
      <c r="B124" s="35" t="s">
        <v>87</v>
      </c>
      <c r="C124" s="36" t="s">
        <v>15</v>
      </c>
      <c r="D124" s="106">
        <f>2.5*4</f>
        <v>10</v>
      </c>
      <c r="E124" s="25">
        <v>2455</v>
      </c>
      <c r="F124" s="30">
        <f t="shared" ref="F124" si="114">ROUND(E124*D124,2)</f>
        <v>24550</v>
      </c>
      <c r="G124" s="30">
        <f t="shared" ref="G124" si="115">ROUND(F124*1.2,2)</f>
        <v>29460</v>
      </c>
      <c r="H124" s="27"/>
      <c r="I124" s="30"/>
      <c r="J124" s="30"/>
      <c r="K124" s="31">
        <f t="shared" ref="K124:L130" si="116">F124+I124</f>
        <v>24550</v>
      </c>
      <c r="L124" s="32">
        <f t="shared" si="116"/>
        <v>29460</v>
      </c>
    </row>
    <row r="125" spans="1:13" ht="18.75" customHeight="1" x14ac:dyDescent="0.25">
      <c r="A125" s="67" t="s">
        <v>191</v>
      </c>
      <c r="B125" s="68" t="s">
        <v>65</v>
      </c>
      <c r="C125" s="67" t="s">
        <v>38</v>
      </c>
      <c r="D125" s="102">
        <v>3</v>
      </c>
      <c r="E125" s="28"/>
      <c r="F125" s="22"/>
      <c r="G125" s="22"/>
      <c r="H125" s="28">
        <v>4006</v>
      </c>
      <c r="I125" s="22">
        <f>ROUND(H125*D125,2)</f>
        <v>12018</v>
      </c>
      <c r="J125" s="22">
        <f t="shared" ref="J125:J126" si="117">ROUND(I125*1.2,2)</f>
        <v>14421.6</v>
      </c>
      <c r="K125" s="23">
        <f t="shared" si="116"/>
        <v>12018</v>
      </c>
      <c r="L125" s="24">
        <f t="shared" si="116"/>
        <v>14421.6</v>
      </c>
    </row>
    <row r="126" spans="1:13" ht="18.75" customHeight="1" x14ac:dyDescent="0.25">
      <c r="A126" s="67" t="s">
        <v>192</v>
      </c>
      <c r="B126" s="68" t="s">
        <v>66</v>
      </c>
      <c r="C126" s="67" t="s">
        <v>38</v>
      </c>
      <c r="D126" s="102">
        <v>4</v>
      </c>
      <c r="E126" s="28"/>
      <c r="F126" s="22"/>
      <c r="G126" s="22"/>
      <c r="H126" s="28">
        <v>12650</v>
      </c>
      <c r="I126" s="22">
        <f>ROUND(H126*D126,2)</f>
        <v>50600</v>
      </c>
      <c r="J126" s="22">
        <f t="shared" si="117"/>
        <v>60720</v>
      </c>
      <c r="K126" s="23">
        <f t="shared" si="116"/>
        <v>50600</v>
      </c>
      <c r="L126" s="24">
        <f t="shared" si="116"/>
        <v>60720</v>
      </c>
    </row>
    <row r="127" spans="1:13" ht="26.25" customHeight="1" x14ac:dyDescent="0.25">
      <c r="A127" s="36" t="e">
        <f>A124+1</f>
        <v>#REF!</v>
      </c>
      <c r="B127" s="35" t="s">
        <v>68</v>
      </c>
      <c r="C127" s="36" t="s">
        <v>13</v>
      </c>
      <c r="D127" s="125">
        <v>3.3</v>
      </c>
      <c r="E127" s="25">
        <v>1240</v>
      </c>
      <c r="F127" s="30">
        <f t="shared" ref="F127" si="118">ROUND(E127*D127,2)</f>
        <v>4092</v>
      </c>
      <c r="G127" s="30">
        <f t="shared" ref="G127" si="119">ROUND(F127*1.2,2)</f>
        <v>4910.3999999999996</v>
      </c>
      <c r="H127" s="27"/>
      <c r="I127" s="30"/>
      <c r="J127" s="30"/>
      <c r="K127" s="31">
        <f t="shared" si="116"/>
        <v>4092</v>
      </c>
      <c r="L127" s="32">
        <f t="shared" si="116"/>
        <v>4910.3999999999996</v>
      </c>
    </row>
    <row r="128" spans="1:13" ht="18" customHeight="1" x14ac:dyDescent="0.25">
      <c r="A128" s="67" t="s">
        <v>193</v>
      </c>
      <c r="B128" s="68" t="s">
        <v>69</v>
      </c>
      <c r="C128" s="67" t="s">
        <v>13</v>
      </c>
      <c r="D128" s="143">
        <f>D127*1.26</f>
        <v>4.1579999999999995</v>
      </c>
      <c r="E128" s="28"/>
      <c r="F128" s="22"/>
      <c r="G128" s="22"/>
      <c r="H128" s="39">
        <v>2827.078</v>
      </c>
      <c r="I128" s="22">
        <f>ROUND(H128*D128,2)</f>
        <v>11754.99</v>
      </c>
      <c r="J128" s="22">
        <f t="shared" ref="J128" si="120">ROUND(I128*1.2,2)</f>
        <v>14105.99</v>
      </c>
      <c r="K128" s="23">
        <f t="shared" si="116"/>
        <v>11754.99</v>
      </c>
      <c r="L128" s="24">
        <f t="shared" si="116"/>
        <v>14105.99</v>
      </c>
    </row>
    <row r="129" spans="1:13" ht="20.25" customHeight="1" x14ac:dyDescent="0.25">
      <c r="A129" s="36" t="e">
        <f>A127+1</f>
        <v>#REF!</v>
      </c>
      <c r="B129" s="35" t="s">
        <v>70</v>
      </c>
      <c r="C129" s="36" t="s">
        <v>13</v>
      </c>
      <c r="D129" s="146">
        <v>0.75900000000000001</v>
      </c>
      <c r="E129" s="25">
        <v>4844.8</v>
      </c>
      <c r="F129" s="30">
        <f t="shared" ref="F129:F130" si="121">ROUND(E129*D129,2)</f>
        <v>3677.2</v>
      </c>
      <c r="G129" s="30">
        <f t="shared" ref="G129:G130" si="122">ROUND(F129*1.2,2)</f>
        <v>4412.6400000000003</v>
      </c>
      <c r="H129" s="27"/>
      <c r="I129" s="30"/>
      <c r="J129" s="30"/>
      <c r="K129" s="31">
        <f t="shared" si="116"/>
        <v>3677.2</v>
      </c>
      <c r="L129" s="32">
        <f t="shared" si="116"/>
        <v>4412.6400000000003</v>
      </c>
    </row>
    <row r="130" spans="1:13" ht="18" customHeight="1" x14ac:dyDescent="0.25">
      <c r="A130" s="36" t="e">
        <f>A129+1</f>
        <v>#REF!</v>
      </c>
      <c r="B130" s="35" t="s">
        <v>194</v>
      </c>
      <c r="C130" s="36" t="s">
        <v>15</v>
      </c>
      <c r="D130" s="106">
        <f>2.5*4</f>
        <v>10</v>
      </c>
      <c r="E130" s="25">
        <f>2455*0.8</f>
        <v>1964</v>
      </c>
      <c r="F130" s="30">
        <f t="shared" si="121"/>
        <v>19640</v>
      </c>
      <c r="G130" s="30">
        <f t="shared" si="122"/>
        <v>23568</v>
      </c>
      <c r="H130" s="27"/>
      <c r="I130" s="30"/>
      <c r="J130" s="30"/>
      <c r="K130" s="31">
        <f t="shared" si="116"/>
        <v>19640</v>
      </c>
      <c r="L130" s="32">
        <f t="shared" si="116"/>
        <v>23568</v>
      </c>
    </row>
    <row r="131" spans="1:13" ht="18" customHeight="1" x14ac:dyDescent="0.25">
      <c r="A131" s="36"/>
      <c r="B131" s="148" t="s">
        <v>169</v>
      </c>
      <c r="C131" s="36"/>
      <c r="D131" s="145"/>
      <c r="E131" s="25"/>
      <c r="F131" s="30"/>
      <c r="G131" s="30"/>
      <c r="H131" s="27"/>
      <c r="I131" s="30"/>
      <c r="J131" s="30"/>
      <c r="K131" s="31"/>
      <c r="L131" s="32"/>
    </row>
    <row r="132" spans="1:13" ht="18" customHeight="1" x14ac:dyDescent="0.25">
      <c r="A132" s="36" t="e">
        <f>A130+1</f>
        <v>#REF!</v>
      </c>
      <c r="B132" s="35" t="s">
        <v>170</v>
      </c>
      <c r="C132" s="36" t="s">
        <v>17</v>
      </c>
      <c r="D132" s="149">
        <v>3.0230000000000001</v>
      </c>
      <c r="E132" s="25">
        <v>544.86</v>
      </c>
      <c r="F132" s="30">
        <f t="shared" ref="F132:F133" si="123">ROUND(E132*D132,2)</f>
        <v>1647.11</v>
      </c>
      <c r="G132" s="30">
        <f t="shared" ref="G132:G133" si="124">ROUND(F132*1.2,2)</f>
        <v>1976.53</v>
      </c>
      <c r="H132" s="27"/>
      <c r="I132" s="30"/>
      <c r="J132" s="30"/>
      <c r="K132" s="31">
        <f t="shared" ref="K132:L133" si="125">F132+I132</f>
        <v>1647.11</v>
      </c>
      <c r="L132" s="32">
        <f t="shared" si="125"/>
        <v>1976.53</v>
      </c>
    </row>
    <row r="133" spans="1:13" ht="18" customHeight="1" x14ac:dyDescent="0.25">
      <c r="A133" s="36" t="e">
        <f>A132+1</f>
        <v>#REF!</v>
      </c>
      <c r="B133" s="35" t="s">
        <v>171</v>
      </c>
      <c r="C133" s="36" t="s">
        <v>17</v>
      </c>
      <c r="D133" s="31">
        <v>51.45</v>
      </c>
      <c r="E133" s="25">
        <v>544.86</v>
      </c>
      <c r="F133" s="30">
        <f t="shared" si="123"/>
        <v>28033.05</v>
      </c>
      <c r="G133" s="30">
        <f t="shared" si="124"/>
        <v>33639.660000000003</v>
      </c>
      <c r="H133" s="27"/>
      <c r="I133" s="30"/>
      <c r="J133" s="30"/>
      <c r="K133" s="31">
        <f t="shared" si="125"/>
        <v>28033.05</v>
      </c>
      <c r="L133" s="32">
        <f t="shared" si="125"/>
        <v>33639.660000000003</v>
      </c>
    </row>
    <row r="134" spans="1:13" ht="31.5" customHeight="1" x14ac:dyDescent="0.25">
      <c r="A134" s="70"/>
      <c r="B134" s="81" t="s">
        <v>195</v>
      </c>
      <c r="C134" s="70"/>
      <c r="D134" s="82"/>
      <c r="E134" s="79"/>
      <c r="F134" s="74"/>
      <c r="G134" s="74"/>
      <c r="H134" s="75"/>
      <c r="I134" s="74"/>
      <c r="J134" s="74"/>
      <c r="K134" s="73"/>
      <c r="L134" s="76"/>
    </row>
    <row r="135" spans="1:13" ht="21.75" customHeight="1" x14ac:dyDescent="0.25">
      <c r="A135" s="36" t="e">
        <f>A133+1</f>
        <v>#REF!</v>
      </c>
      <c r="B135" s="35" t="s">
        <v>196</v>
      </c>
      <c r="C135" s="36" t="s">
        <v>44</v>
      </c>
      <c r="D135" s="31">
        <v>18.27</v>
      </c>
      <c r="E135" s="69">
        <v>2101.14</v>
      </c>
      <c r="F135" s="30">
        <f t="shared" ref="F135" si="126">ROUND(E135*D135,2)</f>
        <v>38387.83</v>
      </c>
      <c r="G135" s="30">
        <f t="shared" ref="G135" si="127">ROUND(F135*1.2,2)</f>
        <v>46065.4</v>
      </c>
      <c r="H135" s="27"/>
      <c r="I135" s="30"/>
      <c r="J135" s="30"/>
      <c r="K135" s="31">
        <f t="shared" ref="K135:L136" si="128">F135+I135</f>
        <v>38387.83</v>
      </c>
      <c r="L135" s="32">
        <f t="shared" si="128"/>
        <v>46065.4</v>
      </c>
      <c r="M135" s="37" t="s">
        <v>110</v>
      </c>
    </row>
    <row r="136" spans="1:13" ht="18" customHeight="1" x14ac:dyDescent="0.25">
      <c r="A136" s="67" t="s">
        <v>198</v>
      </c>
      <c r="B136" s="84" t="s">
        <v>197</v>
      </c>
      <c r="C136" s="67" t="s">
        <v>44</v>
      </c>
      <c r="D136" s="143">
        <v>18.27</v>
      </c>
      <c r="E136" s="28"/>
      <c r="F136" s="22"/>
      <c r="G136" s="22"/>
      <c r="H136" s="65">
        <f>1133.33/1.2</f>
        <v>944.44166666666661</v>
      </c>
      <c r="I136" s="22">
        <f>ROUND(H136*D136,2)</f>
        <v>17254.95</v>
      </c>
      <c r="J136" s="22">
        <f t="shared" ref="J136" si="129">ROUND(I136*1.2,2)</f>
        <v>20705.939999999999</v>
      </c>
      <c r="K136" s="23">
        <f t="shared" si="128"/>
        <v>17254.95</v>
      </c>
      <c r="L136" s="24">
        <f t="shared" si="128"/>
        <v>20705.939999999999</v>
      </c>
      <c r="M136" s="63" t="s">
        <v>317</v>
      </c>
    </row>
    <row r="137" spans="1:13" ht="27.75" customHeight="1" x14ac:dyDescent="0.25">
      <c r="A137" s="70"/>
      <c r="B137" s="81" t="s">
        <v>199</v>
      </c>
      <c r="C137" s="70"/>
      <c r="D137" s="82"/>
      <c r="E137" s="79"/>
      <c r="F137" s="74"/>
      <c r="G137" s="74"/>
      <c r="H137" s="75"/>
      <c r="I137" s="74"/>
      <c r="J137" s="74"/>
      <c r="K137" s="73"/>
      <c r="L137" s="76"/>
    </row>
    <row r="138" spans="1:13" ht="21.75" customHeight="1" x14ac:dyDescent="0.25">
      <c r="A138" s="160"/>
      <c r="B138" s="161" t="s">
        <v>203</v>
      </c>
      <c r="C138" s="162"/>
      <c r="D138" s="163"/>
      <c r="E138" s="164"/>
      <c r="F138" s="165"/>
      <c r="G138" s="165"/>
      <c r="H138" s="166"/>
      <c r="I138" s="165"/>
      <c r="J138" s="165"/>
      <c r="K138" s="164"/>
      <c r="L138" s="167"/>
    </row>
    <row r="139" spans="1:13" ht="21.75" customHeight="1" x14ac:dyDescent="0.25">
      <c r="A139" s="11"/>
      <c r="B139" s="132" t="s">
        <v>228</v>
      </c>
      <c r="C139" s="90"/>
      <c r="D139" s="111"/>
      <c r="E139" s="18"/>
      <c r="F139" s="16"/>
      <c r="G139" s="16"/>
      <c r="H139" s="150"/>
      <c r="I139" s="16"/>
      <c r="J139" s="16"/>
      <c r="K139" s="18"/>
      <c r="L139" s="93"/>
      <c r="M139" s="66"/>
    </row>
    <row r="140" spans="1:13" ht="28.5" customHeight="1" x14ac:dyDescent="0.25">
      <c r="A140" s="90" t="e">
        <f>A135+1</f>
        <v>#REF!</v>
      </c>
      <c r="B140" s="122" t="s">
        <v>201</v>
      </c>
      <c r="C140" s="123" t="s">
        <v>13</v>
      </c>
      <c r="D140" s="152">
        <v>0.27</v>
      </c>
      <c r="E140" s="314">
        <f>14540/0.84*0.27</f>
        <v>4673.5714285714284</v>
      </c>
      <c r="F140" s="314">
        <f>ROUND(E140*1,2)</f>
        <v>4673.57</v>
      </c>
      <c r="G140" s="314">
        <f t="shared" ref="G140" si="130">ROUND(F140*1.2,2)</f>
        <v>5608.28</v>
      </c>
      <c r="H140" s="314"/>
      <c r="I140" s="314"/>
      <c r="J140" s="314"/>
      <c r="K140" s="314">
        <f t="shared" ref="K140:L140" si="131">F140+I140</f>
        <v>4673.57</v>
      </c>
      <c r="L140" s="314">
        <f t="shared" si="131"/>
        <v>5608.28</v>
      </c>
      <c r="M140" s="66"/>
    </row>
    <row r="141" spans="1:13" ht="19.5" customHeight="1" x14ac:dyDescent="0.25">
      <c r="A141" s="115" t="s">
        <v>202</v>
      </c>
      <c r="B141" s="122" t="s">
        <v>200</v>
      </c>
      <c r="C141" s="123" t="s">
        <v>38</v>
      </c>
      <c r="D141" s="91">
        <v>1</v>
      </c>
      <c r="E141" s="315"/>
      <c r="F141" s="315"/>
      <c r="G141" s="315"/>
      <c r="H141" s="315"/>
      <c r="I141" s="315"/>
      <c r="J141" s="315"/>
      <c r="K141" s="315"/>
      <c r="L141" s="315"/>
      <c r="M141" s="151"/>
    </row>
    <row r="142" spans="1:13" ht="18" customHeight="1" x14ac:dyDescent="0.25">
      <c r="A142" s="36"/>
      <c r="B142" s="132" t="s">
        <v>229</v>
      </c>
      <c r="C142" s="36"/>
      <c r="D142" s="145"/>
      <c r="E142" s="25"/>
      <c r="F142" s="30"/>
      <c r="G142" s="30"/>
      <c r="H142" s="27"/>
      <c r="I142" s="30"/>
      <c r="J142" s="30"/>
      <c r="K142" s="31"/>
      <c r="L142" s="32"/>
    </row>
    <row r="143" spans="1:13" ht="30.75" customHeight="1" x14ac:dyDescent="0.25">
      <c r="A143" s="90" t="e">
        <f>A140+1</f>
        <v>#REF!</v>
      </c>
      <c r="B143" s="122" t="s">
        <v>204</v>
      </c>
      <c r="C143" s="90" t="s">
        <v>13</v>
      </c>
      <c r="D143" s="111">
        <f>0.27+0.1</f>
        <v>0.37</v>
      </c>
      <c r="E143" s="25">
        <v>17265.68</v>
      </c>
      <c r="F143" s="16">
        <f t="shared" ref="F143" si="132">ROUND(E143*D143,2)</f>
        <v>6388.3</v>
      </c>
      <c r="G143" s="16">
        <f t="shared" ref="G143" si="133">ROUND(F143*1.2,2)</f>
        <v>7665.96</v>
      </c>
      <c r="H143" s="150"/>
      <c r="I143" s="16"/>
      <c r="J143" s="16"/>
      <c r="K143" s="18">
        <f t="shared" ref="K143:L146" si="134">F143+I143</f>
        <v>6388.3</v>
      </c>
      <c r="L143" s="93">
        <f t="shared" si="134"/>
        <v>7665.96</v>
      </c>
      <c r="M143" s="114"/>
    </row>
    <row r="144" spans="1:13" ht="18.75" customHeight="1" x14ac:dyDescent="0.25">
      <c r="A144" s="115" t="s">
        <v>212</v>
      </c>
      <c r="B144" s="157" t="s">
        <v>207</v>
      </c>
      <c r="C144" s="116" t="s">
        <v>38</v>
      </c>
      <c r="D144" s="154">
        <v>1</v>
      </c>
      <c r="E144" s="28"/>
      <c r="F144" s="22"/>
      <c r="G144" s="22"/>
      <c r="H144" s="155">
        <v>7056</v>
      </c>
      <c r="I144" s="22">
        <f t="shared" ref="I144:I146" si="135">ROUND(H144*D144,2)</f>
        <v>7056</v>
      </c>
      <c r="J144" s="22">
        <f t="shared" ref="J144:J146" si="136">ROUND(I144*1.2,2)</f>
        <v>8467.2000000000007</v>
      </c>
      <c r="K144" s="23">
        <f t="shared" si="134"/>
        <v>7056</v>
      </c>
      <c r="L144" s="22">
        <f t="shared" si="134"/>
        <v>8467.2000000000007</v>
      </c>
      <c r="M144" s="37" t="s">
        <v>215</v>
      </c>
    </row>
    <row r="145" spans="1:13" ht="18.75" customHeight="1" x14ac:dyDescent="0.25">
      <c r="A145" s="115" t="s">
        <v>213</v>
      </c>
      <c r="B145" s="153" t="s">
        <v>211</v>
      </c>
      <c r="C145" s="116" t="s">
        <v>38</v>
      </c>
      <c r="D145" s="154">
        <v>1</v>
      </c>
      <c r="E145" s="28"/>
      <c r="F145" s="22"/>
      <c r="G145" s="22"/>
      <c r="H145" s="155">
        <v>3136</v>
      </c>
      <c r="I145" s="22">
        <f t="shared" si="135"/>
        <v>3136</v>
      </c>
      <c r="J145" s="22">
        <f t="shared" si="136"/>
        <v>3763.2</v>
      </c>
      <c r="K145" s="23">
        <f t="shared" si="134"/>
        <v>3136</v>
      </c>
      <c r="L145" s="22">
        <f t="shared" si="134"/>
        <v>3763.2</v>
      </c>
      <c r="M145" s="37"/>
    </row>
    <row r="146" spans="1:13" ht="18.75" customHeight="1" x14ac:dyDescent="0.25">
      <c r="A146" s="115" t="s">
        <v>214</v>
      </c>
      <c r="B146" s="157" t="s">
        <v>221</v>
      </c>
      <c r="C146" s="116" t="s">
        <v>38</v>
      </c>
      <c r="D146" s="154">
        <v>1</v>
      </c>
      <c r="E146" s="28"/>
      <c r="F146" s="22"/>
      <c r="G146" s="22"/>
      <c r="H146" s="155">
        <v>14421</v>
      </c>
      <c r="I146" s="22">
        <f t="shared" si="135"/>
        <v>14421</v>
      </c>
      <c r="J146" s="22">
        <f t="shared" si="136"/>
        <v>17305.2</v>
      </c>
      <c r="K146" s="23">
        <f t="shared" si="134"/>
        <v>14421</v>
      </c>
      <c r="L146" s="22">
        <f t="shared" si="134"/>
        <v>17305.2</v>
      </c>
      <c r="M146" s="37" t="s">
        <v>215</v>
      </c>
    </row>
    <row r="147" spans="1:13" ht="21.75" customHeight="1" x14ac:dyDescent="0.25">
      <c r="A147" s="160"/>
      <c r="B147" s="161" t="s">
        <v>216</v>
      </c>
      <c r="C147" s="162"/>
      <c r="D147" s="163"/>
      <c r="E147" s="164"/>
      <c r="F147" s="165"/>
      <c r="G147" s="165"/>
      <c r="H147" s="166"/>
      <c r="I147" s="165"/>
      <c r="J147" s="165"/>
      <c r="K147" s="164"/>
      <c r="L147" s="167"/>
    </row>
    <row r="148" spans="1:13" ht="21.75" customHeight="1" x14ac:dyDescent="0.25">
      <c r="A148" s="11"/>
      <c r="B148" s="132" t="s">
        <v>228</v>
      </c>
      <c r="C148" s="90"/>
      <c r="D148" s="111"/>
      <c r="E148" s="18"/>
      <c r="F148" s="16"/>
      <c r="G148" s="16"/>
      <c r="H148" s="150"/>
      <c r="I148" s="16"/>
      <c r="J148" s="16"/>
      <c r="K148" s="18"/>
      <c r="L148" s="93"/>
      <c r="M148" s="66"/>
    </row>
    <row r="149" spans="1:13" ht="21" customHeight="1" x14ac:dyDescent="0.25">
      <c r="A149" s="90" t="e">
        <f>A143+1</f>
        <v>#REF!</v>
      </c>
      <c r="B149" s="122" t="s">
        <v>217</v>
      </c>
      <c r="C149" s="123" t="s">
        <v>13</v>
      </c>
      <c r="D149" s="152">
        <f>0.06+0.24+0.18</f>
        <v>0.48</v>
      </c>
      <c r="E149" s="195">
        <f>14540/0.84*0.48</f>
        <v>8308.5714285714275</v>
      </c>
      <c r="F149" s="195">
        <f>ROUND(E149*1,2)</f>
        <v>8308.57</v>
      </c>
      <c r="G149" s="195">
        <f t="shared" ref="G149:G151" si="137">ROUND(F149*1.2,2)</f>
        <v>9970.2800000000007</v>
      </c>
      <c r="H149" s="195"/>
      <c r="I149" s="195"/>
      <c r="J149" s="195"/>
      <c r="K149" s="195">
        <f t="shared" ref="K149:L151" si="138">F149+I149</f>
        <v>8308.57</v>
      </c>
      <c r="L149" s="195">
        <f t="shared" si="138"/>
        <v>9970.2800000000007</v>
      </c>
      <c r="M149" s="66"/>
    </row>
    <row r="150" spans="1:13" ht="21" customHeight="1" x14ac:dyDescent="0.25">
      <c r="A150" s="90" t="e">
        <f>A149+1</f>
        <v>#REF!</v>
      </c>
      <c r="B150" s="122" t="s">
        <v>218</v>
      </c>
      <c r="C150" s="123" t="s">
        <v>38</v>
      </c>
      <c r="D150" s="103">
        <v>1</v>
      </c>
      <c r="E150" s="195">
        <f>2170.75*0.7</f>
        <v>1519.5249999999999</v>
      </c>
      <c r="F150" s="195">
        <f>ROUND(E150*1,2)</f>
        <v>1519.53</v>
      </c>
      <c r="G150" s="195">
        <f t="shared" si="137"/>
        <v>1823.44</v>
      </c>
      <c r="H150" s="195"/>
      <c r="I150" s="195"/>
      <c r="J150" s="195"/>
      <c r="K150" s="195">
        <f t="shared" si="138"/>
        <v>1519.53</v>
      </c>
      <c r="L150" s="195">
        <f t="shared" si="138"/>
        <v>1823.44</v>
      </c>
      <c r="M150" s="66"/>
    </row>
    <row r="151" spans="1:13" ht="21" customHeight="1" x14ac:dyDescent="0.25">
      <c r="A151" s="90" t="e">
        <f>A150+1</f>
        <v>#REF!</v>
      </c>
      <c r="B151" s="122" t="s">
        <v>219</v>
      </c>
      <c r="C151" s="123" t="s">
        <v>15</v>
      </c>
      <c r="D151" s="103">
        <v>8</v>
      </c>
      <c r="E151" s="195">
        <f>1853.74*0.5</f>
        <v>926.87</v>
      </c>
      <c r="F151" s="195">
        <f>ROUND(E151*1,2)</f>
        <v>926.87</v>
      </c>
      <c r="G151" s="195">
        <f t="shared" si="137"/>
        <v>1112.24</v>
      </c>
      <c r="H151" s="195"/>
      <c r="I151" s="195"/>
      <c r="J151" s="195"/>
      <c r="K151" s="195">
        <f t="shared" si="138"/>
        <v>926.87</v>
      </c>
      <c r="L151" s="195">
        <f t="shared" si="138"/>
        <v>1112.24</v>
      </c>
      <c r="M151" s="66"/>
    </row>
    <row r="152" spans="1:13" ht="21.75" customHeight="1" x14ac:dyDescent="0.25">
      <c r="A152" s="160"/>
      <c r="B152" s="161" t="s">
        <v>220</v>
      </c>
      <c r="C152" s="162"/>
      <c r="D152" s="163"/>
      <c r="E152" s="164"/>
      <c r="F152" s="165"/>
      <c r="G152" s="165"/>
      <c r="H152" s="166"/>
      <c r="I152" s="165"/>
      <c r="J152" s="165"/>
      <c r="K152" s="164"/>
      <c r="L152" s="167"/>
    </row>
    <row r="153" spans="1:13" ht="21.75" customHeight="1" x14ac:dyDescent="0.25">
      <c r="A153" s="11"/>
      <c r="B153" s="132" t="s">
        <v>228</v>
      </c>
      <c r="C153" s="90"/>
      <c r="D153" s="111"/>
      <c r="E153" s="18"/>
      <c r="F153" s="16"/>
      <c r="G153" s="16"/>
      <c r="H153" s="150"/>
      <c r="I153" s="16"/>
      <c r="J153" s="16"/>
      <c r="K153" s="18"/>
      <c r="L153" s="93"/>
      <c r="M153" s="66"/>
    </row>
    <row r="154" spans="1:13" ht="18.75" customHeight="1" x14ac:dyDescent="0.25">
      <c r="A154" s="90" t="e">
        <f>A151+1</f>
        <v>#REF!</v>
      </c>
      <c r="B154" s="122" t="s">
        <v>201</v>
      </c>
      <c r="C154" s="123" t="s">
        <v>13</v>
      </c>
      <c r="D154" s="152">
        <v>0.27</v>
      </c>
      <c r="E154" s="314">
        <f>14540/0.84*0.27</f>
        <v>4673.5714285714284</v>
      </c>
      <c r="F154" s="314">
        <f>ROUND(E154*1,2)</f>
        <v>4673.57</v>
      </c>
      <c r="G154" s="314">
        <f t="shared" ref="G154" si="139">ROUND(F154*1.2,2)</f>
        <v>5608.28</v>
      </c>
      <c r="H154" s="314"/>
      <c r="I154" s="314"/>
      <c r="J154" s="314"/>
      <c r="K154" s="314">
        <f t="shared" ref="K154:L154" si="140">F154+I154</f>
        <v>4673.57</v>
      </c>
      <c r="L154" s="314">
        <f t="shared" si="140"/>
        <v>5608.28</v>
      </c>
      <c r="M154" s="66"/>
    </row>
    <row r="155" spans="1:13" ht="19.5" customHeight="1" x14ac:dyDescent="0.25">
      <c r="A155" s="115" t="s">
        <v>271</v>
      </c>
      <c r="B155" s="122" t="s">
        <v>200</v>
      </c>
      <c r="C155" s="123" t="s">
        <v>38</v>
      </c>
      <c r="D155" s="91">
        <v>1</v>
      </c>
      <c r="E155" s="315"/>
      <c r="F155" s="315"/>
      <c r="G155" s="315"/>
      <c r="H155" s="315"/>
      <c r="I155" s="315"/>
      <c r="J155" s="315"/>
      <c r="K155" s="315"/>
      <c r="L155" s="315"/>
      <c r="M155" s="151"/>
    </row>
    <row r="156" spans="1:13" ht="18" customHeight="1" x14ac:dyDescent="0.25">
      <c r="A156" s="36"/>
      <c r="B156" s="132" t="s">
        <v>229</v>
      </c>
      <c r="C156" s="36"/>
      <c r="D156" s="145"/>
      <c r="E156" s="25"/>
      <c r="F156" s="30"/>
      <c r="G156" s="30"/>
      <c r="H156" s="27"/>
      <c r="I156" s="30"/>
      <c r="J156" s="30"/>
      <c r="K156" s="31"/>
      <c r="L156" s="32"/>
    </row>
    <row r="157" spans="1:13" ht="30.75" customHeight="1" x14ac:dyDescent="0.25">
      <c r="A157" s="90" t="e">
        <f>A154+1</f>
        <v>#REF!</v>
      </c>
      <c r="B157" s="122" t="s">
        <v>204</v>
      </c>
      <c r="C157" s="90" t="s">
        <v>13</v>
      </c>
      <c r="D157" s="111">
        <f>0.27+0.1</f>
        <v>0.37</v>
      </c>
      <c r="E157" s="25">
        <v>17265.68</v>
      </c>
      <c r="F157" s="16">
        <f t="shared" ref="F157" si="141">ROUND(E157*D157,2)</f>
        <v>6388.3</v>
      </c>
      <c r="G157" s="16">
        <f t="shared" ref="G157" si="142">ROUND(F157*1.2,2)</f>
        <v>7665.96</v>
      </c>
      <c r="H157" s="150"/>
      <c r="I157" s="16"/>
      <c r="J157" s="16"/>
      <c r="K157" s="18">
        <f t="shared" ref="K157:L160" si="143">F157+I157</f>
        <v>6388.3</v>
      </c>
      <c r="L157" s="93">
        <f t="shared" si="143"/>
        <v>7665.96</v>
      </c>
      <c r="M157" s="114"/>
    </row>
    <row r="158" spans="1:13" ht="18.75" customHeight="1" x14ac:dyDescent="0.25">
      <c r="A158" s="115" t="s">
        <v>272</v>
      </c>
      <c r="B158" s="157" t="s">
        <v>207</v>
      </c>
      <c r="C158" s="116" t="s">
        <v>38</v>
      </c>
      <c r="D158" s="154">
        <v>1</v>
      </c>
      <c r="E158" s="28"/>
      <c r="F158" s="22"/>
      <c r="G158" s="22"/>
      <c r="H158" s="155">
        <v>7056</v>
      </c>
      <c r="I158" s="22">
        <f t="shared" ref="I158:I160" si="144">ROUND(H158*D158,2)</f>
        <v>7056</v>
      </c>
      <c r="J158" s="22">
        <f t="shared" ref="J158:J160" si="145">ROUND(I158*1.2,2)</f>
        <v>8467.2000000000007</v>
      </c>
      <c r="K158" s="23">
        <f t="shared" si="143"/>
        <v>7056</v>
      </c>
      <c r="L158" s="22">
        <f t="shared" si="143"/>
        <v>8467.2000000000007</v>
      </c>
      <c r="M158" s="37" t="s">
        <v>215</v>
      </c>
    </row>
    <row r="159" spans="1:13" ht="18.75" customHeight="1" x14ac:dyDescent="0.25">
      <c r="A159" s="115" t="s">
        <v>273</v>
      </c>
      <c r="B159" s="153" t="s">
        <v>211</v>
      </c>
      <c r="C159" s="116" t="s">
        <v>38</v>
      </c>
      <c r="D159" s="154">
        <v>1</v>
      </c>
      <c r="E159" s="28"/>
      <c r="F159" s="22"/>
      <c r="G159" s="22"/>
      <c r="H159" s="155">
        <v>3136</v>
      </c>
      <c r="I159" s="22">
        <f t="shared" si="144"/>
        <v>3136</v>
      </c>
      <c r="J159" s="22">
        <f t="shared" si="145"/>
        <v>3763.2</v>
      </c>
      <c r="K159" s="23">
        <f t="shared" si="143"/>
        <v>3136</v>
      </c>
      <c r="L159" s="22">
        <f t="shared" si="143"/>
        <v>3763.2</v>
      </c>
      <c r="M159" s="37"/>
    </row>
    <row r="160" spans="1:13" ht="18.75" customHeight="1" x14ac:dyDescent="0.25">
      <c r="A160" s="115" t="s">
        <v>274</v>
      </c>
      <c r="B160" s="157" t="s">
        <v>221</v>
      </c>
      <c r="C160" s="116" t="s">
        <v>38</v>
      </c>
      <c r="D160" s="154">
        <v>1</v>
      </c>
      <c r="E160" s="28"/>
      <c r="F160" s="22"/>
      <c r="G160" s="22"/>
      <c r="H160" s="155">
        <v>14421</v>
      </c>
      <c r="I160" s="22">
        <f t="shared" si="144"/>
        <v>14421</v>
      </c>
      <c r="J160" s="22">
        <f t="shared" si="145"/>
        <v>17305.2</v>
      </c>
      <c r="K160" s="23">
        <f t="shared" si="143"/>
        <v>14421</v>
      </c>
      <c r="L160" s="22">
        <f t="shared" si="143"/>
        <v>17305.2</v>
      </c>
      <c r="M160" s="37" t="s">
        <v>215</v>
      </c>
    </row>
    <row r="161" spans="1:13" ht="21.75" customHeight="1" x14ac:dyDescent="0.25">
      <c r="A161" s="160"/>
      <c r="B161" s="161" t="s">
        <v>226</v>
      </c>
      <c r="C161" s="162"/>
      <c r="D161" s="163"/>
      <c r="E161" s="164"/>
      <c r="F161" s="165"/>
      <c r="G161" s="165"/>
      <c r="H161" s="166"/>
      <c r="I161" s="165"/>
      <c r="J161" s="165"/>
      <c r="K161" s="164"/>
      <c r="L161" s="167"/>
    </row>
    <row r="162" spans="1:13" ht="21.75" customHeight="1" x14ac:dyDescent="0.25">
      <c r="A162" s="11"/>
      <c r="B162" s="132" t="s">
        <v>228</v>
      </c>
      <c r="C162" s="90"/>
      <c r="D162" s="111"/>
      <c r="E162" s="18"/>
      <c r="F162" s="16"/>
      <c r="G162" s="16"/>
      <c r="H162" s="150"/>
      <c r="I162" s="16"/>
      <c r="J162" s="16"/>
      <c r="K162" s="18"/>
      <c r="L162" s="93"/>
      <c r="M162" s="66"/>
    </row>
    <row r="163" spans="1:13" ht="18.75" customHeight="1" x14ac:dyDescent="0.25">
      <c r="A163" s="109" t="e">
        <f>A157+1</f>
        <v>#REF!</v>
      </c>
      <c r="B163" s="107" t="s">
        <v>227</v>
      </c>
      <c r="C163" s="90" t="s">
        <v>38</v>
      </c>
      <c r="D163" s="108">
        <v>1</v>
      </c>
      <c r="E163" s="15">
        <f>1974*0.7</f>
        <v>1381.8</v>
      </c>
      <c r="F163" s="93">
        <f>ROUND(E163*D163,2)</f>
        <v>1381.8</v>
      </c>
      <c r="G163" s="93">
        <f t="shared" ref="G163" si="146">ROUND(F163*1.2,2)</f>
        <v>1658.16</v>
      </c>
      <c r="H163" s="18"/>
      <c r="I163" s="93"/>
      <c r="J163" s="93"/>
      <c r="K163" s="18">
        <f t="shared" ref="K163:L163" si="147">F163+I163</f>
        <v>1381.8</v>
      </c>
      <c r="L163" s="93">
        <f t="shared" si="147"/>
        <v>1658.16</v>
      </c>
    </row>
    <row r="164" spans="1:13" ht="18" customHeight="1" x14ac:dyDescent="0.25">
      <c r="A164" s="36"/>
      <c r="B164" s="132" t="s">
        <v>229</v>
      </c>
      <c r="C164" s="36"/>
      <c r="D164" s="145"/>
      <c r="E164" s="25"/>
      <c r="F164" s="30"/>
      <c r="G164" s="30"/>
      <c r="H164" s="27"/>
      <c r="I164" s="30"/>
      <c r="J164" s="30"/>
      <c r="K164" s="31"/>
      <c r="L164" s="32"/>
    </row>
    <row r="165" spans="1:13" ht="30.75" customHeight="1" x14ac:dyDescent="0.25">
      <c r="A165" s="90" t="e">
        <f>A163+1</f>
        <v>#REF!</v>
      </c>
      <c r="B165" s="122" t="s">
        <v>204</v>
      </c>
      <c r="C165" s="90" t="s">
        <v>13</v>
      </c>
      <c r="D165" s="111">
        <f>0.05</f>
        <v>0.05</v>
      </c>
      <c r="E165" s="25">
        <v>17265.68</v>
      </c>
      <c r="F165" s="16">
        <f t="shared" ref="F165" si="148">ROUND(E165*D165,2)</f>
        <v>863.28</v>
      </c>
      <c r="G165" s="16">
        <f t="shared" ref="G165" si="149">ROUND(F165*1.2,2)</f>
        <v>1035.94</v>
      </c>
      <c r="H165" s="150"/>
      <c r="I165" s="16"/>
      <c r="J165" s="16"/>
      <c r="K165" s="18">
        <f t="shared" ref="K165:L167" si="150">F165+I165</f>
        <v>863.28</v>
      </c>
      <c r="L165" s="93">
        <f t="shared" si="150"/>
        <v>1035.94</v>
      </c>
      <c r="M165" s="114"/>
    </row>
    <row r="166" spans="1:13" ht="18.75" customHeight="1" x14ac:dyDescent="0.25">
      <c r="A166" s="115" t="s">
        <v>222</v>
      </c>
      <c r="B166" s="153" t="s">
        <v>230</v>
      </c>
      <c r="C166" s="116" t="s">
        <v>38</v>
      </c>
      <c r="D166" s="154">
        <v>1</v>
      </c>
      <c r="E166" s="28"/>
      <c r="F166" s="22"/>
      <c r="G166" s="22"/>
      <c r="H166" s="155"/>
      <c r="I166" s="22">
        <f t="shared" ref="I166:I167" si="151">ROUND(H166*D166,2)</f>
        <v>0</v>
      </c>
      <c r="J166" s="22">
        <f t="shared" ref="J166:J167" si="152">ROUND(I166*1.2,2)</f>
        <v>0</v>
      </c>
      <c r="K166" s="23">
        <f t="shared" si="150"/>
        <v>0</v>
      </c>
      <c r="L166" s="22">
        <f t="shared" si="150"/>
        <v>0</v>
      </c>
      <c r="M166" s="37"/>
    </row>
    <row r="167" spans="1:13" ht="18.75" customHeight="1" x14ac:dyDescent="0.25">
      <c r="A167" s="115" t="s">
        <v>223</v>
      </c>
      <c r="B167" s="157" t="s">
        <v>221</v>
      </c>
      <c r="C167" s="116" t="s">
        <v>38</v>
      </c>
      <c r="D167" s="154">
        <v>1</v>
      </c>
      <c r="E167" s="28"/>
      <c r="F167" s="22"/>
      <c r="G167" s="22"/>
      <c r="H167" s="155">
        <v>14421</v>
      </c>
      <c r="I167" s="22">
        <f t="shared" si="151"/>
        <v>14421</v>
      </c>
      <c r="J167" s="22">
        <f t="shared" si="152"/>
        <v>17305.2</v>
      </c>
      <c r="K167" s="23">
        <f t="shared" si="150"/>
        <v>14421</v>
      </c>
      <c r="L167" s="22">
        <f t="shared" si="150"/>
        <v>17305.2</v>
      </c>
      <c r="M167" s="37" t="s">
        <v>215</v>
      </c>
    </row>
    <row r="168" spans="1:13" ht="21.75" customHeight="1" x14ac:dyDescent="0.25">
      <c r="A168" s="160"/>
      <c r="B168" s="161" t="s">
        <v>236</v>
      </c>
      <c r="C168" s="162"/>
      <c r="D168" s="163"/>
      <c r="E168" s="164"/>
      <c r="F168" s="165"/>
      <c r="G168" s="165"/>
      <c r="H168" s="166"/>
      <c r="I168" s="165"/>
      <c r="J168" s="165"/>
      <c r="K168" s="164"/>
      <c r="L168" s="167"/>
    </row>
    <row r="169" spans="1:13" ht="21.75" customHeight="1" x14ac:dyDescent="0.25">
      <c r="A169" s="11"/>
      <c r="B169" s="132" t="s">
        <v>228</v>
      </c>
      <c r="C169" s="90"/>
      <c r="D169" s="111"/>
      <c r="E169" s="18"/>
      <c r="F169" s="16"/>
      <c r="G169" s="16"/>
      <c r="H169" s="150"/>
      <c r="I169" s="16"/>
      <c r="J169" s="16"/>
      <c r="K169" s="18"/>
      <c r="L169" s="93"/>
      <c r="M169" s="66"/>
    </row>
    <row r="170" spans="1:13" ht="28.5" customHeight="1" x14ac:dyDescent="0.25">
      <c r="A170" s="90" t="e">
        <f>A165+1</f>
        <v>#REF!</v>
      </c>
      <c r="B170" s="122" t="s">
        <v>201</v>
      </c>
      <c r="C170" s="123" t="s">
        <v>13</v>
      </c>
      <c r="D170" s="152">
        <v>0.52</v>
      </c>
      <c r="E170" s="314">
        <f>14540/0.84*0.52</f>
        <v>9000.9523809523816</v>
      </c>
      <c r="F170" s="314">
        <f>ROUND(E170*1,2)</f>
        <v>9000.9500000000007</v>
      </c>
      <c r="G170" s="314">
        <f t="shared" ref="G170" si="153">ROUND(F170*1.2,2)</f>
        <v>10801.14</v>
      </c>
      <c r="H170" s="314"/>
      <c r="I170" s="314"/>
      <c r="J170" s="314"/>
      <c r="K170" s="314">
        <f t="shared" ref="K170:L170" si="154">F170+I170</f>
        <v>9000.9500000000007</v>
      </c>
      <c r="L170" s="314">
        <f t="shared" si="154"/>
        <v>10801.14</v>
      </c>
      <c r="M170" s="66"/>
    </row>
    <row r="171" spans="1:13" ht="19.5" customHeight="1" x14ac:dyDescent="0.25">
      <c r="A171" s="115" t="s">
        <v>224</v>
      </c>
      <c r="B171" s="122" t="s">
        <v>200</v>
      </c>
      <c r="C171" s="123" t="s">
        <v>38</v>
      </c>
      <c r="D171" s="91">
        <v>1</v>
      </c>
      <c r="E171" s="316"/>
      <c r="F171" s="316"/>
      <c r="G171" s="316"/>
      <c r="H171" s="316"/>
      <c r="I171" s="316"/>
      <c r="J171" s="316"/>
      <c r="K171" s="316"/>
      <c r="L171" s="316"/>
      <c r="M171" s="151"/>
    </row>
    <row r="172" spans="1:13" ht="19.5" customHeight="1" x14ac:dyDescent="0.25">
      <c r="A172" s="115"/>
      <c r="B172" s="132" t="s">
        <v>229</v>
      </c>
      <c r="C172" s="123"/>
      <c r="D172" s="91"/>
      <c r="E172" s="196"/>
      <c r="F172" s="196"/>
      <c r="G172" s="196"/>
      <c r="H172" s="196"/>
      <c r="I172" s="196"/>
      <c r="J172" s="196"/>
      <c r="K172" s="196"/>
      <c r="L172" s="196"/>
      <c r="M172" s="151"/>
    </row>
    <row r="173" spans="1:13" ht="30.75" customHeight="1" x14ac:dyDescent="0.25">
      <c r="A173" s="90" t="e">
        <f>A170+1</f>
        <v>#REF!</v>
      </c>
      <c r="B173" s="122" t="s">
        <v>204</v>
      </c>
      <c r="C173" s="90" t="s">
        <v>13</v>
      </c>
      <c r="D173" s="111">
        <f>0.52+0.05</f>
        <v>0.57000000000000006</v>
      </c>
      <c r="E173" s="25">
        <v>17265.68</v>
      </c>
      <c r="F173" s="16">
        <f t="shared" ref="F173" si="155">ROUND(E173*D173,2)</f>
        <v>9841.44</v>
      </c>
      <c r="G173" s="16">
        <f t="shared" ref="G173" si="156">ROUND(F173*1.2,2)</f>
        <v>11809.73</v>
      </c>
      <c r="H173" s="150"/>
      <c r="I173" s="16"/>
      <c r="J173" s="16"/>
      <c r="K173" s="18">
        <f t="shared" ref="K173:L176" si="157">F173+I173</f>
        <v>9841.44</v>
      </c>
      <c r="L173" s="93">
        <f t="shared" si="157"/>
        <v>11809.73</v>
      </c>
      <c r="M173" s="114"/>
    </row>
    <row r="174" spans="1:13" ht="18.75" customHeight="1" x14ac:dyDescent="0.25">
      <c r="A174" s="115" t="s">
        <v>225</v>
      </c>
      <c r="B174" s="157" t="s">
        <v>237</v>
      </c>
      <c r="C174" s="116" t="s">
        <v>38</v>
      </c>
      <c r="D174" s="154">
        <v>1</v>
      </c>
      <c r="E174" s="28"/>
      <c r="F174" s="22"/>
      <c r="G174" s="22"/>
      <c r="H174" s="155">
        <v>11691.67</v>
      </c>
      <c r="I174" s="22">
        <f t="shared" ref="I174:I176" si="158">ROUND(H174*D174,2)</f>
        <v>11691.67</v>
      </c>
      <c r="J174" s="22">
        <f t="shared" ref="J174:J176" si="159">ROUND(I174*1.2,2)</f>
        <v>14030</v>
      </c>
      <c r="K174" s="23">
        <f t="shared" si="157"/>
        <v>11691.67</v>
      </c>
      <c r="L174" s="22">
        <f t="shared" si="157"/>
        <v>14030</v>
      </c>
      <c r="M174" s="37" t="s">
        <v>215</v>
      </c>
    </row>
    <row r="175" spans="1:13" ht="18.75" customHeight="1" x14ac:dyDescent="0.25">
      <c r="A175" s="115" t="s">
        <v>275</v>
      </c>
      <c r="B175" s="157" t="s">
        <v>238</v>
      </c>
      <c r="C175" s="116" t="s">
        <v>38</v>
      </c>
      <c r="D175" s="154">
        <v>1</v>
      </c>
      <c r="E175" s="28"/>
      <c r="F175" s="22"/>
      <c r="G175" s="22"/>
      <c r="H175" s="159">
        <v>1379.4</v>
      </c>
      <c r="I175" s="22">
        <f t="shared" si="158"/>
        <v>1379.4</v>
      </c>
      <c r="J175" s="22">
        <f t="shared" si="159"/>
        <v>1655.28</v>
      </c>
      <c r="K175" s="23">
        <f t="shared" si="157"/>
        <v>1379.4</v>
      </c>
      <c r="L175" s="22">
        <f t="shared" si="157"/>
        <v>1655.28</v>
      </c>
      <c r="M175" s="37" t="s">
        <v>249</v>
      </c>
    </row>
    <row r="176" spans="1:13" ht="18.75" customHeight="1" x14ac:dyDescent="0.25">
      <c r="A176" s="115" t="s">
        <v>276</v>
      </c>
      <c r="B176" s="157" t="s">
        <v>221</v>
      </c>
      <c r="C176" s="116" t="s">
        <v>38</v>
      </c>
      <c r="D176" s="154">
        <v>1</v>
      </c>
      <c r="E176" s="28"/>
      <c r="F176" s="22"/>
      <c r="G176" s="22"/>
      <c r="H176" s="155">
        <v>14421</v>
      </c>
      <c r="I176" s="22">
        <f t="shared" si="158"/>
        <v>14421</v>
      </c>
      <c r="J176" s="22">
        <f t="shared" si="159"/>
        <v>17305.2</v>
      </c>
      <c r="K176" s="23">
        <f t="shared" si="157"/>
        <v>14421</v>
      </c>
      <c r="L176" s="22">
        <f t="shared" si="157"/>
        <v>17305.2</v>
      </c>
      <c r="M176" s="37" t="s">
        <v>215</v>
      </c>
    </row>
    <row r="177" spans="1:13" ht="21.75" customHeight="1" x14ac:dyDescent="0.25">
      <c r="A177" s="160"/>
      <c r="B177" s="161" t="s">
        <v>242</v>
      </c>
      <c r="C177" s="162"/>
      <c r="D177" s="163"/>
      <c r="E177" s="164"/>
      <c r="F177" s="165"/>
      <c r="G177" s="165"/>
      <c r="H177" s="166"/>
      <c r="I177" s="165"/>
      <c r="J177" s="165"/>
      <c r="K177" s="164"/>
      <c r="L177" s="167"/>
    </row>
    <row r="178" spans="1:13" ht="21.75" customHeight="1" x14ac:dyDescent="0.25">
      <c r="A178" s="11"/>
      <c r="B178" s="132" t="s">
        <v>228</v>
      </c>
      <c r="C178" s="90"/>
      <c r="D178" s="111"/>
      <c r="E178" s="18"/>
      <c r="F178" s="16"/>
      <c r="G178" s="16"/>
      <c r="H178" s="150"/>
      <c r="I178" s="16"/>
      <c r="J178" s="16"/>
      <c r="K178" s="18"/>
      <c r="L178" s="93"/>
      <c r="M178" s="66"/>
    </row>
    <row r="179" spans="1:13" ht="18.75" customHeight="1" x14ac:dyDescent="0.25">
      <c r="A179" s="109" t="e">
        <f>A173+1</f>
        <v>#REF!</v>
      </c>
      <c r="B179" s="107" t="s">
        <v>227</v>
      </c>
      <c r="C179" s="90" t="s">
        <v>38</v>
      </c>
      <c r="D179" s="108">
        <v>1</v>
      </c>
      <c r="E179" s="15">
        <f>1974*0.7</f>
        <v>1381.8</v>
      </c>
      <c r="F179" s="93">
        <f>ROUND(E179*D179,2)</f>
        <v>1381.8</v>
      </c>
      <c r="G179" s="93">
        <f t="shared" ref="G179" si="160">ROUND(F179*1.2,2)</f>
        <v>1658.16</v>
      </c>
      <c r="H179" s="18"/>
      <c r="I179" s="93"/>
      <c r="J179" s="93"/>
      <c r="K179" s="18">
        <f t="shared" ref="K179:L179" si="161">F179+I179</f>
        <v>1381.8</v>
      </c>
      <c r="L179" s="93">
        <f t="shared" si="161"/>
        <v>1658.16</v>
      </c>
    </row>
    <row r="180" spans="1:13" ht="18" customHeight="1" x14ac:dyDescent="0.25">
      <c r="A180" s="36"/>
      <c r="B180" s="132" t="s">
        <v>229</v>
      </c>
      <c r="C180" s="36"/>
      <c r="D180" s="145"/>
      <c r="E180" s="25"/>
      <c r="F180" s="30"/>
      <c r="G180" s="30"/>
      <c r="H180" s="27"/>
      <c r="I180" s="30"/>
      <c r="J180" s="30"/>
      <c r="K180" s="31"/>
      <c r="L180" s="32"/>
    </row>
    <row r="181" spans="1:13" ht="30.75" customHeight="1" x14ac:dyDescent="0.25">
      <c r="A181" s="90" t="e">
        <f>A179+1</f>
        <v>#REF!</v>
      </c>
      <c r="B181" s="122" t="s">
        <v>204</v>
      </c>
      <c r="C181" s="90" t="s">
        <v>13</v>
      </c>
      <c r="D181" s="111">
        <f>0.1+0.08</f>
        <v>0.18</v>
      </c>
      <c r="E181" s="25">
        <v>17265.68</v>
      </c>
      <c r="F181" s="16">
        <f t="shared" ref="F181" si="162">ROUND(E181*D181,2)</f>
        <v>3107.82</v>
      </c>
      <c r="G181" s="16">
        <f t="shared" ref="G181" si="163">ROUND(F181*1.2,2)</f>
        <v>3729.38</v>
      </c>
      <c r="H181" s="150"/>
      <c r="I181" s="16"/>
      <c r="J181" s="16"/>
      <c r="K181" s="18">
        <f t="shared" ref="K181:L184" si="164">F181+I181</f>
        <v>3107.82</v>
      </c>
      <c r="L181" s="93">
        <f t="shared" si="164"/>
        <v>3729.38</v>
      </c>
      <c r="M181" s="114"/>
    </row>
    <row r="182" spans="1:13" ht="18.75" customHeight="1" x14ac:dyDescent="0.25">
      <c r="A182" s="115" t="s">
        <v>233</v>
      </c>
      <c r="B182" s="153" t="s">
        <v>244</v>
      </c>
      <c r="C182" s="116" t="s">
        <v>38</v>
      </c>
      <c r="D182" s="154">
        <v>1</v>
      </c>
      <c r="E182" s="28"/>
      <c r="F182" s="22"/>
      <c r="G182" s="22"/>
      <c r="H182" s="155">
        <v>4025</v>
      </c>
      <c r="I182" s="22">
        <f t="shared" ref="I182:I184" si="165">ROUND(H182*D182,2)</f>
        <v>4025</v>
      </c>
      <c r="J182" s="22">
        <f t="shared" ref="J182:J184" si="166">ROUND(I182*1.2,2)</f>
        <v>4830</v>
      </c>
      <c r="K182" s="23">
        <f t="shared" si="164"/>
        <v>4025</v>
      </c>
      <c r="L182" s="22">
        <f t="shared" si="164"/>
        <v>4830</v>
      </c>
      <c r="M182" s="37"/>
    </row>
    <row r="183" spans="1:13" ht="18.75" customHeight="1" x14ac:dyDescent="0.25">
      <c r="A183" s="115" t="s">
        <v>231</v>
      </c>
      <c r="B183" s="153" t="s">
        <v>243</v>
      </c>
      <c r="C183" s="116" t="s">
        <v>38</v>
      </c>
      <c r="D183" s="154">
        <v>1</v>
      </c>
      <c r="E183" s="28"/>
      <c r="F183" s="22"/>
      <c r="G183" s="22"/>
      <c r="H183" s="155">
        <v>3099.25</v>
      </c>
      <c r="I183" s="22">
        <f t="shared" si="165"/>
        <v>3099.25</v>
      </c>
      <c r="J183" s="22">
        <f t="shared" si="166"/>
        <v>3719.1</v>
      </c>
      <c r="K183" s="23">
        <f t="shared" si="164"/>
        <v>3099.25</v>
      </c>
      <c r="L183" s="22">
        <f t="shared" si="164"/>
        <v>3719.1</v>
      </c>
      <c r="M183" s="37"/>
    </row>
    <row r="184" spans="1:13" ht="18.75" customHeight="1" x14ac:dyDescent="0.25">
      <c r="A184" s="115" t="s">
        <v>232</v>
      </c>
      <c r="B184" s="157" t="s">
        <v>221</v>
      </c>
      <c r="C184" s="116" t="s">
        <v>38</v>
      </c>
      <c r="D184" s="154">
        <v>1</v>
      </c>
      <c r="E184" s="28"/>
      <c r="F184" s="22"/>
      <c r="G184" s="22"/>
      <c r="H184" s="155">
        <v>14421</v>
      </c>
      <c r="I184" s="22">
        <f t="shared" si="165"/>
        <v>14421</v>
      </c>
      <c r="J184" s="22">
        <f t="shared" si="166"/>
        <v>17305.2</v>
      </c>
      <c r="K184" s="23">
        <f t="shared" si="164"/>
        <v>14421</v>
      </c>
      <c r="L184" s="22">
        <f t="shared" si="164"/>
        <v>17305.2</v>
      </c>
      <c r="M184" s="37" t="s">
        <v>215</v>
      </c>
    </row>
    <row r="185" spans="1:13" ht="21.75" customHeight="1" x14ac:dyDescent="0.25">
      <c r="A185" s="160"/>
      <c r="B185" s="161" t="s">
        <v>236</v>
      </c>
      <c r="C185" s="162"/>
      <c r="D185" s="163"/>
      <c r="E185" s="164"/>
      <c r="F185" s="165"/>
      <c r="G185" s="165"/>
      <c r="H185" s="166"/>
      <c r="I185" s="165"/>
      <c r="J185" s="165"/>
      <c r="K185" s="164"/>
      <c r="L185" s="167"/>
    </row>
    <row r="186" spans="1:13" ht="21.75" customHeight="1" x14ac:dyDescent="0.25">
      <c r="A186" s="11"/>
      <c r="B186" s="132" t="s">
        <v>228</v>
      </c>
      <c r="C186" s="90"/>
      <c r="D186" s="111"/>
      <c r="E186" s="18"/>
      <c r="F186" s="16"/>
      <c r="G186" s="16"/>
      <c r="H186" s="150"/>
      <c r="I186" s="16"/>
      <c r="J186" s="16"/>
      <c r="K186" s="18"/>
      <c r="L186" s="93"/>
      <c r="M186" s="66"/>
    </row>
    <row r="187" spans="1:13" ht="28.5" customHeight="1" x14ac:dyDescent="0.25">
      <c r="A187" s="90" t="e">
        <f>A181+1</f>
        <v>#REF!</v>
      </c>
      <c r="B187" s="122" t="s">
        <v>201</v>
      </c>
      <c r="C187" s="123" t="s">
        <v>13</v>
      </c>
      <c r="D187" s="152">
        <v>0.1</v>
      </c>
      <c r="E187" s="314">
        <f>14540/0.84*0.1</f>
        <v>1730.952380952381</v>
      </c>
      <c r="F187" s="314">
        <f>ROUND(E187*1,2)</f>
        <v>1730.95</v>
      </c>
      <c r="G187" s="314">
        <f t="shared" ref="G187" si="167">ROUND(F187*1.2,2)</f>
        <v>2077.14</v>
      </c>
      <c r="H187" s="314"/>
      <c r="I187" s="314"/>
      <c r="J187" s="314"/>
      <c r="K187" s="314">
        <f t="shared" ref="K187:L187" si="168">F187+I187</f>
        <v>1730.95</v>
      </c>
      <c r="L187" s="314">
        <f t="shared" si="168"/>
        <v>2077.14</v>
      </c>
      <c r="M187" s="66"/>
    </row>
    <row r="188" spans="1:13" ht="19.5" customHeight="1" x14ac:dyDescent="0.25">
      <c r="A188" s="115" t="s">
        <v>234</v>
      </c>
      <c r="B188" s="122" t="s">
        <v>200</v>
      </c>
      <c r="C188" s="123" t="s">
        <v>38</v>
      </c>
      <c r="D188" s="91">
        <v>1</v>
      </c>
      <c r="E188" s="316"/>
      <c r="F188" s="316"/>
      <c r="G188" s="316"/>
      <c r="H188" s="316"/>
      <c r="I188" s="316"/>
      <c r="J188" s="316"/>
      <c r="K188" s="316"/>
      <c r="L188" s="316"/>
      <c r="M188" s="151"/>
    </row>
    <row r="189" spans="1:13" ht="19.5" customHeight="1" x14ac:dyDescent="0.25">
      <c r="A189" s="115"/>
      <c r="B189" s="132" t="s">
        <v>229</v>
      </c>
      <c r="C189" s="123"/>
      <c r="D189" s="91"/>
      <c r="E189" s="196"/>
      <c r="F189" s="196"/>
      <c r="G189" s="196"/>
      <c r="H189" s="196"/>
      <c r="I189" s="196"/>
      <c r="J189" s="196"/>
      <c r="K189" s="196"/>
      <c r="L189" s="196"/>
      <c r="M189" s="151"/>
    </row>
    <row r="190" spans="1:13" ht="30.75" customHeight="1" x14ac:dyDescent="0.25">
      <c r="A190" s="90" t="e">
        <f>A187+1</f>
        <v>#REF!</v>
      </c>
      <c r="B190" s="122" t="s">
        <v>204</v>
      </c>
      <c r="C190" s="90" t="s">
        <v>13</v>
      </c>
      <c r="D190" s="111">
        <f>0.1+0.02</f>
        <v>0.12000000000000001</v>
      </c>
      <c r="E190" s="25">
        <v>17265.68</v>
      </c>
      <c r="F190" s="16">
        <f t="shared" ref="F190" si="169">ROUND(E190*D190,2)</f>
        <v>2071.88</v>
      </c>
      <c r="G190" s="16">
        <f t="shared" ref="G190" si="170">ROUND(F190*1.2,2)</f>
        <v>2486.2600000000002</v>
      </c>
      <c r="H190" s="150"/>
      <c r="I190" s="16"/>
      <c r="J190" s="16"/>
      <c r="K190" s="18">
        <f t="shared" ref="K190:L193" si="171">F190+I190</f>
        <v>2071.88</v>
      </c>
      <c r="L190" s="93">
        <f t="shared" si="171"/>
        <v>2486.2600000000002</v>
      </c>
      <c r="M190" s="114"/>
    </row>
    <row r="191" spans="1:13" ht="18.75" customHeight="1" x14ac:dyDescent="0.25">
      <c r="A191" s="115" t="s">
        <v>235</v>
      </c>
      <c r="B191" s="157" t="s">
        <v>244</v>
      </c>
      <c r="C191" s="116" t="s">
        <v>38</v>
      </c>
      <c r="D191" s="154">
        <v>1</v>
      </c>
      <c r="E191" s="28"/>
      <c r="F191" s="22"/>
      <c r="G191" s="22"/>
      <c r="H191" s="155">
        <v>4025</v>
      </c>
      <c r="I191" s="22">
        <f t="shared" ref="I191:I193" si="172">ROUND(H191*D191,2)</f>
        <v>4025</v>
      </c>
      <c r="J191" s="22">
        <f t="shared" ref="J191:J193" si="173">ROUND(I191*1.2,2)</f>
        <v>4830</v>
      </c>
      <c r="K191" s="23">
        <f t="shared" si="171"/>
        <v>4025</v>
      </c>
      <c r="L191" s="22">
        <f t="shared" si="171"/>
        <v>4830</v>
      </c>
      <c r="M191" s="37" t="s">
        <v>215</v>
      </c>
    </row>
    <row r="192" spans="1:13" ht="18.75" customHeight="1" x14ac:dyDescent="0.25">
      <c r="A192" s="115" t="s">
        <v>277</v>
      </c>
      <c r="B192" s="153" t="s">
        <v>248</v>
      </c>
      <c r="C192" s="116" t="s">
        <v>38</v>
      </c>
      <c r="D192" s="154">
        <v>1</v>
      </c>
      <c r="E192" s="28"/>
      <c r="F192" s="22"/>
      <c r="G192" s="22"/>
      <c r="H192" s="159">
        <v>751.45</v>
      </c>
      <c r="I192" s="22">
        <f t="shared" si="172"/>
        <v>751.45</v>
      </c>
      <c r="J192" s="22">
        <f t="shared" si="173"/>
        <v>901.74</v>
      </c>
      <c r="K192" s="23">
        <f t="shared" si="171"/>
        <v>751.45</v>
      </c>
      <c r="L192" s="22">
        <f t="shared" si="171"/>
        <v>901.74</v>
      </c>
      <c r="M192" s="37" t="s">
        <v>249</v>
      </c>
    </row>
    <row r="193" spans="1:13" ht="18.75" customHeight="1" x14ac:dyDescent="0.25">
      <c r="A193" s="115" t="s">
        <v>278</v>
      </c>
      <c r="B193" s="157" t="s">
        <v>221</v>
      </c>
      <c r="C193" s="116" t="s">
        <v>38</v>
      </c>
      <c r="D193" s="154">
        <v>1</v>
      </c>
      <c r="E193" s="28"/>
      <c r="F193" s="22"/>
      <c r="G193" s="22"/>
      <c r="H193" s="155">
        <v>14421</v>
      </c>
      <c r="I193" s="22">
        <f t="shared" si="172"/>
        <v>14421</v>
      </c>
      <c r="J193" s="22">
        <f t="shared" si="173"/>
        <v>17305.2</v>
      </c>
      <c r="K193" s="23">
        <f t="shared" si="171"/>
        <v>14421</v>
      </c>
      <c r="L193" s="22">
        <f t="shared" si="171"/>
        <v>17305.2</v>
      </c>
      <c r="M193" s="37" t="s">
        <v>215</v>
      </c>
    </row>
    <row r="194" spans="1:13" ht="21.75" customHeight="1" x14ac:dyDescent="0.25">
      <c r="A194" s="160"/>
      <c r="B194" s="161" t="s">
        <v>250</v>
      </c>
      <c r="C194" s="162"/>
      <c r="D194" s="163"/>
      <c r="E194" s="164"/>
      <c r="F194" s="165"/>
      <c r="G194" s="165"/>
      <c r="H194" s="166"/>
      <c r="I194" s="165"/>
      <c r="J194" s="165"/>
      <c r="K194" s="164"/>
      <c r="L194" s="167"/>
    </row>
    <row r="195" spans="1:13" ht="21.75" customHeight="1" x14ac:dyDescent="0.25">
      <c r="A195" s="11"/>
      <c r="B195" s="132" t="s">
        <v>228</v>
      </c>
      <c r="C195" s="90"/>
      <c r="D195" s="111"/>
      <c r="E195" s="18"/>
      <c r="F195" s="16"/>
      <c r="G195" s="16"/>
      <c r="H195" s="150"/>
      <c r="I195" s="16"/>
      <c r="J195" s="16"/>
      <c r="K195" s="18"/>
      <c r="L195" s="93"/>
      <c r="M195" s="66"/>
    </row>
    <row r="196" spans="1:13" ht="18.75" customHeight="1" x14ac:dyDescent="0.25">
      <c r="A196" s="109" t="e">
        <f>A190+1</f>
        <v>#REF!</v>
      </c>
      <c r="B196" s="107" t="s">
        <v>227</v>
      </c>
      <c r="C196" s="90" t="s">
        <v>38</v>
      </c>
      <c r="D196" s="108">
        <v>1</v>
      </c>
      <c r="E196" s="15">
        <f>1974*0.7</f>
        <v>1381.8</v>
      </c>
      <c r="F196" s="93">
        <f>ROUND(E196*D196,2)</f>
        <v>1381.8</v>
      </c>
      <c r="G196" s="93">
        <f t="shared" ref="G196" si="174">ROUND(F196*1.2,2)</f>
        <v>1658.16</v>
      </c>
      <c r="H196" s="18"/>
      <c r="I196" s="93"/>
      <c r="J196" s="93"/>
      <c r="K196" s="18">
        <f t="shared" ref="K196:L196" si="175">F196+I196</f>
        <v>1381.8</v>
      </c>
      <c r="L196" s="93">
        <f t="shared" si="175"/>
        <v>1658.16</v>
      </c>
    </row>
    <row r="197" spans="1:13" ht="19.5" customHeight="1" x14ac:dyDescent="0.25">
      <c r="A197" s="115"/>
      <c r="B197" s="132" t="s">
        <v>229</v>
      </c>
      <c r="C197" s="123"/>
      <c r="D197" s="91"/>
      <c r="E197" s="196"/>
      <c r="F197" s="196"/>
      <c r="G197" s="196"/>
      <c r="H197" s="196"/>
      <c r="I197" s="196"/>
      <c r="J197" s="196"/>
      <c r="K197" s="196"/>
      <c r="L197" s="196"/>
      <c r="M197" s="151"/>
    </row>
    <row r="198" spans="1:13" ht="30.75" customHeight="1" x14ac:dyDescent="0.25">
      <c r="A198" s="90" t="e">
        <f>A196+1</f>
        <v>#REF!</v>
      </c>
      <c r="B198" s="122" t="s">
        <v>204</v>
      </c>
      <c r="C198" s="90" t="s">
        <v>13</v>
      </c>
      <c r="D198" s="111">
        <f>0.18</f>
        <v>0.18</v>
      </c>
      <c r="E198" s="25">
        <v>17265.68</v>
      </c>
      <c r="F198" s="16">
        <f t="shared" ref="F198" si="176">ROUND(E198*D198,2)</f>
        <v>3107.82</v>
      </c>
      <c r="G198" s="16">
        <f t="shared" ref="G198" si="177">ROUND(F198*1.2,2)</f>
        <v>3729.38</v>
      </c>
      <c r="H198" s="150"/>
      <c r="I198" s="16"/>
      <c r="J198" s="16"/>
      <c r="K198" s="18">
        <f t="shared" ref="K198:L199" si="178">F198+I198</f>
        <v>3107.82</v>
      </c>
      <c r="L198" s="93">
        <f t="shared" si="178"/>
        <v>3729.38</v>
      </c>
      <c r="M198" s="114"/>
    </row>
    <row r="199" spans="1:13" ht="18.75" customHeight="1" x14ac:dyDescent="0.25">
      <c r="A199" s="115" t="s">
        <v>239</v>
      </c>
      <c r="B199" s="153" t="s">
        <v>255</v>
      </c>
      <c r="C199" s="116" t="s">
        <v>38</v>
      </c>
      <c r="D199" s="154">
        <v>1</v>
      </c>
      <c r="E199" s="21"/>
      <c r="F199" s="22"/>
      <c r="G199" s="22"/>
      <c r="H199" s="155">
        <v>5079.17</v>
      </c>
      <c r="I199" s="22">
        <f t="shared" ref="I199" si="179">ROUND(H199*D199,2)</f>
        <v>5079.17</v>
      </c>
      <c r="J199" s="22">
        <f t="shared" ref="J199" si="180">ROUND(I199*1.2,2)</f>
        <v>6095</v>
      </c>
      <c r="K199" s="23">
        <f t="shared" si="178"/>
        <v>5079.17</v>
      </c>
      <c r="L199" s="22">
        <f t="shared" si="178"/>
        <v>6095</v>
      </c>
      <c r="M199" s="37"/>
    </row>
    <row r="200" spans="1:13" ht="21.75" customHeight="1" x14ac:dyDescent="0.25">
      <c r="A200" s="160"/>
      <c r="B200" s="161" t="s">
        <v>258</v>
      </c>
      <c r="C200" s="162"/>
      <c r="D200" s="163"/>
      <c r="E200" s="164"/>
      <c r="F200" s="165"/>
      <c r="G200" s="165"/>
      <c r="H200" s="166"/>
      <c r="I200" s="165"/>
      <c r="J200" s="165"/>
      <c r="K200" s="164"/>
      <c r="L200" s="167"/>
    </row>
    <row r="201" spans="1:13" ht="21.75" customHeight="1" x14ac:dyDescent="0.25">
      <c r="A201" s="11"/>
      <c r="B201" s="132" t="s">
        <v>228</v>
      </c>
      <c r="C201" s="90"/>
      <c r="D201" s="111"/>
      <c r="E201" s="18"/>
      <c r="F201" s="16"/>
      <c r="G201" s="16"/>
      <c r="H201" s="150"/>
      <c r="I201" s="16"/>
      <c r="J201" s="16"/>
      <c r="K201" s="18"/>
      <c r="L201" s="93"/>
      <c r="M201" s="66"/>
    </row>
    <row r="202" spans="1:13" ht="18" customHeight="1" x14ac:dyDescent="0.25">
      <c r="A202" s="90" t="e">
        <f>A198+1</f>
        <v>#REF!</v>
      </c>
      <c r="B202" s="122" t="s">
        <v>201</v>
      </c>
      <c r="C202" s="123" t="s">
        <v>13</v>
      </c>
      <c r="D202" s="152">
        <v>0.52</v>
      </c>
      <c r="E202" s="314">
        <f>14540/0.84*0.52</f>
        <v>9000.9523809523816</v>
      </c>
      <c r="F202" s="314">
        <f>ROUND(E202*1,2)</f>
        <v>9000.9500000000007</v>
      </c>
      <c r="G202" s="314">
        <f t="shared" ref="G202" si="181">ROUND(F202*1.2,2)</f>
        <v>10801.14</v>
      </c>
      <c r="H202" s="314"/>
      <c r="I202" s="314"/>
      <c r="J202" s="314"/>
      <c r="K202" s="314">
        <f t="shared" ref="K202:L202" si="182">F202+I202</f>
        <v>9000.9500000000007</v>
      </c>
      <c r="L202" s="314">
        <f t="shared" si="182"/>
        <v>10801.14</v>
      </c>
      <c r="M202" s="66"/>
    </row>
    <row r="203" spans="1:13" ht="19.5" customHeight="1" x14ac:dyDescent="0.25">
      <c r="A203" s="115" t="s">
        <v>240</v>
      </c>
      <c r="B203" s="122" t="s">
        <v>200</v>
      </c>
      <c r="C203" s="123" t="s">
        <v>38</v>
      </c>
      <c r="D203" s="91">
        <v>1</v>
      </c>
      <c r="E203" s="316"/>
      <c r="F203" s="316"/>
      <c r="G203" s="316"/>
      <c r="H203" s="316"/>
      <c r="I203" s="316"/>
      <c r="J203" s="316"/>
      <c r="K203" s="316"/>
      <c r="L203" s="316"/>
      <c r="M203" s="151"/>
    </row>
    <row r="204" spans="1:13" ht="19.5" customHeight="1" x14ac:dyDescent="0.25">
      <c r="A204" s="115"/>
      <c r="B204" s="132" t="s">
        <v>229</v>
      </c>
      <c r="C204" s="123"/>
      <c r="D204" s="91"/>
      <c r="E204" s="196"/>
      <c r="F204" s="196"/>
      <c r="G204" s="196"/>
      <c r="H204" s="196"/>
      <c r="I204" s="196"/>
      <c r="J204" s="196"/>
      <c r="K204" s="196"/>
      <c r="L204" s="196"/>
      <c r="M204" s="151"/>
    </row>
    <row r="205" spans="1:13" ht="30.75" customHeight="1" x14ac:dyDescent="0.25">
      <c r="A205" s="90" t="e">
        <f>A202+1</f>
        <v>#REF!</v>
      </c>
      <c r="B205" s="122" t="s">
        <v>204</v>
      </c>
      <c r="C205" s="90" t="s">
        <v>13</v>
      </c>
      <c r="D205" s="111">
        <f>0.52+0.08</f>
        <v>0.6</v>
      </c>
      <c r="E205" s="25">
        <v>17265.68</v>
      </c>
      <c r="F205" s="16">
        <f t="shared" ref="F205" si="183">ROUND(E205*D205,2)</f>
        <v>10359.41</v>
      </c>
      <c r="G205" s="16">
        <f t="shared" ref="G205" si="184">ROUND(F205*1.2,2)</f>
        <v>12431.29</v>
      </c>
      <c r="H205" s="150"/>
      <c r="I205" s="16"/>
      <c r="J205" s="16"/>
      <c r="K205" s="18">
        <f t="shared" ref="K205:L208" si="185">F205+I205</f>
        <v>10359.41</v>
      </c>
      <c r="L205" s="93">
        <f t="shared" si="185"/>
        <v>12431.29</v>
      </c>
      <c r="M205" s="114"/>
    </row>
    <row r="206" spans="1:13" ht="18.75" customHeight="1" x14ac:dyDescent="0.25">
      <c r="A206" s="115" t="s">
        <v>241</v>
      </c>
      <c r="B206" s="157" t="s">
        <v>237</v>
      </c>
      <c r="C206" s="116" t="s">
        <v>38</v>
      </c>
      <c r="D206" s="154">
        <v>1</v>
      </c>
      <c r="E206" s="28"/>
      <c r="F206" s="22"/>
      <c r="G206" s="22"/>
      <c r="H206" s="155">
        <v>11691.67</v>
      </c>
      <c r="I206" s="22">
        <f t="shared" ref="I206:I208" si="186">ROUND(H206*D206,2)</f>
        <v>11691.67</v>
      </c>
      <c r="J206" s="22">
        <f t="shared" ref="J206:J208" si="187">ROUND(I206*1.2,2)</f>
        <v>14030</v>
      </c>
      <c r="K206" s="23">
        <f t="shared" si="185"/>
        <v>11691.67</v>
      </c>
      <c r="L206" s="22">
        <f t="shared" si="185"/>
        <v>14030</v>
      </c>
      <c r="M206" s="37" t="s">
        <v>215</v>
      </c>
    </row>
    <row r="207" spans="1:13" ht="18.75" customHeight="1" x14ac:dyDescent="0.25">
      <c r="A207" s="115" t="s">
        <v>279</v>
      </c>
      <c r="B207" s="153" t="s">
        <v>243</v>
      </c>
      <c r="C207" s="116" t="s">
        <v>38</v>
      </c>
      <c r="D207" s="154">
        <v>1</v>
      </c>
      <c r="E207" s="28"/>
      <c r="F207" s="22"/>
      <c r="G207" s="22"/>
      <c r="H207" s="155">
        <v>3099.25</v>
      </c>
      <c r="I207" s="22">
        <f t="shared" si="186"/>
        <v>3099.25</v>
      </c>
      <c r="J207" s="22">
        <f t="shared" si="187"/>
        <v>3719.1</v>
      </c>
      <c r="K207" s="23">
        <f t="shared" si="185"/>
        <v>3099.25</v>
      </c>
      <c r="L207" s="22">
        <f t="shared" si="185"/>
        <v>3719.1</v>
      </c>
      <c r="M207" s="37"/>
    </row>
    <row r="208" spans="1:13" ht="18.75" customHeight="1" x14ac:dyDescent="0.25">
      <c r="A208" s="115" t="s">
        <v>280</v>
      </c>
      <c r="B208" s="157" t="s">
        <v>221</v>
      </c>
      <c r="C208" s="116" t="s">
        <v>38</v>
      </c>
      <c r="D208" s="154">
        <v>1</v>
      </c>
      <c r="E208" s="28"/>
      <c r="F208" s="22"/>
      <c r="G208" s="22"/>
      <c r="H208" s="155">
        <v>14421</v>
      </c>
      <c r="I208" s="22">
        <f t="shared" si="186"/>
        <v>14421</v>
      </c>
      <c r="J208" s="22">
        <f t="shared" si="187"/>
        <v>17305.2</v>
      </c>
      <c r="K208" s="23">
        <f t="shared" si="185"/>
        <v>14421</v>
      </c>
      <c r="L208" s="22">
        <f t="shared" si="185"/>
        <v>17305.2</v>
      </c>
      <c r="M208" s="37" t="s">
        <v>215</v>
      </c>
    </row>
    <row r="209" spans="1:13" ht="21.75" customHeight="1" x14ac:dyDescent="0.25">
      <c r="A209" s="160"/>
      <c r="B209" s="161" t="s">
        <v>261</v>
      </c>
      <c r="C209" s="162"/>
      <c r="D209" s="163"/>
      <c r="E209" s="164"/>
      <c r="F209" s="165"/>
      <c r="G209" s="165"/>
      <c r="H209" s="166"/>
      <c r="I209" s="165"/>
      <c r="J209" s="165"/>
      <c r="K209" s="164"/>
      <c r="L209" s="167"/>
    </row>
    <row r="210" spans="1:13" ht="21.75" customHeight="1" x14ac:dyDescent="0.25">
      <c r="A210" s="11"/>
      <c r="B210" s="132" t="s">
        <v>228</v>
      </c>
      <c r="C210" s="90"/>
      <c r="D210" s="111"/>
      <c r="E210" s="18"/>
      <c r="F210" s="16"/>
      <c r="G210" s="16"/>
      <c r="H210" s="150"/>
      <c r="I210" s="16"/>
      <c r="J210" s="16"/>
      <c r="K210" s="18"/>
      <c r="L210" s="93"/>
      <c r="M210" s="66"/>
    </row>
    <row r="211" spans="1:13" ht="28.5" customHeight="1" x14ac:dyDescent="0.25">
      <c r="A211" s="90" t="e">
        <f>A205+1</f>
        <v>#REF!</v>
      </c>
      <c r="B211" s="122" t="s">
        <v>201</v>
      </c>
      <c r="C211" s="123" t="s">
        <v>13</v>
      </c>
      <c r="D211" s="152">
        <f>0.1+0.24</f>
        <v>0.33999999999999997</v>
      </c>
      <c r="E211" s="314">
        <f>14540/0.84*0.34</f>
        <v>5885.2380952380954</v>
      </c>
      <c r="F211" s="314">
        <f>ROUND(E211*1,2)</f>
        <v>5885.24</v>
      </c>
      <c r="G211" s="314">
        <f t="shared" ref="G211" si="188">ROUND(F211*1.2,2)</f>
        <v>7062.29</v>
      </c>
      <c r="H211" s="314"/>
      <c r="I211" s="314"/>
      <c r="J211" s="314"/>
      <c r="K211" s="314">
        <f t="shared" ref="K211:L211" si="189">F211+I211</f>
        <v>5885.24</v>
      </c>
      <c r="L211" s="314">
        <f t="shared" si="189"/>
        <v>7062.29</v>
      </c>
      <c r="M211" s="66"/>
    </row>
    <row r="212" spans="1:13" ht="19.5" customHeight="1" x14ac:dyDescent="0.25">
      <c r="A212" s="115" t="s">
        <v>281</v>
      </c>
      <c r="B212" s="122" t="s">
        <v>200</v>
      </c>
      <c r="C212" s="123" t="s">
        <v>38</v>
      </c>
      <c r="D212" s="91">
        <v>1</v>
      </c>
      <c r="E212" s="316"/>
      <c r="F212" s="316"/>
      <c r="G212" s="316"/>
      <c r="H212" s="316"/>
      <c r="I212" s="316"/>
      <c r="J212" s="316"/>
      <c r="K212" s="316"/>
      <c r="L212" s="316"/>
      <c r="M212" s="151"/>
    </row>
    <row r="213" spans="1:13" ht="19.5" customHeight="1" x14ac:dyDescent="0.25">
      <c r="A213" s="115"/>
      <c r="B213" s="132" t="s">
        <v>229</v>
      </c>
      <c r="C213" s="123"/>
      <c r="D213" s="91"/>
      <c r="E213" s="196"/>
      <c r="F213" s="196"/>
      <c r="G213" s="196"/>
      <c r="H213" s="196"/>
      <c r="I213" s="196"/>
      <c r="J213" s="196"/>
      <c r="K213" s="196"/>
      <c r="L213" s="196"/>
      <c r="M213" s="151"/>
    </row>
    <row r="214" spans="1:13" ht="30.75" customHeight="1" x14ac:dyDescent="0.25">
      <c r="A214" s="90" t="e">
        <f>A211+1</f>
        <v>#REF!</v>
      </c>
      <c r="B214" s="122" t="s">
        <v>204</v>
      </c>
      <c r="C214" s="90" t="s">
        <v>13</v>
      </c>
      <c r="D214" s="111">
        <f>0.1+0.08</f>
        <v>0.18</v>
      </c>
      <c r="E214" s="25">
        <v>17265.68</v>
      </c>
      <c r="F214" s="16">
        <f t="shared" ref="F214" si="190">ROUND(E214*D214,2)</f>
        <v>3107.82</v>
      </c>
      <c r="G214" s="16">
        <f t="shared" ref="G214" si="191">ROUND(F214*1.2,2)</f>
        <v>3729.38</v>
      </c>
      <c r="H214" s="150"/>
      <c r="I214" s="16"/>
      <c r="J214" s="16"/>
      <c r="K214" s="18">
        <f t="shared" ref="K214:L217" si="192">F214+I214</f>
        <v>3107.82</v>
      </c>
      <c r="L214" s="93">
        <f t="shared" si="192"/>
        <v>3729.38</v>
      </c>
      <c r="M214" s="114"/>
    </row>
    <row r="215" spans="1:13" ht="18.75" customHeight="1" x14ac:dyDescent="0.25">
      <c r="A215" s="115" t="s">
        <v>245</v>
      </c>
      <c r="B215" s="157" t="s">
        <v>244</v>
      </c>
      <c r="C215" s="116" t="s">
        <v>38</v>
      </c>
      <c r="D215" s="154">
        <v>1</v>
      </c>
      <c r="E215" s="28"/>
      <c r="F215" s="22"/>
      <c r="G215" s="22"/>
      <c r="H215" s="155">
        <v>4025</v>
      </c>
      <c r="I215" s="22">
        <f t="shared" ref="I215:I217" si="193">ROUND(H215*D215,2)</f>
        <v>4025</v>
      </c>
      <c r="J215" s="22">
        <f t="shared" ref="J215:J217" si="194">ROUND(I215*1.2,2)</f>
        <v>4830</v>
      </c>
      <c r="K215" s="23">
        <f t="shared" si="192"/>
        <v>4025</v>
      </c>
      <c r="L215" s="22">
        <f t="shared" si="192"/>
        <v>4830</v>
      </c>
      <c r="M215" s="37" t="s">
        <v>215</v>
      </c>
    </row>
    <row r="216" spans="1:13" ht="18.75" customHeight="1" x14ac:dyDescent="0.25">
      <c r="A216" s="115" t="s">
        <v>246</v>
      </c>
      <c r="B216" s="153" t="s">
        <v>243</v>
      </c>
      <c r="C216" s="116" t="s">
        <v>38</v>
      </c>
      <c r="D216" s="154">
        <v>1</v>
      </c>
      <c r="E216" s="28"/>
      <c r="F216" s="22"/>
      <c r="G216" s="22"/>
      <c r="H216" s="155">
        <v>3099.25</v>
      </c>
      <c r="I216" s="22">
        <f t="shared" si="193"/>
        <v>3099.25</v>
      </c>
      <c r="J216" s="22">
        <f t="shared" si="194"/>
        <v>3719.1</v>
      </c>
      <c r="K216" s="23">
        <f t="shared" si="192"/>
        <v>3099.25</v>
      </c>
      <c r="L216" s="22">
        <f t="shared" si="192"/>
        <v>3719.1</v>
      </c>
      <c r="M216" s="37"/>
    </row>
    <row r="217" spans="1:13" ht="18.75" customHeight="1" x14ac:dyDescent="0.25">
      <c r="A217" s="115" t="s">
        <v>247</v>
      </c>
      <c r="B217" s="157" t="s">
        <v>221</v>
      </c>
      <c r="C217" s="116" t="s">
        <v>38</v>
      </c>
      <c r="D217" s="154">
        <v>1</v>
      </c>
      <c r="E217" s="28"/>
      <c r="F217" s="22"/>
      <c r="G217" s="22"/>
      <c r="H217" s="155">
        <v>14421</v>
      </c>
      <c r="I217" s="22">
        <f t="shared" si="193"/>
        <v>14421</v>
      </c>
      <c r="J217" s="22">
        <f t="shared" si="194"/>
        <v>17305.2</v>
      </c>
      <c r="K217" s="23">
        <f t="shared" si="192"/>
        <v>14421</v>
      </c>
      <c r="L217" s="22">
        <f t="shared" si="192"/>
        <v>17305.2</v>
      </c>
      <c r="M217" s="37" t="s">
        <v>215</v>
      </c>
    </row>
    <row r="218" spans="1:13" ht="21.75" customHeight="1" x14ac:dyDescent="0.25">
      <c r="A218" s="160"/>
      <c r="B218" s="161" t="s">
        <v>263</v>
      </c>
      <c r="C218" s="162"/>
      <c r="D218" s="163"/>
      <c r="E218" s="164"/>
      <c r="F218" s="165"/>
      <c r="G218" s="165"/>
      <c r="H218" s="166"/>
      <c r="I218" s="165"/>
      <c r="J218" s="165"/>
      <c r="K218" s="164"/>
      <c r="L218" s="167"/>
    </row>
    <row r="219" spans="1:13" ht="21.75" customHeight="1" x14ac:dyDescent="0.25">
      <c r="A219" s="11"/>
      <c r="B219" s="132" t="s">
        <v>228</v>
      </c>
      <c r="C219" s="90"/>
      <c r="D219" s="111"/>
      <c r="E219" s="18"/>
      <c r="F219" s="16"/>
      <c r="G219" s="16"/>
      <c r="H219" s="150"/>
      <c r="I219" s="16"/>
      <c r="J219" s="16"/>
      <c r="K219" s="18"/>
      <c r="L219" s="93"/>
      <c r="M219" s="66"/>
    </row>
    <row r="220" spans="1:13" ht="21" customHeight="1" x14ac:dyDescent="0.25">
      <c r="A220" s="90" t="e">
        <f>A214+1</f>
        <v>#REF!</v>
      </c>
      <c r="B220" s="122" t="s">
        <v>217</v>
      </c>
      <c r="C220" s="123" t="s">
        <v>13</v>
      </c>
      <c r="D220" s="152">
        <f>0.06+0.219+0.06+0.24+0.19</f>
        <v>0.76899999999999991</v>
      </c>
      <c r="E220" s="195">
        <f>14540/0.84*0.48</f>
        <v>8308.5714285714275</v>
      </c>
      <c r="F220" s="195">
        <f>ROUND(E220*1,2)</f>
        <v>8308.57</v>
      </c>
      <c r="G220" s="195">
        <f t="shared" ref="G220:G222" si="195">ROUND(F220*1.2,2)</f>
        <v>9970.2800000000007</v>
      </c>
      <c r="H220" s="195"/>
      <c r="I220" s="195"/>
      <c r="J220" s="195"/>
      <c r="K220" s="195">
        <f t="shared" ref="K220:L222" si="196">F220+I220</f>
        <v>8308.57</v>
      </c>
      <c r="L220" s="195">
        <f t="shared" si="196"/>
        <v>9970.2800000000007</v>
      </c>
      <c r="M220" s="66"/>
    </row>
    <row r="221" spans="1:13" ht="21" customHeight="1" x14ac:dyDescent="0.25">
      <c r="A221" s="90" t="e">
        <f>A220+1</f>
        <v>#REF!</v>
      </c>
      <c r="B221" s="122" t="s">
        <v>218</v>
      </c>
      <c r="C221" s="123" t="s">
        <v>38</v>
      </c>
      <c r="D221" s="103">
        <v>2</v>
      </c>
      <c r="E221" s="195">
        <f>2170.75*0.7</f>
        <v>1519.5249999999999</v>
      </c>
      <c r="F221" s="195">
        <f>ROUND(E221*1,2)</f>
        <v>1519.53</v>
      </c>
      <c r="G221" s="195">
        <f t="shared" si="195"/>
        <v>1823.44</v>
      </c>
      <c r="H221" s="195"/>
      <c r="I221" s="195"/>
      <c r="J221" s="195"/>
      <c r="K221" s="195">
        <f t="shared" si="196"/>
        <v>1519.53</v>
      </c>
      <c r="L221" s="195">
        <f t="shared" si="196"/>
        <v>1823.44</v>
      </c>
      <c r="M221" s="66"/>
    </row>
    <row r="222" spans="1:13" ht="21" customHeight="1" x14ac:dyDescent="0.25">
      <c r="A222" s="90" t="e">
        <f>A221+1</f>
        <v>#REF!</v>
      </c>
      <c r="B222" s="122" t="s">
        <v>262</v>
      </c>
      <c r="C222" s="123" t="s">
        <v>15</v>
      </c>
      <c r="D222" s="152">
        <f>4.4+5.6</f>
        <v>10</v>
      </c>
      <c r="E222" s="195">
        <f>1149.5*0.7</f>
        <v>804.65</v>
      </c>
      <c r="F222" s="195">
        <f>ROUND(E222*1,2)</f>
        <v>804.65</v>
      </c>
      <c r="G222" s="195">
        <f t="shared" si="195"/>
        <v>965.58</v>
      </c>
      <c r="H222" s="195"/>
      <c r="I222" s="195"/>
      <c r="J222" s="195"/>
      <c r="K222" s="195">
        <f t="shared" si="196"/>
        <v>804.65</v>
      </c>
      <c r="L222" s="195">
        <f t="shared" si="196"/>
        <v>965.58</v>
      </c>
      <c r="M222" s="66"/>
    </row>
    <row r="223" spans="1:13" ht="21.75" customHeight="1" x14ac:dyDescent="0.25">
      <c r="A223" s="160"/>
      <c r="B223" s="161" t="s">
        <v>264</v>
      </c>
      <c r="C223" s="162"/>
      <c r="D223" s="163"/>
      <c r="E223" s="164"/>
      <c r="F223" s="165"/>
      <c r="G223" s="165"/>
      <c r="H223" s="166"/>
      <c r="I223" s="165"/>
      <c r="J223" s="165"/>
      <c r="K223" s="164"/>
      <c r="L223" s="167"/>
    </row>
    <row r="224" spans="1:13" ht="19.5" customHeight="1" x14ac:dyDescent="0.25">
      <c r="A224" s="115"/>
      <c r="B224" s="132" t="s">
        <v>229</v>
      </c>
      <c r="C224" s="123"/>
      <c r="D224" s="91"/>
      <c r="E224" s="196"/>
      <c r="F224" s="196"/>
      <c r="G224" s="196"/>
      <c r="H224" s="196"/>
      <c r="I224" s="196"/>
      <c r="J224" s="196"/>
      <c r="K224" s="196"/>
      <c r="L224" s="196"/>
      <c r="M224" s="151"/>
    </row>
    <row r="225" spans="1:13" ht="30.75" customHeight="1" x14ac:dyDescent="0.25">
      <c r="A225" s="90" t="e">
        <f>A222+1</f>
        <v>#REF!</v>
      </c>
      <c r="B225" s="122" t="s">
        <v>204</v>
      </c>
      <c r="C225" s="90" t="s">
        <v>13</v>
      </c>
      <c r="D225" s="111">
        <v>0.02</v>
      </c>
      <c r="E225" s="25">
        <v>17265.68</v>
      </c>
      <c r="F225" s="16">
        <f t="shared" ref="F225" si="197">ROUND(E225*D225,2)</f>
        <v>345.31</v>
      </c>
      <c r="G225" s="16">
        <f t="shared" ref="G225" si="198">ROUND(F225*1.2,2)</f>
        <v>414.37</v>
      </c>
      <c r="H225" s="150"/>
      <c r="I225" s="16"/>
      <c r="J225" s="16"/>
      <c r="K225" s="18">
        <f t="shared" ref="K225:L227" si="199">F225+I225</f>
        <v>345.31</v>
      </c>
      <c r="L225" s="93">
        <f t="shared" si="199"/>
        <v>414.37</v>
      </c>
      <c r="M225" s="114"/>
    </row>
    <row r="226" spans="1:13" ht="18.75" customHeight="1" x14ac:dyDescent="0.25">
      <c r="A226" s="115" t="s">
        <v>251</v>
      </c>
      <c r="B226" s="153" t="s">
        <v>243</v>
      </c>
      <c r="C226" s="116" t="s">
        <v>38</v>
      </c>
      <c r="D226" s="154">
        <v>1</v>
      </c>
      <c r="E226" s="28"/>
      <c r="F226" s="22"/>
      <c r="G226" s="22"/>
      <c r="H226" s="155">
        <v>3099.25</v>
      </c>
      <c r="I226" s="22">
        <f t="shared" ref="I226:I227" si="200">ROUND(H226*D226,2)</f>
        <v>3099.25</v>
      </c>
      <c r="J226" s="22">
        <f t="shared" ref="J226:J227" si="201">ROUND(I226*1.2,2)</f>
        <v>3719.1</v>
      </c>
      <c r="K226" s="23">
        <f t="shared" si="199"/>
        <v>3099.25</v>
      </c>
      <c r="L226" s="22">
        <f t="shared" si="199"/>
        <v>3719.1</v>
      </c>
      <c r="M226" s="37"/>
    </row>
    <row r="227" spans="1:13" ht="18.75" customHeight="1" x14ac:dyDescent="0.25">
      <c r="A227" s="115" t="s">
        <v>252</v>
      </c>
      <c r="B227" s="153" t="s">
        <v>221</v>
      </c>
      <c r="C227" s="116" t="s">
        <v>38</v>
      </c>
      <c r="D227" s="154">
        <v>1</v>
      </c>
      <c r="E227" s="28"/>
      <c r="F227" s="22"/>
      <c r="G227" s="22"/>
      <c r="H227" s="155">
        <v>14421</v>
      </c>
      <c r="I227" s="22">
        <f t="shared" si="200"/>
        <v>14421</v>
      </c>
      <c r="J227" s="22">
        <f t="shared" si="201"/>
        <v>17305.2</v>
      </c>
      <c r="K227" s="23">
        <f t="shared" si="199"/>
        <v>14421</v>
      </c>
      <c r="L227" s="22">
        <f t="shared" si="199"/>
        <v>17305.2</v>
      </c>
      <c r="M227" s="37"/>
    </row>
    <row r="228" spans="1:13" ht="21.75" customHeight="1" x14ac:dyDescent="0.25">
      <c r="A228" s="160"/>
      <c r="B228" s="161" t="s">
        <v>268</v>
      </c>
      <c r="C228" s="162"/>
      <c r="D228" s="163"/>
      <c r="E228" s="164"/>
      <c r="F228" s="165"/>
      <c r="G228" s="165"/>
      <c r="H228" s="166"/>
      <c r="I228" s="165"/>
      <c r="J228" s="165"/>
      <c r="K228" s="164"/>
      <c r="L228" s="167"/>
    </row>
    <row r="229" spans="1:13" ht="19.5" customHeight="1" x14ac:dyDescent="0.25">
      <c r="A229" s="115"/>
      <c r="B229" s="132" t="s">
        <v>229</v>
      </c>
      <c r="C229" s="123"/>
      <c r="D229" s="91"/>
      <c r="E229" s="196"/>
      <c r="F229" s="196"/>
      <c r="G229" s="196"/>
      <c r="H229" s="196"/>
      <c r="I229" s="196"/>
      <c r="J229" s="196"/>
      <c r="K229" s="196"/>
      <c r="L229" s="196"/>
      <c r="M229" s="151"/>
    </row>
    <row r="230" spans="1:13" ht="18" customHeight="1" x14ac:dyDescent="0.25">
      <c r="A230" s="36" t="e">
        <f>A225+1</f>
        <v>#REF!</v>
      </c>
      <c r="B230" s="35" t="s">
        <v>267</v>
      </c>
      <c r="C230" s="36" t="s">
        <v>13</v>
      </c>
      <c r="D230" s="146">
        <f>0.042+0.084+0.084+0.084+0.084</f>
        <v>0.37800000000000006</v>
      </c>
      <c r="E230" s="25">
        <v>6799</v>
      </c>
      <c r="F230" s="30">
        <f t="shared" ref="F230" si="202">ROUND(E230*D230,2)</f>
        <v>2570.02</v>
      </c>
      <c r="G230" s="30">
        <f t="shared" ref="G230" si="203">ROUND(F230*1.2,2)</f>
        <v>3084.02</v>
      </c>
      <c r="H230" s="27"/>
      <c r="I230" s="30"/>
      <c r="J230" s="30"/>
      <c r="K230" s="31">
        <f t="shared" ref="K230:L233" si="204">F230+I230</f>
        <v>2570.02</v>
      </c>
      <c r="L230" s="32">
        <f t="shared" si="204"/>
        <v>3084.02</v>
      </c>
    </row>
    <row r="231" spans="1:13" ht="18" customHeight="1" x14ac:dyDescent="0.25">
      <c r="A231" s="67" t="s">
        <v>253</v>
      </c>
      <c r="B231" s="68" t="s">
        <v>67</v>
      </c>
      <c r="C231" s="67" t="s">
        <v>38</v>
      </c>
      <c r="D231" s="168">
        <f>453*D230</f>
        <v>171.23400000000004</v>
      </c>
      <c r="E231" s="28"/>
      <c r="F231" s="22"/>
      <c r="G231" s="22"/>
      <c r="H231" s="28">
        <v>24</v>
      </c>
      <c r="I231" s="22">
        <f>ROUND(H231*D231,2)</f>
        <v>4109.62</v>
      </c>
      <c r="J231" s="22">
        <f t="shared" ref="J231" si="205">ROUND(I231*1.2,2)</f>
        <v>4931.54</v>
      </c>
      <c r="K231" s="23">
        <f t="shared" si="204"/>
        <v>4109.62</v>
      </c>
      <c r="L231" s="24">
        <f t="shared" si="204"/>
        <v>4931.54</v>
      </c>
    </row>
    <row r="232" spans="1:13" ht="18.75" customHeight="1" x14ac:dyDescent="0.25">
      <c r="A232" s="109" t="e">
        <f>A230+1</f>
        <v>#REF!</v>
      </c>
      <c r="B232" s="107" t="s">
        <v>134</v>
      </c>
      <c r="C232" s="90" t="s">
        <v>38</v>
      </c>
      <c r="D232" s="108">
        <v>5</v>
      </c>
      <c r="E232" s="15">
        <v>1974</v>
      </c>
      <c r="F232" s="93">
        <f>ROUND(E232*D232,2)</f>
        <v>9870</v>
      </c>
      <c r="G232" s="93">
        <f t="shared" ref="G232" si="206">ROUND(F232*1.2,2)</f>
        <v>11844</v>
      </c>
      <c r="H232" s="18"/>
      <c r="I232" s="93"/>
      <c r="J232" s="93"/>
      <c r="K232" s="18">
        <f t="shared" si="204"/>
        <v>9870</v>
      </c>
      <c r="L232" s="93">
        <f t="shared" si="204"/>
        <v>11844</v>
      </c>
    </row>
    <row r="233" spans="1:13" ht="18.75" customHeight="1" x14ac:dyDescent="0.25">
      <c r="A233" s="87" t="s">
        <v>254</v>
      </c>
      <c r="B233" s="68" t="s">
        <v>133</v>
      </c>
      <c r="C233" s="67" t="s">
        <v>38</v>
      </c>
      <c r="D233" s="102">
        <v>5</v>
      </c>
      <c r="E233" s="28"/>
      <c r="F233" s="22"/>
      <c r="G233" s="22"/>
      <c r="H233" s="28">
        <v>14421</v>
      </c>
      <c r="I233" s="22">
        <f t="shared" ref="I233" si="207">ROUND(H233*D233,2)</f>
        <v>72105</v>
      </c>
      <c r="J233" s="22">
        <f t="shared" ref="J233" si="208">ROUND(I233*1.2,2)</f>
        <v>86526</v>
      </c>
      <c r="K233" s="23">
        <f t="shared" si="204"/>
        <v>72105</v>
      </c>
      <c r="L233" s="24">
        <f t="shared" si="204"/>
        <v>86526</v>
      </c>
    </row>
    <row r="234" spans="1:13" ht="21.75" customHeight="1" x14ac:dyDescent="0.25">
      <c r="A234" s="160"/>
      <c r="B234" s="161" t="s">
        <v>269</v>
      </c>
      <c r="C234" s="162"/>
      <c r="D234" s="163"/>
      <c r="E234" s="164"/>
      <c r="F234" s="165"/>
      <c r="G234" s="165"/>
      <c r="H234" s="166"/>
      <c r="I234" s="165"/>
      <c r="J234" s="165"/>
      <c r="K234" s="164"/>
      <c r="L234" s="167"/>
    </row>
    <row r="235" spans="1:13" ht="18.75" customHeight="1" x14ac:dyDescent="0.25">
      <c r="A235" s="109" t="e">
        <f>A232+1</f>
        <v>#REF!</v>
      </c>
      <c r="B235" s="107" t="s">
        <v>134</v>
      </c>
      <c r="C235" s="90" t="s">
        <v>38</v>
      </c>
      <c r="D235" s="108">
        <v>1</v>
      </c>
      <c r="E235" s="15">
        <v>1974</v>
      </c>
      <c r="F235" s="93">
        <f>ROUND(E235*D235,2)</f>
        <v>1974</v>
      </c>
      <c r="G235" s="93">
        <f t="shared" ref="G235" si="209">ROUND(F235*1.2,2)</f>
        <v>2368.8000000000002</v>
      </c>
      <c r="H235" s="18"/>
      <c r="I235" s="93"/>
      <c r="J235" s="93"/>
      <c r="K235" s="18">
        <f t="shared" ref="K235:L241" si="210">F235+I235</f>
        <v>1974</v>
      </c>
      <c r="L235" s="93">
        <f t="shared" si="210"/>
        <v>2368.8000000000002</v>
      </c>
    </row>
    <row r="236" spans="1:13" ht="18.75" customHeight="1" x14ac:dyDescent="0.25">
      <c r="A236" s="87" t="s">
        <v>282</v>
      </c>
      <c r="B236" s="68" t="s">
        <v>133</v>
      </c>
      <c r="C236" s="67" t="s">
        <v>38</v>
      </c>
      <c r="D236" s="102">
        <v>1</v>
      </c>
      <c r="E236" s="28"/>
      <c r="F236" s="22"/>
      <c r="G236" s="22"/>
      <c r="H236" s="28">
        <v>14421</v>
      </c>
      <c r="I236" s="22">
        <f t="shared" ref="I236" si="211">ROUND(H236*D236,2)</f>
        <v>14421</v>
      </c>
      <c r="J236" s="22">
        <f t="shared" ref="J236" si="212">ROUND(I236*1.2,2)</f>
        <v>17305.2</v>
      </c>
      <c r="K236" s="23">
        <f t="shared" si="210"/>
        <v>14421</v>
      </c>
      <c r="L236" s="24">
        <f t="shared" si="210"/>
        <v>17305.2</v>
      </c>
    </row>
    <row r="237" spans="1:13" ht="18.75" customHeight="1" x14ac:dyDescent="0.25">
      <c r="A237" s="160"/>
      <c r="B237" s="161" t="s">
        <v>270</v>
      </c>
      <c r="C237" s="162"/>
      <c r="D237" s="163"/>
      <c r="E237" s="164"/>
      <c r="F237" s="165"/>
      <c r="G237" s="165"/>
      <c r="H237" s="166"/>
      <c r="I237" s="165"/>
      <c r="J237" s="165"/>
      <c r="K237" s="164"/>
      <c r="L237" s="167"/>
    </row>
    <row r="238" spans="1:13" ht="27.75" customHeight="1" x14ac:dyDescent="0.25">
      <c r="A238" s="90" t="e">
        <f>A232+1</f>
        <v>#REF!</v>
      </c>
      <c r="B238" s="110" t="s">
        <v>265</v>
      </c>
      <c r="C238" s="90" t="s">
        <v>44</v>
      </c>
      <c r="D238" s="152">
        <f>0.29+0.22+0.44*4+0.185+1.46+4.76+2.3+1.24+1.46+5.15+0.61+3.57+3.41</f>
        <v>26.415000000000003</v>
      </c>
      <c r="E238" s="18">
        <v>144.4</v>
      </c>
      <c r="F238" s="16">
        <f>ROUND(E238*D238,2)</f>
        <v>3814.33</v>
      </c>
      <c r="G238" s="16">
        <f t="shared" ref="G238" si="213">ROUND(F238*1.2,2)</f>
        <v>4577.2</v>
      </c>
      <c r="H238" s="18"/>
      <c r="I238" s="16"/>
      <c r="J238" s="16"/>
      <c r="K238" s="18">
        <f t="shared" si="210"/>
        <v>3814.33</v>
      </c>
      <c r="L238" s="93">
        <f t="shared" si="210"/>
        <v>4577.2</v>
      </c>
      <c r="M238" s="66"/>
    </row>
    <row r="239" spans="1:13" ht="17.25" customHeight="1" x14ac:dyDescent="0.25">
      <c r="A239" s="115" t="s">
        <v>282</v>
      </c>
      <c r="B239" s="153" t="s">
        <v>208</v>
      </c>
      <c r="C239" s="116" t="s">
        <v>209</v>
      </c>
      <c r="D239" s="156">
        <f>D238*0.3*20/16</f>
        <v>9.9056250000000006</v>
      </c>
      <c r="E239" s="28"/>
      <c r="F239" s="22"/>
      <c r="G239" s="22"/>
      <c r="H239" s="155">
        <v>237.5</v>
      </c>
      <c r="I239" s="22">
        <f>ROUND(H239*D239,2)</f>
        <v>2352.59</v>
      </c>
      <c r="J239" s="22">
        <f t="shared" ref="J239" si="214">ROUND(I239*1.2,2)</f>
        <v>2823.11</v>
      </c>
      <c r="K239" s="23">
        <f t="shared" si="210"/>
        <v>2352.59</v>
      </c>
      <c r="L239" s="22">
        <f t="shared" si="210"/>
        <v>2823.11</v>
      </c>
      <c r="M239" s="66"/>
    </row>
    <row r="240" spans="1:13" ht="28.5" customHeight="1" x14ac:dyDescent="0.25">
      <c r="A240" s="90" t="e">
        <f>A238+1</f>
        <v>#REF!</v>
      </c>
      <c r="B240" s="110" t="s">
        <v>266</v>
      </c>
      <c r="C240" s="90" t="s">
        <v>44</v>
      </c>
      <c r="D240" s="152">
        <f>0.29+0.22+0.44*4+0.185+1.46+4.76+2.3+1.24+1.46+5.15+0.61+3.57+3.41</f>
        <v>26.415000000000003</v>
      </c>
      <c r="E240" s="18">
        <v>299.76</v>
      </c>
      <c r="F240" s="16">
        <f>ROUND(E240*D240,2)</f>
        <v>7918.16</v>
      </c>
      <c r="G240" s="16">
        <f t="shared" ref="G240" si="215">ROUND(F240*1.2,2)</f>
        <v>9501.7900000000009</v>
      </c>
      <c r="H240" s="18"/>
      <c r="I240" s="16"/>
      <c r="J240" s="16"/>
      <c r="K240" s="18">
        <f t="shared" si="210"/>
        <v>7918.16</v>
      </c>
      <c r="L240" s="93">
        <f t="shared" si="210"/>
        <v>9501.7900000000009</v>
      </c>
      <c r="M240" s="66"/>
    </row>
    <row r="241" spans="1:13" x14ac:dyDescent="0.25">
      <c r="A241" s="115" t="s">
        <v>256</v>
      </c>
      <c r="B241" s="153" t="s">
        <v>210</v>
      </c>
      <c r="C241" s="116" t="s">
        <v>61</v>
      </c>
      <c r="D241" s="117">
        <f>D240*0.7*2</f>
        <v>36.981000000000002</v>
      </c>
      <c r="E241" s="28"/>
      <c r="F241" s="22"/>
      <c r="G241" s="22"/>
      <c r="H241" s="155">
        <v>296.39999999999998</v>
      </c>
      <c r="I241" s="22">
        <f t="shared" ref="I241" si="216">ROUND(H241*D241,2)</f>
        <v>10961.17</v>
      </c>
      <c r="J241" s="22">
        <f t="shared" ref="J241" si="217">ROUND(I241*1.2,2)</f>
        <v>13153.4</v>
      </c>
      <c r="K241" s="28">
        <f t="shared" si="210"/>
        <v>10961.17</v>
      </c>
      <c r="L241" s="137">
        <f t="shared" si="210"/>
        <v>13153.4</v>
      </c>
      <c r="M241" s="66"/>
    </row>
    <row r="242" spans="1:13" ht="18" customHeight="1" x14ac:dyDescent="0.25">
      <c r="A242" s="36"/>
      <c r="B242" s="148" t="s">
        <v>169</v>
      </c>
      <c r="C242" s="36"/>
      <c r="D242" s="145"/>
      <c r="E242" s="25"/>
      <c r="F242" s="30"/>
      <c r="G242" s="30"/>
      <c r="H242" s="27"/>
      <c r="I242" s="30"/>
      <c r="J242" s="30"/>
      <c r="K242" s="31"/>
      <c r="L242" s="32"/>
    </row>
    <row r="243" spans="1:13" ht="18" customHeight="1" x14ac:dyDescent="0.25">
      <c r="A243" s="36" t="e">
        <f>A240+1</f>
        <v>#REF!</v>
      </c>
      <c r="B243" s="35" t="s">
        <v>170</v>
      </c>
      <c r="C243" s="36" t="s">
        <v>17</v>
      </c>
      <c r="D243" s="149">
        <v>10.88</v>
      </c>
      <c r="E243" s="25">
        <v>544.86</v>
      </c>
      <c r="F243" s="30">
        <f t="shared" ref="F243" si="218">ROUND(E243*D243,2)</f>
        <v>5928.08</v>
      </c>
      <c r="G243" s="30">
        <f t="shared" ref="G243" si="219">ROUND(F243*1.2,2)</f>
        <v>7113.7</v>
      </c>
      <c r="H243" s="27"/>
      <c r="I243" s="30"/>
      <c r="J243" s="30"/>
      <c r="K243" s="31">
        <f t="shared" ref="K243:L243" si="220">F243+I243</f>
        <v>5928.08</v>
      </c>
      <c r="L243" s="32">
        <f t="shared" si="220"/>
        <v>7113.7</v>
      </c>
    </row>
    <row r="244" spans="1:13" ht="27.75" customHeight="1" x14ac:dyDescent="0.25">
      <c r="A244" s="70"/>
      <c r="B244" s="81" t="s">
        <v>283</v>
      </c>
      <c r="C244" s="70"/>
      <c r="D244" s="82"/>
      <c r="E244" s="79"/>
      <c r="F244" s="74"/>
      <c r="G244" s="74"/>
      <c r="H244" s="75"/>
      <c r="I244" s="74"/>
      <c r="J244" s="74"/>
      <c r="K244" s="73"/>
      <c r="L244" s="76"/>
    </row>
    <row r="245" spans="1:13" ht="44.25" customHeight="1" x14ac:dyDescent="0.25">
      <c r="A245" s="36" t="e">
        <f>A243+1</f>
        <v>#REF!</v>
      </c>
      <c r="B245" s="35" t="s">
        <v>284</v>
      </c>
      <c r="C245" s="36" t="s">
        <v>38</v>
      </c>
      <c r="D245" s="106">
        <v>4</v>
      </c>
      <c r="E245" s="69">
        <v>6852.75</v>
      </c>
      <c r="F245" s="30">
        <f t="shared" ref="F245" si="221">ROUND(E245*D245,2)</f>
        <v>27411</v>
      </c>
      <c r="G245" s="30">
        <f t="shared" ref="G245" si="222">ROUND(F245*1.2,2)</f>
        <v>32893.199999999997</v>
      </c>
      <c r="H245" s="27"/>
      <c r="I245" s="30"/>
      <c r="J245" s="30"/>
      <c r="K245" s="31">
        <f t="shared" ref="K245:L260" si="223">F245+I245</f>
        <v>27411</v>
      </c>
      <c r="L245" s="32">
        <f t="shared" si="223"/>
        <v>32893.199999999997</v>
      </c>
      <c r="M245" s="37" t="s">
        <v>110</v>
      </c>
    </row>
    <row r="246" spans="1:13" ht="24" customHeight="1" x14ac:dyDescent="0.25">
      <c r="A246" s="67" t="s">
        <v>257</v>
      </c>
      <c r="B246" s="68" t="s">
        <v>287</v>
      </c>
      <c r="C246" s="67" t="s">
        <v>38</v>
      </c>
      <c r="D246" s="102">
        <v>4</v>
      </c>
      <c r="E246" s="28"/>
      <c r="F246" s="22"/>
      <c r="G246" s="22"/>
      <c r="H246" s="88">
        <f>4800/1.2</f>
        <v>4000</v>
      </c>
      <c r="I246" s="22">
        <f>ROUND(H246*D246,2)</f>
        <v>16000</v>
      </c>
      <c r="J246" s="22">
        <f t="shared" ref="J246:J248" si="224">ROUND(I246*1.2,2)</f>
        <v>19200</v>
      </c>
      <c r="K246" s="23">
        <f t="shared" si="223"/>
        <v>16000</v>
      </c>
      <c r="L246" s="24">
        <f t="shared" si="223"/>
        <v>19200</v>
      </c>
      <c r="M246" s="37"/>
    </row>
    <row r="247" spans="1:13" ht="24" customHeight="1" x14ac:dyDescent="0.25">
      <c r="A247" s="67" t="s">
        <v>290</v>
      </c>
      <c r="B247" s="68" t="s">
        <v>288</v>
      </c>
      <c r="C247" s="67" t="s">
        <v>38</v>
      </c>
      <c r="D247" s="102">
        <v>8</v>
      </c>
      <c r="E247" s="28"/>
      <c r="F247" s="22"/>
      <c r="G247" s="22"/>
      <c r="H247" s="88">
        <f>100/1.2</f>
        <v>83.333333333333343</v>
      </c>
      <c r="I247" s="22">
        <f>ROUND(H247*D247,2)</f>
        <v>666.67</v>
      </c>
      <c r="J247" s="22">
        <f t="shared" si="224"/>
        <v>800</v>
      </c>
      <c r="K247" s="23">
        <f t="shared" si="223"/>
        <v>666.67</v>
      </c>
      <c r="L247" s="24">
        <f t="shared" si="223"/>
        <v>800</v>
      </c>
      <c r="M247" s="37"/>
    </row>
    <row r="248" spans="1:13" ht="30" customHeight="1" x14ac:dyDescent="0.25">
      <c r="A248" s="67" t="s">
        <v>291</v>
      </c>
      <c r="B248" s="68" t="s">
        <v>289</v>
      </c>
      <c r="C248" s="67" t="s">
        <v>38</v>
      </c>
      <c r="D248" s="102">
        <v>4</v>
      </c>
      <c r="E248" s="28"/>
      <c r="F248" s="22"/>
      <c r="G248" s="22"/>
      <c r="H248" s="88">
        <f>3200/1.2</f>
        <v>2666.666666666667</v>
      </c>
      <c r="I248" s="22">
        <f>ROUND(H248*D248,2)</f>
        <v>10666.67</v>
      </c>
      <c r="J248" s="22">
        <f t="shared" si="224"/>
        <v>12800</v>
      </c>
      <c r="K248" s="23">
        <f t="shared" si="223"/>
        <v>10666.67</v>
      </c>
      <c r="L248" s="24">
        <f t="shared" si="223"/>
        <v>12800</v>
      </c>
      <c r="M248" s="37"/>
    </row>
    <row r="249" spans="1:13" ht="33" customHeight="1" x14ac:dyDescent="0.25">
      <c r="A249" s="36" t="e">
        <f>A245+1</f>
        <v>#REF!</v>
      </c>
      <c r="B249" s="35" t="s">
        <v>285</v>
      </c>
      <c r="C249" s="36" t="s">
        <v>38</v>
      </c>
      <c r="D249" s="106">
        <v>16</v>
      </c>
      <c r="E249" s="69">
        <v>12278.56</v>
      </c>
      <c r="F249" s="30">
        <f t="shared" ref="F249" si="225">ROUND(E249*D249,2)</f>
        <v>196456.95999999999</v>
      </c>
      <c r="G249" s="30">
        <f t="shared" ref="G249" si="226">ROUND(F249*1.2,2)</f>
        <v>235748.35</v>
      </c>
      <c r="H249" s="27"/>
      <c r="I249" s="30"/>
      <c r="J249" s="30"/>
      <c r="K249" s="31">
        <f t="shared" si="223"/>
        <v>196456.95999999999</v>
      </c>
      <c r="L249" s="32">
        <f t="shared" si="223"/>
        <v>235748.35</v>
      </c>
      <c r="M249" s="37" t="s">
        <v>110</v>
      </c>
    </row>
    <row r="250" spans="1:13" ht="23.25" customHeight="1" x14ac:dyDescent="0.25">
      <c r="A250" s="67" t="s">
        <v>259</v>
      </c>
      <c r="B250" s="68" t="s">
        <v>292</v>
      </c>
      <c r="C250" s="67" t="s">
        <v>38</v>
      </c>
      <c r="D250" s="102">
        <v>16</v>
      </c>
      <c r="E250" s="28"/>
      <c r="F250" s="22"/>
      <c r="G250" s="22"/>
      <c r="H250" s="88">
        <f>2400/1.2</f>
        <v>2000</v>
      </c>
      <c r="I250" s="22">
        <f>ROUND(H250*D250,2)</f>
        <v>32000</v>
      </c>
      <c r="J250" s="22">
        <f t="shared" ref="J250:J262" si="227">ROUND(I250*1.2,2)</f>
        <v>38400</v>
      </c>
      <c r="K250" s="23">
        <f t="shared" si="223"/>
        <v>32000</v>
      </c>
      <c r="L250" s="24">
        <f t="shared" si="223"/>
        <v>38400</v>
      </c>
      <c r="M250" s="63" t="s">
        <v>318</v>
      </c>
    </row>
    <row r="251" spans="1:13" ht="23.25" customHeight="1" x14ac:dyDescent="0.25">
      <c r="A251" s="67" t="s">
        <v>305</v>
      </c>
      <c r="B251" s="68" t="s">
        <v>293</v>
      </c>
      <c r="C251" s="67" t="s">
        <v>38</v>
      </c>
      <c r="D251" s="102">
        <v>16</v>
      </c>
      <c r="E251" s="28"/>
      <c r="F251" s="22"/>
      <c r="G251" s="22"/>
      <c r="H251" s="88">
        <f>3322.22/1.2</f>
        <v>2768.5166666666664</v>
      </c>
      <c r="I251" s="22">
        <f t="shared" ref="I251:I262" si="228">ROUND(H251*D251,2)</f>
        <v>44296.27</v>
      </c>
      <c r="J251" s="22">
        <f t="shared" si="227"/>
        <v>53155.519999999997</v>
      </c>
      <c r="K251" s="23">
        <f t="shared" si="223"/>
        <v>44296.27</v>
      </c>
      <c r="L251" s="24">
        <f t="shared" si="223"/>
        <v>53155.519999999997</v>
      </c>
      <c r="M251" s="63" t="s">
        <v>317</v>
      </c>
    </row>
    <row r="252" spans="1:13" ht="23.25" customHeight="1" x14ac:dyDescent="0.25">
      <c r="A252" s="67" t="s">
        <v>306</v>
      </c>
      <c r="B252" s="68" t="s">
        <v>288</v>
      </c>
      <c r="C252" s="67" t="s">
        <v>38</v>
      </c>
      <c r="D252" s="102">
        <v>48</v>
      </c>
      <c r="E252" s="28"/>
      <c r="F252" s="22"/>
      <c r="G252" s="22"/>
      <c r="H252" s="88">
        <f>100/1.2</f>
        <v>83.333333333333343</v>
      </c>
      <c r="I252" s="22">
        <f t="shared" si="228"/>
        <v>4000</v>
      </c>
      <c r="J252" s="22">
        <f t="shared" si="227"/>
        <v>4800</v>
      </c>
      <c r="K252" s="23">
        <f t="shared" si="223"/>
        <v>4000</v>
      </c>
      <c r="L252" s="24">
        <f t="shared" si="223"/>
        <v>4800</v>
      </c>
      <c r="M252" s="63" t="s">
        <v>318</v>
      </c>
    </row>
    <row r="253" spans="1:13" ht="23.25" customHeight="1" x14ac:dyDescent="0.25">
      <c r="A253" s="67" t="s">
        <v>307</v>
      </c>
      <c r="B253" s="68" t="s">
        <v>294</v>
      </c>
      <c r="C253" s="67" t="s">
        <v>38</v>
      </c>
      <c r="D253" s="102">
        <v>2</v>
      </c>
      <c r="E253" s="28"/>
      <c r="F253" s="22"/>
      <c r="G253" s="22"/>
      <c r="H253" s="88">
        <f>3200/1.2</f>
        <v>2666.666666666667</v>
      </c>
      <c r="I253" s="22">
        <f t="shared" si="228"/>
        <v>5333.33</v>
      </c>
      <c r="J253" s="22">
        <f t="shared" si="227"/>
        <v>6400</v>
      </c>
      <c r="K253" s="23">
        <f t="shared" si="223"/>
        <v>5333.33</v>
      </c>
      <c r="L253" s="24">
        <f t="shared" si="223"/>
        <v>6400</v>
      </c>
      <c r="M253" s="63" t="s">
        <v>318</v>
      </c>
    </row>
    <row r="254" spans="1:13" ht="23.25" customHeight="1" x14ac:dyDescent="0.25">
      <c r="A254" s="67" t="s">
        <v>308</v>
      </c>
      <c r="B254" s="68" t="s">
        <v>295</v>
      </c>
      <c r="C254" s="67" t="s">
        <v>38</v>
      </c>
      <c r="D254" s="102">
        <v>8</v>
      </c>
      <c r="E254" s="28"/>
      <c r="F254" s="22"/>
      <c r="G254" s="22"/>
      <c r="H254" s="88">
        <f>3000/1.2</f>
        <v>2500</v>
      </c>
      <c r="I254" s="22">
        <f t="shared" si="228"/>
        <v>20000</v>
      </c>
      <c r="J254" s="22">
        <f t="shared" si="227"/>
        <v>24000</v>
      </c>
      <c r="K254" s="23">
        <f t="shared" si="223"/>
        <v>20000</v>
      </c>
      <c r="L254" s="24">
        <f t="shared" si="223"/>
        <v>24000</v>
      </c>
      <c r="M254" s="63" t="s">
        <v>318</v>
      </c>
    </row>
    <row r="255" spans="1:13" ht="23.25" customHeight="1" x14ac:dyDescent="0.25">
      <c r="A255" s="67" t="s">
        <v>309</v>
      </c>
      <c r="B255" s="68" t="s">
        <v>296</v>
      </c>
      <c r="C255" s="67" t="s">
        <v>38</v>
      </c>
      <c r="D255" s="102">
        <v>2</v>
      </c>
      <c r="E255" s="28"/>
      <c r="F255" s="22"/>
      <c r="G255" s="22"/>
      <c r="H255" s="88">
        <f>3900/1.2</f>
        <v>3250</v>
      </c>
      <c r="I255" s="22">
        <f t="shared" si="228"/>
        <v>6500</v>
      </c>
      <c r="J255" s="22">
        <f t="shared" si="227"/>
        <v>7800</v>
      </c>
      <c r="K255" s="23">
        <f t="shared" si="223"/>
        <v>6500</v>
      </c>
      <c r="L255" s="24">
        <f t="shared" si="223"/>
        <v>7800</v>
      </c>
      <c r="M255" s="63" t="s">
        <v>318</v>
      </c>
    </row>
    <row r="256" spans="1:13" ht="23.25" customHeight="1" x14ac:dyDescent="0.25">
      <c r="A256" s="67" t="s">
        <v>310</v>
      </c>
      <c r="B256" s="68" t="s">
        <v>297</v>
      </c>
      <c r="C256" s="67" t="s">
        <v>38</v>
      </c>
      <c r="D256" s="102">
        <v>2</v>
      </c>
      <c r="E256" s="28"/>
      <c r="F256" s="22"/>
      <c r="G256" s="22"/>
      <c r="H256" s="88">
        <f>2250/1.2</f>
        <v>1875</v>
      </c>
      <c r="I256" s="22">
        <f t="shared" si="228"/>
        <v>3750</v>
      </c>
      <c r="J256" s="22">
        <f t="shared" si="227"/>
        <v>4500</v>
      </c>
      <c r="K256" s="23">
        <f t="shared" si="223"/>
        <v>3750</v>
      </c>
      <c r="L256" s="24">
        <f t="shared" si="223"/>
        <v>4500</v>
      </c>
      <c r="M256" s="63" t="s">
        <v>318</v>
      </c>
    </row>
    <row r="257" spans="1:13" ht="23.25" customHeight="1" x14ac:dyDescent="0.25">
      <c r="A257" s="67" t="s">
        <v>311</v>
      </c>
      <c r="B257" s="68" t="s">
        <v>298</v>
      </c>
      <c r="C257" s="67" t="s">
        <v>38</v>
      </c>
      <c r="D257" s="102">
        <v>2</v>
      </c>
      <c r="E257" s="28"/>
      <c r="F257" s="22"/>
      <c r="G257" s="22"/>
      <c r="H257" s="88">
        <f>2250/1.2</f>
        <v>1875</v>
      </c>
      <c r="I257" s="22">
        <f t="shared" si="228"/>
        <v>3750</v>
      </c>
      <c r="J257" s="22">
        <f t="shared" si="227"/>
        <v>4500</v>
      </c>
      <c r="K257" s="23">
        <f t="shared" si="223"/>
        <v>3750</v>
      </c>
      <c r="L257" s="24">
        <f t="shared" si="223"/>
        <v>4500</v>
      </c>
      <c r="M257" s="63" t="s">
        <v>318</v>
      </c>
    </row>
    <row r="258" spans="1:13" ht="23.25" customHeight="1" x14ac:dyDescent="0.25">
      <c r="A258" s="67" t="s">
        <v>312</v>
      </c>
      <c r="B258" s="68" t="s">
        <v>299</v>
      </c>
      <c r="C258" s="67" t="s">
        <v>38</v>
      </c>
      <c r="D258" s="102">
        <v>2</v>
      </c>
      <c r="E258" s="28"/>
      <c r="F258" s="22"/>
      <c r="G258" s="22"/>
      <c r="H258" s="88">
        <f>2250/1.2</f>
        <v>1875</v>
      </c>
      <c r="I258" s="22">
        <f t="shared" si="228"/>
        <v>3750</v>
      </c>
      <c r="J258" s="22">
        <f t="shared" si="227"/>
        <v>4500</v>
      </c>
      <c r="K258" s="23">
        <f t="shared" si="223"/>
        <v>3750</v>
      </c>
      <c r="L258" s="24">
        <f t="shared" si="223"/>
        <v>4500</v>
      </c>
      <c r="M258" s="63" t="s">
        <v>318</v>
      </c>
    </row>
    <row r="259" spans="1:13" ht="23.25" customHeight="1" x14ac:dyDescent="0.25">
      <c r="A259" s="67" t="s">
        <v>313</v>
      </c>
      <c r="B259" s="68" t="s">
        <v>300</v>
      </c>
      <c r="C259" s="67" t="s">
        <v>38</v>
      </c>
      <c r="D259" s="102">
        <v>2</v>
      </c>
      <c r="E259" s="28"/>
      <c r="F259" s="22"/>
      <c r="G259" s="22"/>
      <c r="H259" s="88">
        <f t="shared" ref="H259:H261" si="229">2250/1.2</f>
        <v>1875</v>
      </c>
      <c r="I259" s="22">
        <f t="shared" si="228"/>
        <v>3750</v>
      </c>
      <c r="J259" s="22">
        <f t="shared" si="227"/>
        <v>4500</v>
      </c>
      <c r="K259" s="23">
        <f t="shared" si="223"/>
        <v>3750</v>
      </c>
      <c r="L259" s="24">
        <f t="shared" si="223"/>
        <v>4500</v>
      </c>
      <c r="M259" s="63" t="s">
        <v>318</v>
      </c>
    </row>
    <row r="260" spans="1:13" ht="23.25" customHeight="1" x14ac:dyDescent="0.25">
      <c r="A260" s="67" t="s">
        <v>314</v>
      </c>
      <c r="B260" s="68" t="s">
        <v>301</v>
      </c>
      <c r="C260" s="67" t="s">
        <v>38</v>
      </c>
      <c r="D260" s="102">
        <v>2</v>
      </c>
      <c r="E260" s="28"/>
      <c r="F260" s="22"/>
      <c r="G260" s="22"/>
      <c r="H260" s="88">
        <f t="shared" si="229"/>
        <v>1875</v>
      </c>
      <c r="I260" s="22">
        <f t="shared" si="228"/>
        <v>3750</v>
      </c>
      <c r="J260" s="22">
        <f t="shared" si="227"/>
        <v>4500</v>
      </c>
      <c r="K260" s="23">
        <f t="shared" si="223"/>
        <v>3750</v>
      </c>
      <c r="L260" s="24">
        <f t="shared" si="223"/>
        <v>4500</v>
      </c>
      <c r="M260" s="63" t="s">
        <v>318</v>
      </c>
    </row>
    <row r="261" spans="1:13" ht="23.25" customHeight="1" x14ac:dyDescent="0.25">
      <c r="A261" s="67" t="s">
        <v>315</v>
      </c>
      <c r="B261" s="68" t="s">
        <v>302</v>
      </c>
      <c r="C261" s="67" t="s">
        <v>38</v>
      </c>
      <c r="D261" s="102">
        <v>2</v>
      </c>
      <c r="E261" s="28"/>
      <c r="F261" s="22"/>
      <c r="G261" s="22"/>
      <c r="H261" s="88">
        <f t="shared" si="229"/>
        <v>1875</v>
      </c>
      <c r="I261" s="22">
        <f t="shared" si="228"/>
        <v>3750</v>
      </c>
      <c r="J261" s="22">
        <f t="shared" si="227"/>
        <v>4500</v>
      </c>
      <c r="K261" s="23">
        <f t="shared" ref="K261:L264" si="230">F261+I261</f>
        <v>3750</v>
      </c>
      <c r="L261" s="24">
        <f t="shared" si="230"/>
        <v>4500</v>
      </c>
      <c r="M261" s="63" t="s">
        <v>318</v>
      </c>
    </row>
    <row r="262" spans="1:13" ht="23.25" customHeight="1" x14ac:dyDescent="0.25">
      <c r="A262" s="67" t="s">
        <v>316</v>
      </c>
      <c r="B262" s="68" t="s">
        <v>303</v>
      </c>
      <c r="C262" s="67" t="s">
        <v>38</v>
      </c>
      <c r="D262" s="102">
        <v>2</v>
      </c>
      <c r="E262" s="28"/>
      <c r="F262" s="22"/>
      <c r="G262" s="22"/>
      <c r="H262" s="88">
        <f>3200/1.2</f>
        <v>2666.666666666667</v>
      </c>
      <c r="I262" s="22">
        <f t="shared" si="228"/>
        <v>5333.33</v>
      </c>
      <c r="J262" s="22">
        <f t="shared" si="227"/>
        <v>6400</v>
      </c>
      <c r="K262" s="23">
        <f t="shared" si="230"/>
        <v>5333.33</v>
      </c>
      <c r="L262" s="24">
        <f t="shared" si="230"/>
        <v>6400</v>
      </c>
      <c r="M262" s="63" t="s">
        <v>318</v>
      </c>
    </row>
    <row r="263" spans="1:13" ht="35.25" customHeight="1" x14ac:dyDescent="0.25">
      <c r="A263" s="36" t="e">
        <f>A249+1</f>
        <v>#REF!</v>
      </c>
      <c r="B263" s="35" t="s">
        <v>286</v>
      </c>
      <c r="C263" s="36" t="s">
        <v>15</v>
      </c>
      <c r="D263" s="125">
        <v>6</v>
      </c>
      <c r="E263" s="69">
        <v>15</v>
      </c>
      <c r="F263" s="30">
        <f t="shared" ref="F263" si="231">ROUND(E263*D263,2)</f>
        <v>90</v>
      </c>
      <c r="G263" s="30">
        <f t="shared" ref="G263" si="232">ROUND(F263*1.2,2)</f>
        <v>108</v>
      </c>
      <c r="H263" s="27"/>
      <c r="I263" s="30"/>
      <c r="J263" s="30"/>
      <c r="K263" s="31">
        <f t="shared" si="230"/>
        <v>90</v>
      </c>
      <c r="L263" s="32">
        <f t="shared" si="230"/>
        <v>108</v>
      </c>
      <c r="M263" s="37" t="s">
        <v>110</v>
      </c>
    </row>
    <row r="264" spans="1:13" ht="24" customHeight="1" x14ac:dyDescent="0.25">
      <c r="A264" s="67" t="s">
        <v>260</v>
      </c>
      <c r="B264" s="84" t="s">
        <v>304</v>
      </c>
      <c r="C264" s="67" t="s">
        <v>61</v>
      </c>
      <c r="D264" s="144">
        <v>0.5</v>
      </c>
      <c r="E264" s="28"/>
      <c r="F264" s="22"/>
      <c r="G264" s="22"/>
      <c r="H264" s="28"/>
      <c r="I264" s="22">
        <f t="shared" ref="I264" si="233">ROUND(H264*D264,2)</f>
        <v>0</v>
      </c>
      <c r="J264" s="22">
        <f t="shared" ref="J264" si="234">ROUND(I264*1.2,2)</f>
        <v>0</v>
      </c>
      <c r="K264" s="23">
        <f t="shared" si="230"/>
        <v>0</v>
      </c>
      <c r="L264" s="24">
        <f t="shared" si="230"/>
        <v>0</v>
      </c>
      <c r="M264" s="37"/>
    </row>
    <row r="265" spans="1:13" ht="21.75" customHeight="1" x14ac:dyDescent="0.25">
      <c r="A265" s="308" t="s">
        <v>14</v>
      </c>
      <c r="B265" s="309"/>
      <c r="C265" s="309"/>
      <c r="D265" s="309"/>
      <c r="E265" s="310"/>
      <c r="F265" s="42">
        <f>SUM(F8:F264)</f>
        <v>37429795.099999987</v>
      </c>
      <c r="G265" s="40">
        <f>ROUND(F265*1.2,2)</f>
        <v>44915754.119999997</v>
      </c>
      <c r="H265" s="43"/>
      <c r="I265" s="42">
        <f>SUM(I8:I264)</f>
        <v>30253854.960000001</v>
      </c>
      <c r="J265" s="40">
        <f>ROUND(I265*1.2,2)</f>
        <v>36304625.950000003</v>
      </c>
      <c r="K265" s="42">
        <f>SUM(K8:K264)</f>
        <v>67683650.059999973</v>
      </c>
      <c r="L265" s="40">
        <f>ROUND(K265*1.2,2)</f>
        <v>81220380.069999993</v>
      </c>
    </row>
  </sheetData>
  <mergeCells count="58">
    <mergeCell ref="K211:K212"/>
    <mergeCell ref="L211:L212"/>
    <mergeCell ref="A265:E265"/>
    <mergeCell ref="E211:E212"/>
    <mergeCell ref="F211:F212"/>
    <mergeCell ref="G211:G212"/>
    <mergeCell ref="H211:H212"/>
    <mergeCell ref="I211:I212"/>
    <mergeCell ref="J211:J212"/>
    <mergeCell ref="J202:J203"/>
    <mergeCell ref="K202:K203"/>
    <mergeCell ref="L202:L203"/>
    <mergeCell ref="E187:E188"/>
    <mergeCell ref="F187:F188"/>
    <mergeCell ref="G187:G188"/>
    <mergeCell ref="H187:H188"/>
    <mergeCell ref="I187:I188"/>
    <mergeCell ref="J187:J188"/>
    <mergeCell ref="E202:E203"/>
    <mergeCell ref="F202:F203"/>
    <mergeCell ref="G202:G203"/>
    <mergeCell ref="H202:H203"/>
    <mergeCell ref="I202:I203"/>
    <mergeCell ref="J170:J171"/>
    <mergeCell ref="K170:K171"/>
    <mergeCell ref="L170:L171"/>
    <mergeCell ref="K187:K188"/>
    <mergeCell ref="L187:L188"/>
    <mergeCell ref="E170:E171"/>
    <mergeCell ref="F170:F171"/>
    <mergeCell ref="G170:G171"/>
    <mergeCell ref="H170:H171"/>
    <mergeCell ref="I170:I171"/>
    <mergeCell ref="J140:J141"/>
    <mergeCell ref="K140:K141"/>
    <mergeCell ref="L140:L141"/>
    <mergeCell ref="E154:E155"/>
    <mergeCell ref="F154:F155"/>
    <mergeCell ref="G154:G155"/>
    <mergeCell ref="H154:H155"/>
    <mergeCell ref="I154:I155"/>
    <mergeCell ref="J154:J155"/>
    <mergeCell ref="K154:K155"/>
    <mergeCell ref="I140:I141"/>
    <mergeCell ref="L154:L155"/>
    <mergeCell ref="B6:D6"/>
    <mergeCell ref="E140:E141"/>
    <mergeCell ref="F140:F141"/>
    <mergeCell ref="G140:G141"/>
    <mergeCell ref="H140:H1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426A-33D7-474D-B137-7673C88BB51C}">
  <sheetPr>
    <tabColor theme="9" tint="0.59999389629810485"/>
  </sheetPr>
  <dimension ref="A1:M60"/>
  <sheetViews>
    <sheetView view="pageBreakPreview" topLeftCell="A37" zoomScale="80" zoomScaleNormal="100" zoomScaleSheetLayoutView="80" workbookViewId="0">
      <selection activeCell="F35" sqref="F3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295" t="s">
        <v>0</v>
      </c>
      <c r="B1" s="298" t="s">
        <v>1</v>
      </c>
      <c r="C1" s="301" t="s">
        <v>2</v>
      </c>
      <c r="D1" s="301" t="s">
        <v>3</v>
      </c>
      <c r="E1" s="302" t="s">
        <v>4</v>
      </c>
      <c r="F1" s="303"/>
      <c r="G1" s="303"/>
      <c r="H1" s="303"/>
      <c r="I1" s="303"/>
      <c r="J1" s="303"/>
      <c r="K1" s="303"/>
      <c r="L1" s="303"/>
    </row>
    <row r="2" spans="1:13" ht="14.45" customHeight="1" x14ac:dyDescent="0.25">
      <c r="A2" s="296"/>
      <c r="B2" s="299"/>
      <c r="C2" s="301"/>
      <c r="D2" s="301"/>
      <c r="E2" s="304"/>
      <c r="F2" s="305"/>
      <c r="G2" s="305"/>
      <c r="H2" s="305"/>
      <c r="I2" s="305"/>
      <c r="J2" s="305"/>
      <c r="K2" s="305"/>
      <c r="L2" s="305"/>
    </row>
    <row r="3" spans="1:13" ht="27.75" customHeight="1" x14ac:dyDescent="0.25">
      <c r="A3" s="296"/>
      <c r="B3" s="299"/>
      <c r="C3" s="301"/>
      <c r="D3" s="301"/>
      <c r="E3" s="301" t="s">
        <v>5</v>
      </c>
      <c r="F3" s="301"/>
      <c r="G3" s="301"/>
      <c r="H3" s="301" t="s">
        <v>6</v>
      </c>
      <c r="I3" s="301"/>
      <c r="J3" s="301"/>
      <c r="K3" s="292" t="s">
        <v>7</v>
      </c>
      <c r="L3" s="292"/>
    </row>
    <row r="4" spans="1:13" ht="56.1" customHeight="1" x14ac:dyDescent="0.25">
      <c r="A4" s="297"/>
      <c r="B4" s="300"/>
      <c r="C4" s="301"/>
      <c r="D4" s="301"/>
      <c r="E4" s="86" t="s">
        <v>8</v>
      </c>
      <c r="F4" s="86" t="s">
        <v>9</v>
      </c>
      <c r="G4" s="1" t="s">
        <v>10</v>
      </c>
      <c r="H4" s="86" t="s">
        <v>8</v>
      </c>
      <c r="I4" s="86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306" t="s">
        <v>319</v>
      </c>
      <c r="C6" s="307"/>
      <c r="D6" s="307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77" t="s">
        <v>320</v>
      </c>
      <c r="C7" s="70"/>
      <c r="D7" s="78"/>
      <c r="E7" s="79"/>
      <c r="F7" s="74"/>
      <c r="G7" s="74"/>
      <c r="H7" s="75"/>
      <c r="I7" s="74"/>
      <c r="J7" s="74"/>
      <c r="K7" s="73"/>
      <c r="L7" s="76"/>
      <c r="M7" s="114"/>
    </row>
    <row r="8" spans="1:13" ht="22.5" customHeight="1" x14ac:dyDescent="0.25">
      <c r="A8" s="11">
        <v>1</v>
      </c>
      <c r="B8" s="110" t="s">
        <v>321</v>
      </c>
      <c r="C8" s="48" t="s">
        <v>38</v>
      </c>
      <c r="D8" s="91">
        <v>84</v>
      </c>
      <c r="E8" s="129">
        <v>1055.02</v>
      </c>
      <c r="F8" s="14">
        <f t="shared" ref="F8:F11" si="0">ROUND(E8*D8,2)</f>
        <v>88621.68</v>
      </c>
      <c r="G8" s="14">
        <f t="shared" ref="G8:G11" si="1">ROUND(F8*1.2,2)</f>
        <v>106346.02</v>
      </c>
      <c r="H8" s="15"/>
      <c r="I8" s="16"/>
      <c r="J8" s="16"/>
      <c r="K8" s="13">
        <f t="shared" ref="K8:L11" si="2">F8+I8</f>
        <v>88621.68</v>
      </c>
      <c r="L8" s="14">
        <f t="shared" si="2"/>
        <v>106346.02</v>
      </c>
      <c r="M8" s="66" t="s">
        <v>344</v>
      </c>
    </row>
    <row r="9" spans="1:13" ht="22.5" customHeight="1" x14ac:dyDescent="0.25">
      <c r="A9" s="11">
        <f>A8+1</f>
        <v>2</v>
      </c>
      <c r="B9" s="110" t="s">
        <v>322</v>
      </c>
      <c r="C9" s="90" t="s">
        <v>15</v>
      </c>
      <c r="D9" s="111">
        <v>43.27</v>
      </c>
      <c r="E9" s="129">
        <v>1900</v>
      </c>
      <c r="F9" s="14">
        <f t="shared" si="0"/>
        <v>82213</v>
      </c>
      <c r="G9" s="14">
        <f t="shared" si="1"/>
        <v>98655.6</v>
      </c>
      <c r="H9" s="15"/>
      <c r="I9" s="16"/>
      <c r="J9" s="16"/>
      <c r="K9" s="13">
        <f t="shared" si="2"/>
        <v>82213</v>
      </c>
      <c r="L9" s="14">
        <f t="shared" si="2"/>
        <v>98655.6</v>
      </c>
      <c r="M9" s="66" t="s">
        <v>344</v>
      </c>
    </row>
    <row r="10" spans="1:13" ht="22.5" customHeight="1" x14ac:dyDescent="0.25">
      <c r="A10" s="11">
        <f>A9+1</f>
        <v>3</v>
      </c>
      <c r="B10" s="110" t="s">
        <v>323</v>
      </c>
      <c r="C10" s="123" t="s">
        <v>13</v>
      </c>
      <c r="D10" s="111">
        <v>285.44</v>
      </c>
      <c r="E10" s="93">
        <f>ROUND(65055.24/(297.03*0.05),2)</f>
        <v>4380.38</v>
      </c>
      <c r="F10" s="14">
        <f t="shared" si="0"/>
        <v>1250335.67</v>
      </c>
      <c r="G10" s="14">
        <f t="shared" si="1"/>
        <v>1500402.8</v>
      </c>
      <c r="H10" s="15"/>
      <c r="I10" s="16"/>
      <c r="J10" s="16"/>
      <c r="K10" s="13">
        <f t="shared" si="2"/>
        <v>1250335.67</v>
      </c>
      <c r="L10" s="14">
        <f t="shared" si="2"/>
        <v>1500402.8</v>
      </c>
      <c r="M10" s="66" t="s">
        <v>344</v>
      </c>
    </row>
    <row r="11" spans="1:13" ht="22.5" customHeight="1" x14ac:dyDescent="0.25">
      <c r="A11" s="11">
        <f t="shared" ref="A11" si="3">A10+1</f>
        <v>4</v>
      </c>
      <c r="B11" s="110" t="s">
        <v>324</v>
      </c>
      <c r="C11" s="123" t="s">
        <v>13</v>
      </c>
      <c r="D11" s="111">
        <v>457.95</v>
      </c>
      <c r="E11" s="18">
        <v>1440.5229999999999</v>
      </c>
      <c r="F11" s="14">
        <f t="shared" si="0"/>
        <v>659687.51</v>
      </c>
      <c r="G11" s="14">
        <f t="shared" si="1"/>
        <v>791625.01</v>
      </c>
      <c r="H11" s="16"/>
      <c r="I11" s="16"/>
      <c r="J11" s="16"/>
      <c r="K11" s="13">
        <f t="shared" si="2"/>
        <v>659687.51</v>
      </c>
      <c r="L11" s="16">
        <f t="shared" si="2"/>
        <v>791625.01</v>
      </c>
      <c r="M11" s="66" t="s">
        <v>344</v>
      </c>
    </row>
    <row r="12" spans="1:13" ht="20.25" customHeight="1" x14ac:dyDescent="0.25">
      <c r="A12" s="11"/>
      <c r="B12" s="169" t="s">
        <v>169</v>
      </c>
      <c r="C12" s="90"/>
      <c r="D12" s="111"/>
      <c r="E12" s="170"/>
      <c r="F12" s="16"/>
      <c r="G12" s="16"/>
      <c r="H12" s="16"/>
      <c r="I12" s="16"/>
      <c r="J12" s="16"/>
      <c r="K12" s="13"/>
      <c r="L12" s="16"/>
      <c r="M12" s="66"/>
    </row>
    <row r="13" spans="1:13" ht="24" customHeight="1" x14ac:dyDescent="0.25">
      <c r="A13" s="11">
        <f>A11+1</f>
        <v>5</v>
      </c>
      <c r="B13" s="107" t="s">
        <v>170</v>
      </c>
      <c r="C13" s="123" t="s">
        <v>17</v>
      </c>
      <c r="D13" s="111">
        <v>1158.6500000000001</v>
      </c>
      <c r="E13" s="93">
        <v>544.86</v>
      </c>
      <c r="F13" s="14">
        <f t="shared" ref="F13" si="4">ROUND(E13*D13,2)</f>
        <v>631302.04</v>
      </c>
      <c r="G13" s="14">
        <f t="shared" ref="G13" si="5">ROUND(F13*1.2,2)</f>
        <v>757562.45</v>
      </c>
      <c r="H13" s="15"/>
      <c r="I13" s="16"/>
      <c r="J13" s="16"/>
      <c r="K13" s="13">
        <f t="shared" ref="K13:L13" si="6">F13+I13</f>
        <v>631302.04</v>
      </c>
      <c r="L13" s="16">
        <f t="shared" si="6"/>
        <v>757562.45</v>
      </c>
      <c r="M13" s="66"/>
    </row>
    <row r="14" spans="1:13" ht="20.25" customHeight="1" x14ac:dyDescent="0.25">
      <c r="A14" s="70"/>
      <c r="B14" s="77" t="s">
        <v>326</v>
      </c>
      <c r="C14" s="70"/>
      <c r="D14" s="78"/>
      <c r="E14" s="79"/>
      <c r="F14" s="74"/>
      <c r="G14" s="74"/>
      <c r="H14" s="75"/>
      <c r="I14" s="74"/>
      <c r="J14" s="74"/>
      <c r="K14" s="73"/>
      <c r="L14" s="76"/>
      <c r="M14" s="114"/>
    </row>
    <row r="15" spans="1:13" ht="24" customHeight="1" x14ac:dyDescent="0.25">
      <c r="A15" s="11">
        <f>A13+1</f>
        <v>6</v>
      </c>
      <c r="B15" s="122" t="s">
        <v>164</v>
      </c>
      <c r="C15" s="123" t="s">
        <v>13</v>
      </c>
      <c r="D15" s="124">
        <v>767.05</v>
      </c>
      <c r="E15" s="18">
        <v>308.75</v>
      </c>
      <c r="F15" s="14">
        <f t="shared" ref="F15:F16" si="7">ROUND(E15*D15,2)</f>
        <v>236826.69</v>
      </c>
      <c r="G15" s="14">
        <f t="shared" ref="G15:G16" si="8">ROUND(F15*1.2,2)</f>
        <v>284192.03000000003</v>
      </c>
      <c r="H15" s="112"/>
      <c r="I15" s="113"/>
      <c r="J15" s="113"/>
      <c r="K15" s="18">
        <f t="shared" ref="K15:L16" si="9">F15+I15</f>
        <v>236826.69</v>
      </c>
      <c r="L15" s="93">
        <f t="shared" si="9"/>
        <v>284192.03000000003</v>
      </c>
      <c r="M15" s="114"/>
    </row>
    <row r="16" spans="1:13" ht="24" customHeight="1" x14ac:dyDescent="0.25">
      <c r="A16" s="11">
        <f>A15+1</f>
        <v>7</v>
      </c>
      <c r="B16" s="122" t="s">
        <v>325</v>
      </c>
      <c r="C16" s="123" t="s">
        <v>13</v>
      </c>
      <c r="D16" s="124">
        <v>23.72</v>
      </c>
      <c r="E16" s="18">
        <v>1688.15</v>
      </c>
      <c r="F16" s="14">
        <f t="shared" si="7"/>
        <v>40042.92</v>
      </c>
      <c r="G16" s="14">
        <f t="shared" si="8"/>
        <v>48051.5</v>
      </c>
      <c r="H16" s="112"/>
      <c r="I16" s="113"/>
      <c r="J16" s="113"/>
      <c r="K16" s="18">
        <f t="shared" si="9"/>
        <v>40042.92</v>
      </c>
      <c r="L16" s="93">
        <f t="shared" si="9"/>
        <v>48051.5</v>
      </c>
      <c r="M16" s="114"/>
    </row>
    <row r="17" spans="1:13" ht="24" customHeight="1" x14ac:dyDescent="0.25">
      <c r="A17" s="11"/>
      <c r="B17" s="169" t="s">
        <v>169</v>
      </c>
      <c r="C17" s="123"/>
      <c r="D17" s="111"/>
      <c r="E17" s="93"/>
      <c r="F17" s="14"/>
      <c r="G17" s="14"/>
      <c r="H17" s="15"/>
      <c r="I17" s="16"/>
      <c r="J17" s="16"/>
      <c r="K17" s="13"/>
      <c r="L17" s="171"/>
      <c r="M17" s="66"/>
    </row>
    <row r="18" spans="1:13" ht="18" customHeight="1" x14ac:dyDescent="0.25">
      <c r="A18" s="11">
        <f>A16+1</f>
        <v>8</v>
      </c>
      <c r="B18" s="122" t="s">
        <v>327</v>
      </c>
      <c r="C18" s="123" t="s">
        <v>17</v>
      </c>
      <c r="D18" s="124">
        <v>1502.46</v>
      </c>
      <c r="E18" s="15">
        <v>308.75</v>
      </c>
      <c r="F18" s="14">
        <f t="shared" ref="F18" si="10">ROUND(E18*D18,2)</f>
        <v>463884.53</v>
      </c>
      <c r="G18" s="14">
        <f t="shared" ref="G18" si="11">ROUND(F18*1.2,2)</f>
        <v>556661.43999999994</v>
      </c>
      <c r="H18" s="15"/>
      <c r="I18" s="93"/>
      <c r="J18" s="93"/>
      <c r="K18" s="18">
        <f t="shared" ref="K18:L18" si="12">F18+I18</f>
        <v>463884.53</v>
      </c>
      <c r="L18" s="93">
        <f t="shared" si="12"/>
        <v>556661.43999999994</v>
      </c>
      <c r="M18" s="66"/>
    </row>
    <row r="19" spans="1:13" ht="23.25" customHeight="1" x14ac:dyDescent="0.25">
      <c r="A19" s="70"/>
      <c r="B19" s="77" t="s">
        <v>333</v>
      </c>
      <c r="C19" s="70"/>
      <c r="D19" s="80"/>
      <c r="E19" s="79"/>
      <c r="F19" s="74"/>
      <c r="G19" s="74"/>
      <c r="H19" s="75"/>
      <c r="I19" s="74"/>
      <c r="J19" s="74"/>
      <c r="K19" s="73"/>
      <c r="L19" s="76"/>
    </row>
    <row r="20" spans="1:13" ht="20.25" customHeight="1" x14ac:dyDescent="0.25">
      <c r="A20" s="36">
        <f>A18+1</f>
        <v>9</v>
      </c>
      <c r="B20" s="35" t="s">
        <v>147</v>
      </c>
      <c r="C20" s="36" t="s">
        <v>44</v>
      </c>
      <c r="D20" s="99">
        <v>2274.9</v>
      </c>
      <c r="E20" s="25">
        <v>183.58</v>
      </c>
      <c r="F20" s="30">
        <f>ROUND(E20*D20,2)</f>
        <v>417626.14</v>
      </c>
      <c r="G20" s="30">
        <f>ROUND(F20*1.2,2)</f>
        <v>501151.37</v>
      </c>
      <c r="H20" s="27"/>
      <c r="I20" s="30"/>
      <c r="J20" s="30"/>
      <c r="K20" s="31">
        <f t="shared" ref="K20:K25" si="13">F20+I20</f>
        <v>417626.14</v>
      </c>
      <c r="L20" s="32">
        <f t="shared" ref="L20:L25" si="14">G20+J20</f>
        <v>501151.37</v>
      </c>
    </row>
    <row r="21" spans="1:13" ht="18.75" customHeight="1" x14ac:dyDescent="0.25">
      <c r="A21" s="38" t="s">
        <v>73</v>
      </c>
      <c r="B21" s="19" t="s">
        <v>148</v>
      </c>
      <c r="C21" s="20" t="s">
        <v>44</v>
      </c>
      <c r="D21" s="100">
        <f>D20*1.1</f>
        <v>2502.3900000000003</v>
      </c>
      <c r="E21" s="21"/>
      <c r="F21" s="22"/>
      <c r="G21" s="22"/>
      <c r="H21" s="39">
        <v>153.33000000000001</v>
      </c>
      <c r="I21" s="22">
        <f>ROUND(H21*D21,2)</f>
        <v>383691.46</v>
      </c>
      <c r="J21" s="22">
        <f t="shared" ref="J21" si="15">ROUND(I21*1.2,2)</f>
        <v>460429.75</v>
      </c>
      <c r="K21" s="23">
        <f t="shared" si="13"/>
        <v>383691.46</v>
      </c>
      <c r="L21" s="24">
        <f t="shared" si="14"/>
        <v>460429.75</v>
      </c>
      <c r="M21" s="66"/>
    </row>
    <row r="22" spans="1:13" ht="18.75" customHeight="1" x14ac:dyDescent="0.25">
      <c r="A22" s="36">
        <f>A20+1</f>
        <v>10</v>
      </c>
      <c r="B22" s="35" t="s">
        <v>156</v>
      </c>
      <c r="C22" s="36" t="s">
        <v>13</v>
      </c>
      <c r="D22" s="99">
        <v>682.47</v>
      </c>
      <c r="E22" s="25">
        <v>1055.45</v>
      </c>
      <c r="F22" s="30">
        <f>ROUND(E22*D22,2)</f>
        <v>720312.96</v>
      </c>
      <c r="G22" s="30">
        <f>ROUND(F22*1.2,2)</f>
        <v>864375.55</v>
      </c>
      <c r="H22" s="27"/>
      <c r="I22" s="30"/>
      <c r="J22" s="30"/>
      <c r="K22" s="31">
        <f t="shared" si="13"/>
        <v>720312.96</v>
      </c>
      <c r="L22" s="32">
        <f t="shared" si="14"/>
        <v>864375.55</v>
      </c>
    </row>
    <row r="23" spans="1:13" ht="18.75" customHeight="1" x14ac:dyDescent="0.25">
      <c r="A23" s="38" t="s">
        <v>18</v>
      </c>
      <c r="B23" s="19" t="s">
        <v>49</v>
      </c>
      <c r="C23" s="20" t="s">
        <v>13</v>
      </c>
      <c r="D23" s="100">
        <f>D22*1.1</f>
        <v>750.7170000000001</v>
      </c>
      <c r="E23" s="21"/>
      <c r="F23" s="22"/>
      <c r="G23" s="22"/>
      <c r="H23" s="39">
        <v>1427.76</v>
      </c>
      <c r="I23" s="22">
        <f>ROUND(H23*D23,2)</f>
        <v>1071843.7</v>
      </c>
      <c r="J23" s="22">
        <f t="shared" ref="J23" si="16">ROUND(I23*1.2,2)</f>
        <v>1286212.44</v>
      </c>
      <c r="K23" s="23">
        <f t="shared" si="13"/>
        <v>1071843.7</v>
      </c>
      <c r="L23" s="24">
        <f t="shared" si="14"/>
        <v>1286212.44</v>
      </c>
      <c r="M23" s="37"/>
    </row>
    <row r="24" spans="1:13" ht="18.75" customHeight="1" x14ac:dyDescent="0.25">
      <c r="A24" s="36">
        <f>A22+1</f>
        <v>11</v>
      </c>
      <c r="B24" s="35" t="s">
        <v>329</v>
      </c>
      <c r="C24" s="36" t="s">
        <v>13</v>
      </c>
      <c r="D24" s="99">
        <v>341.23</v>
      </c>
      <c r="E24" s="25">
        <v>1666.3</v>
      </c>
      <c r="F24" s="30">
        <f>ROUND(E24*D24,2)</f>
        <v>568591.55000000005</v>
      </c>
      <c r="G24" s="30">
        <f>ROUND(F24*1.2,2)</f>
        <v>682309.86</v>
      </c>
      <c r="H24" s="27"/>
      <c r="I24" s="30"/>
      <c r="J24" s="30"/>
      <c r="K24" s="31">
        <f t="shared" si="13"/>
        <v>568591.55000000005</v>
      </c>
      <c r="L24" s="32">
        <f t="shared" si="14"/>
        <v>682309.86</v>
      </c>
    </row>
    <row r="25" spans="1:13" ht="18.75" customHeight="1" x14ac:dyDescent="0.25">
      <c r="A25" s="38" t="s">
        <v>74</v>
      </c>
      <c r="B25" s="19" t="s">
        <v>328</v>
      </c>
      <c r="C25" s="20" t="s">
        <v>13</v>
      </c>
      <c r="D25" s="100">
        <f>D24*1.26</f>
        <v>429.94980000000004</v>
      </c>
      <c r="E25" s="21"/>
      <c r="F25" s="22"/>
      <c r="G25" s="22"/>
      <c r="H25" s="65">
        <v>2827.078</v>
      </c>
      <c r="I25" s="22">
        <f>ROUND(H25*D25,2)</f>
        <v>1215501.6200000001</v>
      </c>
      <c r="J25" s="22">
        <f t="shared" ref="J25" si="17">ROUND(I25*1.2,2)</f>
        <v>1458601.94</v>
      </c>
      <c r="K25" s="23">
        <f t="shared" si="13"/>
        <v>1215501.6200000001</v>
      </c>
      <c r="L25" s="24">
        <f t="shared" si="14"/>
        <v>1458601.94</v>
      </c>
      <c r="M25" s="37"/>
    </row>
    <row r="26" spans="1:13" ht="18.75" customHeight="1" x14ac:dyDescent="0.25">
      <c r="A26" s="36">
        <f>A24+1</f>
        <v>12</v>
      </c>
      <c r="B26" s="35" t="s">
        <v>330</v>
      </c>
      <c r="C26" s="36" t="s">
        <v>13</v>
      </c>
      <c r="D26" s="99">
        <v>181.99</v>
      </c>
      <c r="E26" s="25">
        <v>1666.3</v>
      </c>
      <c r="F26" s="30">
        <f>ROUND(E26*D26,2)</f>
        <v>303249.94</v>
      </c>
      <c r="G26" s="30">
        <f>ROUND(F26*1.2,2)</f>
        <v>363899.93</v>
      </c>
      <c r="H26" s="27"/>
      <c r="I26" s="30"/>
      <c r="J26" s="30"/>
      <c r="K26" s="31">
        <f t="shared" ref="K26:K27" si="18">F26+I26</f>
        <v>303249.94</v>
      </c>
      <c r="L26" s="32">
        <f t="shared" ref="L26:L27" si="19">G26+J26</f>
        <v>363899.93</v>
      </c>
    </row>
    <row r="27" spans="1:13" ht="18.75" customHeight="1" x14ac:dyDescent="0.25">
      <c r="A27" s="38" t="s">
        <v>75</v>
      </c>
      <c r="B27" s="19" t="s">
        <v>331</v>
      </c>
      <c r="C27" s="20" t="s">
        <v>13</v>
      </c>
      <c r="D27" s="100">
        <f>D26*1.26</f>
        <v>229.3074</v>
      </c>
      <c r="E27" s="21"/>
      <c r="F27" s="22"/>
      <c r="G27" s="22"/>
      <c r="H27" s="65">
        <v>2827.078</v>
      </c>
      <c r="I27" s="22">
        <f>ROUND(H27*D27,2)</f>
        <v>648269.91</v>
      </c>
      <c r="J27" s="22">
        <f t="shared" ref="J27" si="20">ROUND(I27*1.2,2)</f>
        <v>777923.89</v>
      </c>
      <c r="K27" s="23">
        <f t="shared" si="18"/>
        <v>648269.91</v>
      </c>
      <c r="L27" s="24">
        <f t="shared" si="19"/>
        <v>777923.89</v>
      </c>
      <c r="M27" s="37"/>
    </row>
    <row r="28" spans="1:13" ht="23.25" customHeight="1" x14ac:dyDescent="0.25">
      <c r="A28" s="36">
        <f>A26+1</f>
        <v>13</v>
      </c>
      <c r="B28" s="35" t="s">
        <v>106</v>
      </c>
      <c r="C28" s="36" t="s">
        <v>44</v>
      </c>
      <c r="D28" s="101">
        <v>2458.4</v>
      </c>
      <c r="E28" s="25">
        <v>1083</v>
      </c>
      <c r="F28" s="30">
        <f t="shared" ref="F28" si="21">ROUND(E28*D28,2)</f>
        <v>2662447.2000000002</v>
      </c>
      <c r="G28" s="30">
        <f t="shared" ref="G28" si="22">ROUND(F28*1.2,2)</f>
        <v>3194936.64</v>
      </c>
      <c r="H28" s="27"/>
      <c r="I28" s="30"/>
      <c r="J28" s="30"/>
      <c r="K28" s="31">
        <f t="shared" ref="K28:K33" si="23">F28+I28</f>
        <v>2662447.2000000002</v>
      </c>
      <c r="L28" s="32">
        <f t="shared" ref="L28:L33" si="24">G28+J28</f>
        <v>3194936.64</v>
      </c>
    </row>
    <row r="29" spans="1:13" ht="37.5" customHeight="1" x14ac:dyDescent="0.25">
      <c r="A29" s="38" t="s">
        <v>76</v>
      </c>
      <c r="B29" s="19" t="s">
        <v>47</v>
      </c>
      <c r="C29" s="20" t="s">
        <v>17</v>
      </c>
      <c r="D29" s="118">
        <f>D28*0.05*2.48</f>
        <v>304.84160000000003</v>
      </c>
      <c r="E29" s="21"/>
      <c r="F29" s="22"/>
      <c r="G29" s="22"/>
      <c r="H29" s="65">
        <v>4407.05</v>
      </c>
      <c r="I29" s="22">
        <f>ROUND(H29*D29,2)</f>
        <v>1343452.17</v>
      </c>
      <c r="J29" s="22">
        <f t="shared" ref="J29" si="25">ROUND(I29*1.2,2)</f>
        <v>1612142.6</v>
      </c>
      <c r="K29" s="23">
        <f t="shared" si="23"/>
        <v>1343452.17</v>
      </c>
      <c r="L29" s="24">
        <f t="shared" si="24"/>
        <v>1612142.6</v>
      </c>
      <c r="M29" s="37" t="s">
        <v>149</v>
      </c>
    </row>
    <row r="30" spans="1:13" ht="30.75" customHeight="1" x14ac:dyDescent="0.25">
      <c r="A30" s="36">
        <f>A28+1</f>
        <v>14</v>
      </c>
      <c r="B30" s="35" t="s">
        <v>146</v>
      </c>
      <c r="C30" s="36" t="s">
        <v>44</v>
      </c>
      <c r="D30" s="101">
        <v>2430.73</v>
      </c>
      <c r="E30" s="69">
        <v>1516</v>
      </c>
      <c r="F30" s="30">
        <f>ROUND(E30*D30,2)</f>
        <v>3684986.68</v>
      </c>
      <c r="G30" s="30">
        <f>ROUND(F30*1.2,2)</f>
        <v>4421984.0199999996</v>
      </c>
      <c r="H30" s="27"/>
      <c r="I30" s="30"/>
      <c r="J30" s="30"/>
      <c r="K30" s="31">
        <f t="shared" si="23"/>
        <v>3684986.68</v>
      </c>
      <c r="L30" s="32">
        <f t="shared" si="24"/>
        <v>4421984.0199999996</v>
      </c>
      <c r="M30" s="37" t="s">
        <v>157</v>
      </c>
    </row>
    <row r="31" spans="1:13" ht="31.5" customHeight="1" x14ac:dyDescent="0.25">
      <c r="A31" s="38" t="s">
        <v>77</v>
      </c>
      <c r="B31" s="19" t="s">
        <v>46</v>
      </c>
      <c r="C31" s="20" t="s">
        <v>17</v>
      </c>
      <c r="D31" s="118">
        <f>D30*0.07*2.48</f>
        <v>421.97472800000003</v>
      </c>
      <c r="E31" s="21"/>
      <c r="F31" s="22"/>
      <c r="G31" s="22"/>
      <c r="H31" s="65">
        <v>4407.05</v>
      </c>
      <c r="I31" s="22">
        <f>ROUND(H31*D31,2)</f>
        <v>1859663.73</v>
      </c>
      <c r="J31" s="22">
        <f t="shared" ref="J31" si="26">ROUND(I31*1.2,2)</f>
        <v>2231596.48</v>
      </c>
      <c r="K31" s="23">
        <f t="shared" si="23"/>
        <v>1859663.73</v>
      </c>
      <c r="L31" s="24">
        <f t="shared" si="24"/>
        <v>2231596.48</v>
      </c>
      <c r="M31" s="37" t="s">
        <v>149</v>
      </c>
    </row>
    <row r="32" spans="1:13" ht="18.75" customHeight="1" x14ac:dyDescent="0.25">
      <c r="A32" s="36">
        <f>A30+1</f>
        <v>15</v>
      </c>
      <c r="B32" s="35" t="s">
        <v>48</v>
      </c>
      <c r="C32" s="36" t="s">
        <v>38</v>
      </c>
      <c r="D32" s="99">
        <v>59</v>
      </c>
      <c r="E32" s="25">
        <v>1555.15</v>
      </c>
      <c r="F32" s="30">
        <f>ROUND(E32*D32,2)</f>
        <v>91753.85</v>
      </c>
      <c r="G32" s="30">
        <f>ROUND(F32*1.2,2)</f>
        <v>110104.62</v>
      </c>
      <c r="H32" s="27"/>
      <c r="I32" s="30"/>
      <c r="J32" s="30"/>
      <c r="K32" s="31">
        <f t="shared" si="23"/>
        <v>91753.85</v>
      </c>
      <c r="L32" s="32">
        <f t="shared" si="24"/>
        <v>110104.62</v>
      </c>
    </row>
    <row r="33" spans="1:13" ht="18.75" customHeight="1" x14ac:dyDescent="0.25">
      <c r="A33" s="38" t="s">
        <v>78</v>
      </c>
      <c r="B33" s="19" t="s">
        <v>50</v>
      </c>
      <c r="C33" s="20" t="s">
        <v>38</v>
      </c>
      <c r="D33" s="120">
        <v>59</v>
      </c>
      <c r="E33" s="21"/>
      <c r="F33" s="22"/>
      <c r="G33" s="22"/>
      <c r="H33" s="39">
        <v>247</v>
      </c>
      <c r="I33" s="22">
        <f>ROUND(H33*D33,2)</f>
        <v>14573</v>
      </c>
      <c r="J33" s="22">
        <f t="shared" ref="J33" si="27">ROUND(I33*1.2,2)</f>
        <v>17487.599999999999</v>
      </c>
      <c r="K33" s="23">
        <f t="shared" si="23"/>
        <v>14573</v>
      </c>
      <c r="L33" s="24">
        <f t="shared" si="24"/>
        <v>17487.599999999999</v>
      </c>
      <c r="M33" s="37"/>
    </row>
    <row r="34" spans="1:13" ht="27.75" customHeight="1" x14ac:dyDescent="0.25">
      <c r="A34" s="70"/>
      <c r="B34" s="77" t="s">
        <v>332</v>
      </c>
      <c r="C34" s="70"/>
      <c r="D34" s="80"/>
      <c r="E34" s="79"/>
      <c r="F34" s="74"/>
      <c r="G34" s="74"/>
      <c r="H34" s="75"/>
      <c r="I34" s="74"/>
      <c r="J34" s="74"/>
      <c r="K34" s="73"/>
      <c r="L34" s="76"/>
    </row>
    <row r="35" spans="1:13" ht="18.75" customHeight="1" x14ac:dyDescent="0.25">
      <c r="A35" s="36">
        <f>A32+1</f>
        <v>16</v>
      </c>
      <c r="B35" s="35" t="s">
        <v>329</v>
      </c>
      <c r="C35" s="36" t="s">
        <v>13</v>
      </c>
      <c r="D35" s="99">
        <v>18.399999999999999</v>
      </c>
      <c r="E35" s="25">
        <v>1666.3</v>
      </c>
      <c r="F35" s="30">
        <f>ROUND(E35*D35,2)</f>
        <v>30659.919999999998</v>
      </c>
      <c r="G35" s="30">
        <f>ROUND(F35*1.2,2)</f>
        <v>36791.9</v>
      </c>
      <c r="H35" s="27"/>
      <c r="I35" s="30"/>
      <c r="J35" s="30"/>
      <c r="K35" s="31">
        <f t="shared" ref="K35:K38" si="28">F35+I35</f>
        <v>30659.919999999998</v>
      </c>
      <c r="L35" s="32">
        <f t="shared" ref="L35:L38" si="29">G35+J35</f>
        <v>36791.9</v>
      </c>
    </row>
    <row r="36" spans="1:13" ht="18.75" customHeight="1" x14ac:dyDescent="0.25">
      <c r="A36" s="38" t="s">
        <v>79</v>
      </c>
      <c r="B36" s="19" t="s">
        <v>328</v>
      </c>
      <c r="C36" s="20" t="s">
        <v>13</v>
      </c>
      <c r="D36" s="100">
        <f>D35*1.26</f>
        <v>23.183999999999997</v>
      </c>
      <c r="E36" s="21"/>
      <c r="F36" s="22"/>
      <c r="G36" s="22"/>
      <c r="H36" s="65">
        <v>2827.078</v>
      </c>
      <c r="I36" s="22">
        <f>ROUND(H36*D36,2)</f>
        <v>65542.98</v>
      </c>
      <c r="J36" s="22">
        <f t="shared" ref="J36" si="30">ROUND(I36*1.2,2)</f>
        <v>78651.58</v>
      </c>
      <c r="K36" s="23">
        <f t="shared" si="28"/>
        <v>65542.98</v>
      </c>
      <c r="L36" s="24">
        <f t="shared" si="29"/>
        <v>78651.58</v>
      </c>
      <c r="M36" s="37"/>
    </row>
    <row r="37" spans="1:13" ht="18.75" customHeight="1" x14ac:dyDescent="0.25">
      <c r="A37" s="36">
        <f>A35+1</f>
        <v>17</v>
      </c>
      <c r="B37" s="35" t="s">
        <v>330</v>
      </c>
      <c r="C37" s="36" t="s">
        <v>13</v>
      </c>
      <c r="D37" s="99">
        <v>36.78</v>
      </c>
      <c r="E37" s="25">
        <v>1666.3</v>
      </c>
      <c r="F37" s="30">
        <f>ROUND(E37*D37,2)</f>
        <v>61286.51</v>
      </c>
      <c r="G37" s="30">
        <f>ROUND(F37*1.2,2)</f>
        <v>73543.81</v>
      </c>
      <c r="H37" s="27"/>
      <c r="I37" s="30"/>
      <c r="J37" s="30"/>
      <c r="K37" s="31">
        <f t="shared" si="28"/>
        <v>61286.51</v>
      </c>
      <c r="L37" s="32">
        <f t="shared" si="29"/>
        <v>73543.81</v>
      </c>
    </row>
    <row r="38" spans="1:13" ht="18.75" customHeight="1" x14ac:dyDescent="0.25">
      <c r="A38" s="38" t="s">
        <v>80</v>
      </c>
      <c r="B38" s="19" t="s">
        <v>331</v>
      </c>
      <c r="C38" s="20" t="s">
        <v>13</v>
      </c>
      <c r="D38" s="100">
        <f>D37*1.26</f>
        <v>46.342800000000004</v>
      </c>
      <c r="E38" s="21"/>
      <c r="F38" s="22"/>
      <c r="G38" s="22"/>
      <c r="H38" s="65">
        <v>2827.078</v>
      </c>
      <c r="I38" s="22">
        <f>ROUND(H38*D38,2)</f>
        <v>131014.71</v>
      </c>
      <c r="J38" s="22">
        <f t="shared" ref="J38" si="31">ROUND(I38*1.2,2)</f>
        <v>157217.65</v>
      </c>
      <c r="K38" s="23">
        <f t="shared" si="28"/>
        <v>131014.71</v>
      </c>
      <c r="L38" s="24">
        <f t="shared" si="29"/>
        <v>157217.65</v>
      </c>
      <c r="M38" s="37"/>
    </row>
    <row r="39" spans="1:13" ht="23.25" customHeight="1" x14ac:dyDescent="0.25">
      <c r="A39" s="70"/>
      <c r="B39" s="81" t="s">
        <v>334</v>
      </c>
      <c r="C39" s="70"/>
      <c r="D39" s="82"/>
      <c r="E39" s="79"/>
      <c r="F39" s="74"/>
      <c r="G39" s="74"/>
      <c r="H39" s="75"/>
      <c r="I39" s="74"/>
      <c r="J39" s="74"/>
      <c r="K39" s="73"/>
      <c r="L39" s="76"/>
    </row>
    <row r="40" spans="1:13" ht="27.75" customHeight="1" x14ac:dyDescent="0.25">
      <c r="A40" s="36">
        <f>A37+1</f>
        <v>18</v>
      </c>
      <c r="B40" s="35" t="s">
        <v>335</v>
      </c>
      <c r="C40" s="36" t="s">
        <v>13</v>
      </c>
      <c r="D40" s="101">
        <f>801.35*0.8</f>
        <v>641.08000000000004</v>
      </c>
      <c r="E40" s="25">
        <v>419.9</v>
      </c>
      <c r="F40" s="30">
        <f t="shared" ref="F40" si="32">ROUND(E40*D40,2)</f>
        <v>269189.49</v>
      </c>
      <c r="G40" s="30">
        <f t="shared" ref="G40" si="33">ROUND(F40*1.2,2)</f>
        <v>323027.39</v>
      </c>
      <c r="H40" s="27"/>
      <c r="I40" s="30"/>
      <c r="J40" s="30"/>
      <c r="K40" s="31">
        <f t="shared" ref="K40:K47" si="34">F40+I40</f>
        <v>269189.49</v>
      </c>
      <c r="L40" s="32">
        <f t="shared" ref="L40:L47" si="35">G40+J40</f>
        <v>323027.39</v>
      </c>
      <c r="M40" s="64"/>
    </row>
    <row r="41" spans="1:13" ht="18.75" customHeight="1" x14ac:dyDescent="0.25">
      <c r="A41" s="38" t="s">
        <v>81</v>
      </c>
      <c r="B41" s="68" t="s">
        <v>109</v>
      </c>
      <c r="C41" s="67" t="s">
        <v>13</v>
      </c>
      <c r="D41" s="143">
        <f>D40</f>
        <v>641.08000000000004</v>
      </c>
      <c r="E41" s="28"/>
      <c r="F41" s="22"/>
      <c r="G41" s="22"/>
      <c r="H41" s="65">
        <v>1262.44</v>
      </c>
      <c r="I41" s="22">
        <f>ROUND(H41*D41,2)</f>
        <v>809325.04</v>
      </c>
      <c r="J41" s="22">
        <f t="shared" ref="J41" si="36">ROUND(I41*1.2,2)</f>
        <v>971190.05</v>
      </c>
      <c r="K41" s="23">
        <f t="shared" si="34"/>
        <v>809325.04</v>
      </c>
      <c r="L41" s="24">
        <f t="shared" si="35"/>
        <v>971190.05</v>
      </c>
      <c r="M41" s="37" t="s">
        <v>110</v>
      </c>
    </row>
    <row r="42" spans="1:13" ht="29.25" customHeight="1" x14ac:dyDescent="0.25">
      <c r="A42" s="36">
        <f>A40+1</f>
        <v>19</v>
      </c>
      <c r="B42" s="35" t="s">
        <v>336</v>
      </c>
      <c r="C42" s="36" t="s">
        <v>13</v>
      </c>
      <c r="D42" s="101">
        <f>801.35*0.2</f>
        <v>160.27000000000001</v>
      </c>
      <c r="E42" s="69">
        <v>304.06</v>
      </c>
      <c r="F42" s="30">
        <f t="shared" ref="F42" si="37">ROUND(E42*D42,2)</f>
        <v>48731.7</v>
      </c>
      <c r="G42" s="30">
        <f t="shared" ref="G42" si="38">ROUND(F42*1.2,2)</f>
        <v>58478.04</v>
      </c>
      <c r="H42" s="27"/>
      <c r="I42" s="30"/>
      <c r="J42" s="30"/>
      <c r="K42" s="31">
        <f t="shared" si="34"/>
        <v>48731.7</v>
      </c>
      <c r="L42" s="32">
        <f t="shared" si="35"/>
        <v>58478.04</v>
      </c>
      <c r="M42" s="37" t="s">
        <v>110</v>
      </c>
    </row>
    <row r="43" spans="1:13" ht="18.75" customHeight="1" x14ac:dyDescent="0.25">
      <c r="A43" s="38" t="s">
        <v>82</v>
      </c>
      <c r="B43" s="68" t="s">
        <v>109</v>
      </c>
      <c r="C43" s="67" t="s">
        <v>13</v>
      </c>
      <c r="D43" s="143">
        <f>D42</f>
        <v>160.27000000000001</v>
      </c>
      <c r="E43" s="28"/>
      <c r="F43" s="22"/>
      <c r="G43" s="22"/>
      <c r="H43" s="65">
        <v>1262.44</v>
      </c>
      <c r="I43" s="22">
        <f>ROUND(H43*D43,2)</f>
        <v>202331.26</v>
      </c>
      <c r="J43" s="22">
        <f t="shared" ref="J43" si="39">ROUND(I43*1.2,2)</f>
        <v>242797.51</v>
      </c>
      <c r="K43" s="23">
        <f t="shared" si="34"/>
        <v>202331.26</v>
      </c>
      <c r="L43" s="24">
        <f t="shared" si="35"/>
        <v>242797.51</v>
      </c>
      <c r="M43" s="37" t="s">
        <v>110</v>
      </c>
    </row>
    <row r="44" spans="1:13" ht="18.75" customHeight="1" x14ac:dyDescent="0.25">
      <c r="A44" s="36">
        <f>A42+1</f>
        <v>20</v>
      </c>
      <c r="B44" s="35" t="s">
        <v>56</v>
      </c>
      <c r="C44" s="36" t="s">
        <v>44</v>
      </c>
      <c r="D44" s="125">
        <v>801.35</v>
      </c>
      <c r="E44" s="69">
        <v>118.81</v>
      </c>
      <c r="F44" s="30">
        <f t="shared" ref="F44" si="40">ROUND(E44*D44,2)</f>
        <v>95208.39</v>
      </c>
      <c r="G44" s="30">
        <f t="shared" ref="G44" si="41">ROUND(F44*1.2,2)</f>
        <v>114250.07</v>
      </c>
      <c r="H44" s="27"/>
      <c r="I44" s="30"/>
      <c r="J44" s="30"/>
      <c r="K44" s="31">
        <f t="shared" si="34"/>
        <v>95208.39</v>
      </c>
      <c r="L44" s="32">
        <f t="shared" si="35"/>
        <v>114250.07</v>
      </c>
      <c r="M44" s="37" t="s">
        <v>110</v>
      </c>
    </row>
    <row r="45" spans="1:13" ht="18.75" customHeight="1" x14ac:dyDescent="0.25">
      <c r="A45" s="38" t="s">
        <v>144</v>
      </c>
      <c r="B45" s="68" t="s">
        <v>57</v>
      </c>
      <c r="C45" s="67" t="s">
        <v>61</v>
      </c>
      <c r="D45" s="144">
        <v>2.2400000000000002</v>
      </c>
      <c r="E45" s="28"/>
      <c r="F45" s="22"/>
      <c r="G45" s="22"/>
      <c r="H45" s="39">
        <v>461.7</v>
      </c>
      <c r="I45" s="22">
        <f>ROUND(H45*D45,2)</f>
        <v>1034.21</v>
      </c>
      <c r="J45" s="22">
        <f t="shared" ref="J45:J47" si="42">ROUND(I45*1.2,2)</f>
        <v>1241.05</v>
      </c>
      <c r="K45" s="23">
        <f t="shared" si="34"/>
        <v>1034.21</v>
      </c>
      <c r="L45" s="24">
        <f t="shared" si="35"/>
        <v>1241.05</v>
      </c>
      <c r="M45" s="64"/>
    </row>
    <row r="46" spans="1:13" ht="18.75" customHeight="1" x14ac:dyDescent="0.25">
      <c r="A46" s="38" t="s">
        <v>205</v>
      </c>
      <c r="B46" s="68" t="s">
        <v>58</v>
      </c>
      <c r="C46" s="67" t="s">
        <v>61</v>
      </c>
      <c r="D46" s="144">
        <v>1.76</v>
      </c>
      <c r="E46" s="28"/>
      <c r="F46" s="22"/>
      <c r="G46" s="22"/>
      <c r="H46" s="39">
        <v>615.6</v>
      </c>
      <c r="I46" s="22">
        <f>ROUND(H46*D46,2)</f>
        <v>1083.46</v>
      </c>
      <c r="J46" s="22">
        <f t="shared" si="42"/>
        <v>1300.1500000000001</v>
      </c>
      <c r="K46" s="23">
        <f t="shared" si="34"/>
        <v>1083.46</v>
      </c>
      <c r="L46" s="24">
        <f t="shared" si="35"/>
        <v>1300.1500000000001</v>
      </c>
      <c r="M46" s="64"/>
    </row>
    <row r="47" spans="1:13" ht="18.75" customHeight="1" x14ac:dyDescent="0.25">
      <c r="A47" s="38" t="s">
        <v>206</v>
      </c>
      <c r="B47" s="68" t="s">
        <v>59</v>
      </c>
      <c r="C47" s="67" t="s">
        <v>61</v>
      </c>
      <c r="D47" s="144">
        <v>1.6</v>
      </c>
      <c r="E47" s="28"/>
      <c r="F47" s="22"/>
      <c r="G47" s="22"/>
      <c r="H47" s="39">
        <v>1201.75</v>
      </c>
      <c r="I47" s="22">
        <f>ROUND(H47*D47,2)</f>
        <v>1922.8</v>
      </c>
      <c r="J47" s="22">
        <f t="shared" si="42"/>
        <v>2307.36</v>
      </c>
      <c r="K47" s="23">
        <f t="shared" si="34"/>
        <v>1922.8</v>
      </c>
      <c r="L47" s="24">
        <f t="shared" si="35"/>
        <v>2307.36</v>
      </c>
      <c r="M47" s="64"/>
    </row>
    <row r="48" spans="1:13" ht="57.75" customHeight="1" x14ac:dyDescent="0.25">
      <c r="A48" s="172"/>
      <c r="B48" s="173" t="s">
        <v>26</v>
      </c>
      <c r="C48" s="174"/>
      <c r="D48" s="174"/>
      <c r="E48" s="175"/>
      <c r="F48" s="176"/>
      <c r="G48" s="176"/>
      <c r="H48" s="177"/>
      <c r="I48" s="176"/>
      <c r="J48" s="176"/>
      <c r="K48" s="175"/>
      <c r="L48" s="178"/>
      <c r="M48" s="83" t="s">
        <v>343</v>
      </c>
    </row>
    <row r="49" spans="1:13" ht="18.75" customHeight="1" x14ac:dyDescent="0.25">
      <c r="A49" s="179">
        <f>A44+1</f>
        <v>21</v>
      </c>
      <c r="B49" s="180" t="s">
        <v>27</v>
      </c>
      <c r="C49" s="179" t="s">
        <v>13</v>
      </c>
      <c r="D49" s="181">
        <v>2783.7</v>
      </c>
      <c r="E49" s="170">
        <v>308.75</v>
      </c>
      <c r="F49" s="130">
        <f t="shared" ref="F49:F51" si="43">ROUND(E49*D49,2)</f>
        <v>859467.38</v>
      </c>
      <c r="G49" s="130">
        <f t="shared" ref="G49:G51" si="44">ROUND(F49*1.2,2)</f>
        <v>1031360.86</v>
      </c>
      <c r="H49" s="182"/>
      <c r="I49" s="183"/>
      <c r="J49" s="183"/>
      <c r="K49" s="170">
        <f t="shared" ref="K49:L51" si="45">F49+I49</f>
        <v>859467.38</v>
      </c>
      <c r="L49" s="184">
        <f t="shared" si="45"/>
        <v>1031360.86</v>
      </c>
    </row>
    <row r="50" spans="1:13" ht="18.75" customHeight="1" x14ac:dyDescent="0.25">
      <c r="A50" s="179">
        <f>A49+1</f>
        <v>22</v>
      </c>
      <c r="B50" s="180" t="s">
        <v>29</v>
      </c>
      <c r="C50" s="179" t="s">
        <v>13</v>
      </c>
      <c r="D50" s="181">
        <v>270.7</v>
      </c>
      <c r="E50" s="170">
        <v>308.75</v>
      </c>
      <c r="F50" s="130">
        <f t="shared" si="43"/>
        <v>83578.63</v>
      </c>
      <c r="G50" s="130">
        <f t="shared" si="44"/>
        <v>100294.36</v>
      </c>
      <c r="H50" s="182"/>
      <c r="I50" s="183"/>
      <c r="J50" s="183"/>
      <c r="K50" s="170">
        <f t="shared" si="45"/>
        <v>83578.63</v>
      </c>
      <c r="L50" s="184">
        <f t="shared" si="45"/>
        <v>100294.36</v>
      </c>
    </row>
    <row r="51" spans="1:13" ht="28.5" customHeight="1" x14ac:dyDescent="0.25">
      <c r="A51" s="179">
        <f t="shared" ref="A51" si="46">A50+1</f>
        <v>23</v>
      </c>
      <c r="B51" s="180" t="s">
        <v>114</v>
      </c>
      <c r="C51" s="179" t="s">
        <v>13</v>
      </c>
      <c r="D51" s="181">
        <v>270.7</v>
      </c>
      <c r="E51" s="170">
        <v>188.1</v>
      </c>
      <c r="F51" s="130">
        <f t="shared" si="43"/>
        <v>50918.67</v>
      </c>
      <c r="G51" s="130">
        <f t="shared" si="44"/>
        <v>61102.400000000001</v>
      </c>
      <c r="H51" s="182"/>
      <c r="I51" s="183"/>
      <c r="J51" s="183"/>
      <c r="K51" s="170">
        <f t="shared" si="45"/>
        <v>50918.67</v>
      </c>
      <c r="L51" s="184">
        <f t="shared" si="45"/>
        <v>61102.400000000001</v>
      </c>
      <c r="M51" s="64"/>
    </row>
    <row r="52" spans="1:13" ht="24" customHeight="1" x14ac:dyDescent="0.25">
      <c r="A52" s="179"/>
      <c r="B52" s="185" t="s">
        <v>169</v>
      </c>
      <c r="C52" s="186"/>
      <c r="D52" s="187"/>
      <c r="E52" s="183"/>
      <c r="F52" s="130"/>
      <c r="G52" s="130"/>
      <c r="H52" s="182"/>
      <c r="I52" s="183"/>
      <c r="J52" s="183"/>
      <c r="K52" s="170"/>
      <c r="L52" s="188"/>
      <c r="M52" s="66"/>
    </row>
    <row r="53" spans="1:13" ht="18" customHeight="1" x14ac:dyDescent="0.25">
      <c r="A53" s="179">
        <f>A51+1</f>
        <v>24</v>
      </c>
      <c r="B53" s="158" t="s">
        <v>327</v>
      </c>
      <c r="C53" s="186" t="s">
        <v>17</v>
      </c>
      <c r="D53" s="189">
        <v>4774.7</v>
      </c>
      <c r="E53" s="182">
        <v>308.75</v>
      </c>
      <c r="F53" s="130">
        <f t="shared" ref="F53" si="47">ROUND(E53*D53,2)</f>
        <v>1474188.63</v>
      </c>
      <c r="G53" s="130">
        <f t="shared" ref="G53" si="48">ROUND(F53*1.2,2)</f>
        <v>1769026.36</v>
      </c>
      <c r="H53" s="182"/>
      <c r="I53" s="183"/>
      <c r="J53" s="183"/>
      <c r="K53" s="170">
        <f t="shared" ref="K53" si="49">F53+I53</f>
        <v>1474188.63</v>
      </c>
      <c r="L53" s="183">
        <f t="shared" ref="L53" si="50">G53+J53</f>
        <v>1769026.36</v>
      </c>
      <c r="M53" s="66"/>
    </row>
    <row r="54" spans="1:13" ht="18" customHeight="1" x14ac:dyDescent="0.25">
      <c r="A54" s="172"/>
      <c r="B54" s="173" t="s">
        <v>337</v>
      </c>
      <c r="C54" s="174"/>
      <c r="D54" s="174"/>
      <c r="E54" s="175"/>
      <c r="F54" s="176"/>
      <c r="G54" s="176"/>
      <c r="H54" s="177"/>
      <c r="I54" s="176"/>
      <c r="J54" s="176"/>
      <c r="K54" s="175"/>
      <c r="L54" s="178"/>
    </row>
    <row r="55" spans="1:13" ht="30.75" customHeight="1" x14ac:dyDescent="0.25">
      <c r="A55" s="179">
        <f>A53+1</f>
        <v>25</v>
      </c>
      <c r="B55" s="158" t="s">
        <v>204</v>
      </c>
      <c r="C55" s="179" t="s">
        <v>13</v>
      </c>
      <c r="D55" s="187">
        <f>0.18+0.51+0.152</f>
        <v>0.84199999999999997</v>
      </c>
      <c r="E55" s="69">
        <v>17265.68</v>
      </c>
      <c r="F55" s="183">
        <f t="shared" ref="F55" si="51">ROUND(E55*D55,2)</f>
        <v>14537.7</v>
      </c>
      <c r="G55" s="183">
        <f t="shared" ref="G55" si="52">ROUND(F55*1.2,2)</f>
        <v>17445.240000000002</v>
      </c>
      <c r="H55" s="190"/>
      <c r="I55" s="183"/>
      <c r="J55" s="183"/>
      <c r="K55" s="170">
        <f t="shared" ref="K55:K59" si="53">F55+I55</f>
        <v>14537.7</v>
      </c>
      <c r="L55" s="183">
        <f t="shared" ref="L55:L59" si="54">G55+J55</f>
        <v>17445.240000000002</v>
      </c>
      <c r="M55" s="114"/>
    </row>
    <row r="56" spans="1:13" ht="18.75" customHeight="1" x14ac:dyDescent="0.25">
      <c r="A56" s="191" t="s">
        <v>154</v>
      </c>
      <c r="B56" s="157" t="s">
        <v>244</v>
      </c>
      <c r="C56" s="192" t="s">
        <v>38</v>
      </c>
      <c r="D56" s="193">
        <v>1</v>
      </c>
      <c r="E56" s="88"/>
      <c r="F56" s="138"/>
      <c r="G56" s="138"/>
      <c r="H56" s="159">
        <v>4025</v>
      </c>
      <c r="I56" s="138">
        <f t="shared" ref="I56:I59" si="55">ROUND(H56*D56,2)</f>
        <v>4025</v>
      </c>
      <c r="J56" s="138">
        <f t="shared" ref="J56:J59" si="56">ROUND(I56*1.2,2)</f>
        <v>4830</v>
      </c>
      <c r="K56" s="88">
        <f t="shared" si="53"/>
        <v>4025</v>
      </c>
      <c r="L56" s="138">
        <f t="shared" si="54"/>
        <v>4830</v>
      </c>
      <c r="M56" s="37"/>
    </row>
    <row r="57" spans="1:13" ht="18.75" customHeight="1" x14ac:dyDescent="0.25">
      <c r="A57" s="191" t="s">
        <v>340</v>
      </c>
      <c r="B57" s="157" t="s">
        <v>338</v>
      </c>
      <c r="C57" s="192" t="s">
        <v>38</v>
      </c>
      <c r="D57" s="193">
        <v>1</v>
      </c>
      <c r="E57" s="88"/>
      <c r="F57" s="138"/>
      <c r="G57" s="138"/>
      <c r="H57" s="159">
        <v>11691.67</v>
      </c>
      <c r="I57" s="138">
        <f t="shared" ref="I57" si="57">ROUND(H57*D57,2)</f>
        <v>11691.67</v>
      </c>
      <c r="J57" s="138">
        <f t="shared" ref="J57" si="58">ROUND(I57*1.2,2)</f>
        <v>14030</v>
      </c>
      <c r="K57" s="88">
        <f t="shared" ref="K57" si="59">F57+I57</f>
        <v>11691.67</v>
      </c>
      <c r="L57" s="138">
        <f t="shared" ref="L57" si="60">G57+J57</f>
        <v>14030</v>
      </c>
      <c r="M57" s="37"/>
    </row>
    <row r="58" spans="1:13" ht="18.75" customHeight="1" x14ac:dyDescent="0.25">
      <c r="A58" s="191" t="s">
        <v>341</v>
      </c>
      <c r="B58" s="157" t="s">
        <v>339</v>
      </c>
      <c r="C58" s="192" t="s">
        <v>38</v>
      </c>
      <c r="D58" s="193">
        <v>1</v>
      </c>
      <c r="E58" s="88"/>
      <c r="F58" s="138"/>
      <c r="G58" s="138"/>
      <c r="H58" s="159"/>
      <c r="I58" s="138">
        <f t="shared" si="55"/>
        <v>0</v>
      </c>
      <c r="J58" s="138">
        <f t="shared" si="56"/>
        <v>0</v>
      </c>
      <c r="K58" s="88">
        <f t="shared" si="53"/>
        <v>0</v>
      </c>
      <c r="L58" s="138">
        <f t="shared" si="54"/>
        <v>0</v>
      </c>
      <c r="M58" s="37"/>
    </row>
    <row r="59" spans="1:13" ht="18.75" customHeight="1" x14ac:dyDescent="0.25">
      <c r="A59" s="191" t="s">
        <v>342</v>
      </c>
      <c r="B59" s="157" t="s">
        <v>221</v>
      </c>
      <c r="C59" s="192" t="s">
        <v>38</v>
      </c>
      <c r="D59" s="193">
        <v>1</v>
      </c>
      <c r="E59" s="88"/>
      <c r="F59" s="138"/>
      <c r="G59" s="138"/>
      <c r="H59" s="159">
        <v>14421</v>
      </c>
      <c r="I59" s="138">
        <f t="shared" si="55"/>
        <v>14421</v>
      </c>
      <c r="J59" s="138">
        <f t="shared" si="56"/>
        <v>17305.2</v>
      </c>
      <c r="K59" s="88">
        <f t="shared" si="53"/>
        <v>14421</v>
      </c>
      <c r="L59" s="138">
        <f t="shared" si="54"/>
        <v>17305.2</v>
      </c>
      <c r="M59" s="37"/>
    </row>
    <row r="60" spans="1:13" ht="21.75" customHeight="1" x14ac:dyDescent="0.25">
      <c r="A60" s="308" t="s">
        <v>14</v>
      </c>
      <c r="B60" s="309"/>
      <c r="C60" s="309"/>
      <c r="D60" s="309"/>
      <c r="E60" s="310"/>
      <c r="F60" s="42">
        <f>SUM(F8:F59)</f>
        <v>14889649.380000003</v>
      </c>
      <c r="G60" s="40">
        <f>ROUND(F60*1.2,2)</f>
        <v>17867579.260000002</v>
      </c>
      <c r="H60" s="43"/>
      <c r="I60" s="42">
        <f>SUM(I8:I59)</f>
        <v>7779387.7199999997</v>
      </c>
      <c r="J60" s="40">
        <f>ROUND(I60*1.2,2)</f>
        <v>9335265.2599999998</v>
      </c>
      <c r="K60" s="42">
        <f>SUM(K8:K59)</f>
        <v>22669037.100000005</v>
      </c>
      <c r="L60" s="40">
        <f>ROUND(K60*1.2,2)</f>
        <v>27202844.52</v>
      </c>
    </row>
  </sheetData>
  <mergeCells count="10">
    <mergeCell ref="A60:E60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</vt:lpstr>
      <vt:lpstr>ГП2 </vt:lpstr>
      <vt:lpstr>ГП2  (2)</vt:lpstr>
      <vt:lpstr>ГП1</vt:lpstr>
      <vt:lpstr>ГП1!Область_печати</vt:lpstr>
      <vt:lpstr>'ГП2 '!Область_печати</vt:lpstr>
      <vt:lpstr>'ГП2  (2)'!Область_печати</vt:lpstr>
      <vt:lpstr>Свод!Область_печати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2024-02-26T16:38:11Z</dcterms:created>
  <dcterms:modified xsi:type="dcterms:W3CDTF">2024-11-19T09:36:27Z</dcterms:modified>
</cp:coreProperties>
</file>