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Анализ ВДЦ Мытищи\"/>
    </mc:Choice>
  </mc:AlternateContent>
  <xr:revisionPtr revIDLastSave="0" documentId="8_{5CE0DF63-A6CD-4D6A-9AC7-A292BBED9AA9}" xr6:coauthVersionLast="45" xr6:coauthVersionMax="45" xr10:uidLastSave="{00000000-0000-0000-0000-000000000000}"/>
  <bookViews>
    <workbookView xWindow="-120" yWindow="-120" windowWidth="29040" windowHeight="15840" tabRatio="811" xr2:uid="{00000000-000D-0000-FFFF-FFFF00000000}"/>
  </bookViews>
  <sheets>
    <sheet name="Свод НВК3" sheetId="1" r:id="rId1"/>
    <sheet name="В1-3А, В1-4" sheetId="5" r:id="rId2"/>
    <sheet name="В1-4-до Уг.1" sheetId="6" r:id="rId3"/>
    <sheet name="Уг.1-до Уг.2" sheetId="7" r:id="rId4"/>
    <sheet name="Уг.2-до В1нов" sheetId="8" r:id="rId5"/>
    <sheet name="В1-30-В1-31" sheetId="4" r:id="rId6"/>
    <sheet name="В1-1-В1-1А" sheetId="2" r:id="rId7"/>
    <sheet name="В1-2-В1-2А" sheetId="3" r:id="rId8"/>
    <sheet name="В1нов1-В15" sheetId="9" r:id="rId9"/>
    <sheet name="В1нов1-цех121" sheetId="10" r:id="rId10"/>
    <sheet name="В1нов1-В17" sheetId="11" r:id="rId11"/>
    <sheet name="В1-7-В1-8" sheetId="12" r:id="rId12"/>
  </sheets>
  <definedNames>
    <definedName name="_xlnm.Print_Area" localSheetId="6">'В1-1-В1-1А'!$A$1:$L$99</definedName>
    <definedName name="_xlnm.Print_Area" localSheetId="7">'В1-2-В1-2А'!$A$1:$L$111</definedName>
    <definedName name="_xlnm.Print_Area" localSheetId="5">'В1-30-В1-31'!$A$1:$L$118</definedName>
    <definedName name="_xlnm.Print_Area" localSheetId="1">'В1-3А, В1-4'!$A$1:$L$160</definedName>
    <definedName name="_xlnm.Print_Area" localSheetId="2">'В1-4-до Уг.1'!$A$1:$L$40</definedName>
    <definedName name="_xlnm.Print_Area" localSheetId="11">'В1-7-В1-8'!$A$1:$L$31</definedName>
    <definedName name="_xlnm.Print_Area" localSheetId="8">'В1нов1-В15'!$A$1:$L$121</definedName>
    <definedName name="_xlnm.Print_Area" localSheetId="10">'В1нов1-В17'!$A$1:$L$52</definedName>
    <definedName name="_xlnm.Print_Area" localSheetId="9">'В1нов1-цех121'!$A$1:$L$33</definedName>
    <definedName name="_xlnm.Print_Area" localSheetId="0">'Свод НВК3'!$A$1:$H$14</definedName>
    <definedName name="_xlnm.Print_Area" localSheetId="3">'Уг.1-до Уг.2'!$A$1:$L$63</definedName>
    <definedName name="_xlnm.Print_Area" localSheetId="4">'Уг.2-до В1нов'!$A$1:$L$31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6" l="1"/>
  <c r="F13" i="5"/>
  <c r="E18" i="5" l="1"/>
  <c r="E17" i="5" s="1"/>
  <c r="E20" i="5"/>
  <c r="E88" i="5"/>
  <c r="F82" i="5"/>
  <c r="G82" i="5" s="1"/>
  <c r="L82" i="5" s="1"/>
  <c r="K82" i="5" l="1"/>
  <c r="D77" i="4"/>
  <c r="D75" i="4"/>
  <c r="D43" i="7"/>
  <c r="F62" i="9" l="1"/>
  <c r="G62" i="9" s="1"/>
  <c r="D20" i="12" l="1"/>
  <c r="F19" i="12"/>
  <c r="K19" i="12" s="1"/>
  <c r="G19" i="12" l="1"/>
  <c r="L19" i="12" s="1"/>
  <c r="D27" i="12"/>
  <c r="D41" i="9"/>
  <c r="D52" i="9"/>
  <c r="D93" i="3"/>
  <c r="D52" i="3"/>
  <c r="D57" i="7"/>
  <c r="D33" i="11" l="1"/>
  <c r="I33" i="11" s="1"/>
  <c r="F32" i="11"/>
  <c r="K32" i="11" s="1"/>
  <c r="F15" i="11"/>
  <c r="K15" i="11" s="1"/>
  <c r="I115" i="9"/>
  <c r="K115" i="9" s="1"/>
  <c r="F114" i="9"/>
  <c r="G114" i="9" s="1"/>
  <c r="L114" i="9" s="1"/>
  <c r="H100" i="9"/>
  <c r="I100" i="9" s="1"/>
  <c r="D103" i="9"/>
  <c r="I103" i="9" s="1"/>
  <c r="D102" i="9"/>
  <c r="I102" i="9" s="1"/>
  <c r="D101" i="9"/>
  <c r="I101" i="9" s="1"/>
  <c r="D97" i="9"/>
  <c r="I97" i="9" s="1"/>
  <c r="D96" i="9"/>
  <c r="I96" i="9" s="1"/>
  <c r="D95" i="9"/>
  <c r="I95" i="9" s="1"/>
  <c r="H94" i="9"/>
  <c r="I94" i="9" s="1"/>
  <c r="F84" i="9"/>
  <c r="K84" i="9" s="1"/>
  <c r="F83" i="9"/>
  <c r="G83" i="9" s="1"/>
  <c r="L83" i="9" s="1"/>
  <c r="I80" i="9"/>
  <c r="K80" i="9" s="1"/>
  <c r="F79" i="9"/>
  <c r="G79" i="9" s="1"/>
  <c r="L79" i="9" s="1"/>
  <c r="H75" i="9"/>
  <c r="I75" i="9" s="1"/>
  <c r="D78" i="9"/>
  <c r="I78" i="9" s="1"/>
  <c r="D77" i="9"/>
  <c r="I77" i="9" s="1"/>
  <c r="D76" i="9"/>
  <c r="I76" i="9" s="1"/>
  <c r="F56" i="9"/>
  <c r="K56" i="9" s="1"/>
  <c r="D43" i="9"/>
  <c r="D31" i="9"/>
  <c r="I104" i="3"/>
  <c r="K104" i="3" s="1"/>
  <c r="I61" i="3"/>
  <c r="K61" i="3" s="1"/>
  <c r="D99" i="3"/>
  <c r="I99" i="3" s="1"/>
  <c r="D98" i="3"/>
  <c r="I98" i="3" s="1"/>
  <c r="D97" i="3"/>
  <c r="I97" i="3" s="1"/>
  <c r="I75" i="3"/>
  <c r="K75" i="3" s="1"/>
  <c r="D68" i="3"/>
  <c r="I68" i="3" s="1"/>
  <c r="D67" i="3"/>
  <c r="I67" i="3" s="1"/>
  <c r="D66" i="3"/>
  <c r="I66" i="3" s="1"/>
  <c r="D58" i="3"/>
  <c r="I58" i="3" s="1"/>
  <c r="D57" i="3"/>
  <c r="I57" i="3" s="1"/>
  <c r="D56" i="3"/>
  <c r="I56" i="3" s="1"/>
  <c r="H59" i="2"/>
  <c r="I59" i="2" s="1"/>
  <c r="F58" i="2"/>
  <c r="H61" i="2"/>
  <c r="I61" i="2" s="1"/>
  <c r="E60" i="2"/>
  <c r="F60" i="2" s="1"/>
  <c r="H57" i="2"/>
  <c r="I57" i="2" s="1"/>
  <c r="F56" i="2"/>
  <c r="K56" i="2" s="1"/>
  <c r="H55" i="2"/>
  <c r="I55" i="2" s="1"/>
  <c r="E54" i="2"/>
  <c r="F54" i="2" s="1"/>
  <c r="I53" i="2"/>
  <c r="K53" i="2" s="1"/>
  <c r="F52" i="2"/>
  <c r="K52" i="2" s="1"/>
  <c r="H51" i="2"/>
  <c r="I51" i="2" s="1"/>
  <c r="E50" i="2"/>
  <c r="F50" i="2" s="1"/>
  <c r="K50" i="2" s="1"/>
  <c r="E35" i="2"/>
  <c r="F35" i="2" s="1"/>
  <c r="E34" i="2"/>
  <c r="F34" i="2" s="1"/>
  <c r="F33" i="2"/>
  <c r="K33" i="2" s="1"/>
  <c r="D18" i="2"/>
  <c r="H89" i="4"/>
  <c r="I89" i="4" s="1"/>
  <c r="D51" i="7"/>
  <c r="I39" i="7"/>
  <c r="K39" i="7" s="1"/>
  <c r="F38" i="7"/>
  <c r="G38" i="7" s="1"/>
  <c r="L38" i="7" s="1"/>
  <c r="F154" i="5"/>
  <c r="K154" i="5" s="1"/>
  <c r="F153" i="5"/>
  <c r="K153" i="5" s="1"/>
  <c r="F152" i="5"/>
  <c r="K152" i="5" s="1"/>
  <c r="I145" i="5"/>
  <c r="K145" i="5" s="1"/>
  <c r="F144" i="5"/>
  <c r="G144" i="5" s="1"/>
  <c r="L144" i="5" s="1"/>
  <c r="I143" i="5"/>
  <c r="J143" i="5" s="1"/>
  <c r="L143" i="5" s="1"/>
  <c r="F142" i="5"/>
  <c r="G142" i="5" s="1"/>
  <c r="L142" i="5" s="1"/>
  <c r="I141" i="5"/>
  <c r="K141" i="5" s="1"/>
  <c r="I134" i="5"/>
  <c r="K134" i="5" s="1"/>
  <c r="F124" i="5"/>
  <c r="K124" i="5" s="1"/>
  <c r="F123" i="5"/>
  <c r="K123" i="5" s="1"/>
  <c r="F122" i="5"/>
  <c r="K122" i="5" s="1"/>
  <c r="H130" i="5"/>
  <c r="I130" i="5" s="1"/>
  <c r="F129" i="5"/>
  <c r="K129" i="5" s="1"/>
  <c r="I121" i="5"/>
  <c r="K121" i="5" s="1"/>
  <c r="F120" i="5"/>
  <c r="G120" i="5" s="1"/>
  <c r="L120" i="5" s="1"/>
  <c r="I119" i="5"/>
  <c r="K119" i="5" s="1"/>
  <c r="I118" i="5"/>
  <c r="J118" i="5" s="1"/>
  <c r="L118" i="5" s="1"/>
  <c r="F117" i="5"/>
  <c r="G117" i="5" s="1"/>
  <c r="L117" i="5" s="1"/>
  <c r="H116" i="5"/>
  <c r="I116" i="5" s="1"/>
  <c r="F115" i="5"/>
  <c r="K115" i="5" s="1"/>
  <c r="I112" i="5"/>
  <c r="K112" i="5" s="1"/>
  <c r="F111" i="5"/>
  <c r="G111" i="5" s="1"/>
  <c r="L111" i="5" s="1"/>
  <c r="I110" i="5"/>
  <c r="K110" i="5" s="1"/>
  <c r="I109" i="5"/>
  <c r="J109" i="5" s="1"/>
  <c r="L109" i="5" s="1"/>
  <c r="F108" i="5"/>
  <c r="K108" i="5" s="1"/>
  <c r="I107" i="5"/>
  <c r="K107" i="5" s="1"/>
  <c r="F106" i="5"/>
  <c r="G106" i="5" s="1"/>
  <c r="L106" i="5" s="1"/>
  <c r="I103" i="5"/>
  <c r="K103" i="5" s="1"/>
  <c r="I102" i="5"/>
  <c r="J102" i="5" s="1"/>
  <c r="L102" i="5" s="1"/>
  <c r="F101" i="5"/>
  <c r="K101" i="5" s="1"/>
  <c r="I100" i="5"/>
  <c r="K100" i="5" s="1"/>
  <c r="F99" i="5"/>
  <c r="G99" i="5" s="1"/>
  <c r="L99" i="5" s="1"/>
  <c r="I96" i="5"/>
  <c r="K96" i="5" s="1"/>
  <c r="K33" i="11" l="1"/>
  <c r="J33" i="11"/>
  <c r="L33" i="11" s="1"/>
  <c r="G32" i="11"/>
  <c r="L32" i="11" s="1"/>
  <c r="G15" i="11"/>
  <c r="L15" i="11" s="1"/>
  <c r="K114" i="9"/>
  <c r="J115" i="9"/>
  <c r="L115" i="9" s="1"/>
  <c r="K100" i="9"/>
  <c r="J100" i="9"/>
  <c r="L100" i="9" s="1"/>
  <c r="J101" i="9"/>
  <c r="L101" i="9" s="1"/>
  <c r="K101" i="9"/>
  <c r="K102" i="9"/>
  <c r="J102" i="9"/>
  <c r="L102" i="9" s="1"/>
  <c r="K103" i="9"/>
  <c r="J103" i="9"/>
  <c r="L103" i="9" s="1"/>
  <c r="J95" i="9"/>
  <c r="L95" i="9" s="1"/>
  <c r="K95" i="9"/>
  <c r="K96" i="9"/>
  <c r="J96" i="9"/>
  <c r="L96" i="9" s="1"/>
  <c r="K97" i="9"/>
  <c r="J97" i="9"/>
  <c r="L97" i="9" s="1"/>
  <c r="K94" i="9"/>
  <c r="J94" i="9"/>
  <c r="L94" i="9" s="1"/>
  <c r="G84" i="9"/>
  <c r="L84" i="9" s="1"/>
  <c r="K83" i="9"/>
  <c r="K79" i="9"/>
  <c r="J80" i="9"/>
  <c r="L80" i="9" s="1"/>
  <c r="K75" i="9"/>
  <c r="J75" i="9"/>
  <c r="L75" i="9" s="1"/>
  <c r="J76" i="9"/>
  <c r="L76" i="9" s="1"/>
  <c r="K76" i="9"/>
  <c r="K77" i="9"/>
  <c r="J77" i="9"/>
  <c r="L77" i="9" s="1"/>
  <c r="K78" i="9"/>
  <c r="J78" i="9"/>
  <c r="L78" i="9" s="1"/>
  <c r="G56" i="9"/>
  <c r="L56" i="9" s="1"/>
  <c r="J104" i="3"/>
  <c r="L104" i="3" s="1"/>
  <c r="J61" i="3"/>
  <c r="L61" i="3" s="1"/>
  <c r="J97" i="3"/>
  <c r="L97" i="3" s="1"/>
  <c r="K97" i="3"/>
  <c r="K98" i="3"/>
  <c r="J98" i="3"/>
  <c r="L98" i="3" s="1"/>
  <c r="K99" i="3"/>
  <c r="J99" i="3"/>
  <c r="L99" i="3" s="1"/>
  <c r="J75" i="3"/>
  <c r="L75" i="3" s="1"/>
  <c r="J66" i="3"/>
  <c r="L66" i="3" s="1"/>
  <c r="K66" i="3"/>
  <c r="K67" i="3"/>
  <c r="J67" i="3"/>
  <c r="L67" i="3" s="1"/>
  <c r="K68" i="3"/>
  <c r="J68" i="3"/>
  <c r="L68" i="3" s="1"/>
  <c r="J56" i="3"/>
  <c r="L56" i="3" s="1"/>
  <c r="K56" i="3"/>
  <c r="K57" i="3"/>
  <c r="J57" i="3"/>
  <c r="L57" i="3" s="1"/>
  <c r="K58" i="3"/>
  <c r="J58" i="3"/>
  <c r="L58" i="3" s="1"/>
  <c r="K58" i="2"/>
  <c r="G58" i="2"/>
  <c r="L58" i="2" s="1"/>
  <c r="K59" i="2"/>
  <c r="J59" i="2"/>
  <c r="L59" i="2" s="1"/>
  <c r="J53" i="2"/>
  <c r="L53" i="2" s="1"/>
  <c r="K60" i="2"/>
  <c r="G60" i="2"/>
  <c r="L60" i="2" s="1"/>
  <c r="K61" i="2"/>
  <c r="J61" i="2"/>
  <c r="L61" i="2" s="1"/>
  <c r="G54" i="2"/>
  <c r="L54" i="2" s="1"/>
  <c r="K54" i="2"/>
  <c r="K51" i="2"/>
  <c r="J51" i="2"/>
  <c r="L51" i="2" s="1"/>
  <c r="J55" i="2"/>
  <c r="L55" i="2" s="1"/>
  <c r="K55" i="2"/>
  <c r="K57" i="2"/>
  <c r="J57" i="2"/>
  <c r="L57" i="2" s="1"/>
  <c r="G52" i="2"/>
  <c r="L52" i="2" s="1"/>
  <c r="G50" i="2"/>
  <c r="L50" i="2" s="1"/>
  <c r="G56" i="2"/>
  <c r="L56" i="2" s="1"/>
  <c r="K34" i="2"/>
  <c r="G34" i="2"/>
  <c r="L34" i="2" s="1"/>
  <c r="K35" i="2"/>
  <c r="G35" i="2"/>
  <c r="L35" i="2" s="1"/>
  <c r="G33" i="2"/>
  <c r="L33" i="2" s="1"/>
  <c r="K89" i="4"/>
  <c r="J89" i="4"/>
  <c r="L89" i="4" s="1"/>
  <c r="K38" i="7"/>
  <c r="J39" i="7"/>
  <c r="L39" i="7" s="1"/>
  <c r="K143" i="5"/>
  <c r="G154" i="5"/>
  <c r="L154" i="5" s="1"/>
  <c r="G153" i="5"/>
  <c r="L153" i="5" s="1"/>
  <c r="K144" i="5"/>
  <c r="G152" i="5"/>
  <c r="L152" i="5" s="1"/>
  <c r="K142" i="5"/>
  <c r="J145" i="5"/>
  <c r="L145" i="5" s="1"/>
  <c r="J141" i="5"/>
  <c r="L141" i="5" s="1"/>
  <c r="J134" i="5"/>
  <c r="L134" i="5" s="1"/>
  <c r="G124" i="5"/>
  <c r="L124" i="5" s="1"/>
  <c r="G123" i="5"/>
  <c r="L123" i="5" s="1"/>
  <c r="G122" i="5"/>
  <c r="L122" i="5" s="1"/>
  <c r="K130" i="5"/>
  <c r="J130" i="5"/>
  <c r="L130" i="5" s="1"/>
  <c r="G129" i="5"/>
  <c r="L129" i="5" s="1"/>
  <c r="K120" i="5"/>
  <c r="J121" i="5"/>
  <c r="L121" i="5" s="1"/>
  <c r="K118" i="5"/>
  <c r="J119" i="5"/>
  <c r="L119" i="5" s="1"/>
  <c r="K117" i="5"/>
  <c r="K116" i="5"/>
  <c r="J116" i="5"/>
  <c r="L116" i="5" s="1"/>
  <c r="G115" i="5"/>
  <c r="L115" i="5" s="1"/>
  <c r="K111" i="5"/>
  <c r="J112" i="5"/>
  <c r="L112" i="5" s="1"/>
  <c r="K109" i="5"/>
  <c r="G108" i="5"/>
  <c r="L108" i="5" s="1"/>
  <c r="J110" i="5"/>
  <c r="L110" i="5" s="1"/>
  <c r="K106" i="5"/>
  <c r="J107" i="5"/>
  <c r="L107" i="5" s="1"/>
  <c r="J103" i="5"/>
  <c r="L103" i="5" s="1"/>
  <c r="K102" i="5"/>
  <c r="G101" i="5"/>
  <c r="L101" i="5" s="1"/>
  <c r="J100" i="5"/>
  <c r="L100" i="5" s="1"/>
  <c r="K99" i="5"/>
  <c r="J96" i="5"/>
  <c r="L96" i="5" s="1"/>
  <c r="E35" i="11"/>
  <c r="H151" i="5" l="1"/>
  <c r="E32" i="5" l="1"/>
  <c r="I62" i="5" l="1"/>
  <c r="J62" i="5" s="1"/>
  <c r="L62" i="5" s="1"/>
  <c r="I63" i="5"/>
  <c r="J63" i="5" s="1"/>
  <c r="L63" i="5" s="1"/>
  <c r="K63" i="5" l="1"/>
  <c r="K62" i="5"/>
  <c r="I36" i="11"/>
  <c r="F22" i="12"/>
  <c r="K22" i="12" s="1"/>
  <c r="I27" i="12"/>
  <c r="F26" i="12"/>
  <c r="K26" i="12" s="1"/>
  <c r="D25" i="12"/>
  <c r="I25" i="12" s="1"/>
  <c r="F24" i="12"/>
  <c r="K24" i="12" s="1"/>
  <c r="I23" i="12"/>
  <c r="F20" i="12"/>
  <c r="K20" i="12" s="1"/>
  <c r="D18" i="12"/>
  <c r="I18" i="12" s="1"/>
  <c r="F17" i="12"/>
  <c r="K17" i="12" s="1"/>
  <c r="D16" i="12"/>
  <c r="I16" i="12" s="1"/>
  <c r="F15" i="12"/>
  <c r="G15" i="12" s="1"/>
  <c r="L15" i="12" s="1"/>
  <c r="F14" i="12"/>
  <c r="K14" i="12" s="1"/>
  <c r="F13" i="12"/>
  <c r="K13" i="12" s="1"/>
  <c r="F11" i="12"/>
  <c r="K11" i="12" s="1"/>
  <c r="F9" i="12"/>
  <c r="G9" i="12" s="1"/>
  <c r="L9" i="12" s="1"/>
  <c r="E8" i="12"/>
  <c r="F8" i="12" s="1"/>
  <c r="A9" i="12"/>
  <c r="F47" i="11"/>
  <c r="G47" i="11" s="1"/>
  <c r="L47" i="11" s="1"/>
  <c r="I48" i="11"/>
  <c r="K48" i="11" s="1"/>
  <c r="I46" i="11"/>
  <c r="K46" i="11" s="1"/>
  <c r="F45" i="11"/>
  <c r="G45" i="11" s="1"/>
  <c r="L45" i="11" s="1"/>
  <c r="I44" i="11"/>
  <c r="K44" i="11" s="1"/>
  <c r="F43" i="11"/>
  <c r="G43" i="11" s="1"/>
  <c r="L43" i="11" s="1"/>
  <c r="I42" i="11"/>
  <c r="K42" i="11" s="1"/>
  <c r="F41" i="11"/>
  <c r="G41" i="11" s="1"/>
  <c r="L41" i="11" s="1"/>
  <c r="I40" i="11"/>
  <c r="K40" i="11" s="1"/>
  <c r="F39" i="11"/>
  <c r="K39" i="11" s="1"/>
  <c r="F35" i="11"/>
  <c r="K35" i="11" s="1"/>
  <c r="F34" i="11"/>
  <c r="K34" i="11" s="1"/>
  <c r="I31" i="11"/>
  <c r="K31" i="11" s="1"/>
  <c r="F30" i="11"/>
  <c r="G30" i="11" s="1"/>
  <c r="L30" i="11" s="1"/>
  <c r="F23" i="11"/>
  <c r="K23" i="11" s="1"/>
  <c r="D18" i="11"/>
  <c r="I18" i="11" s="1"/>
  <c r="J18" i="11" s="1"/>
  <c r="L18" i="11" s="1"/>
  <c r="D38" i="11"/>
  <c r="I38" i="11" s="1"/>
  <c r="F37" i="11"/>
  <c r="K37" i="11" s="1"/>
  <c r="I29" i="11"/>
  <c r="K29" i="11" s="1"/>
  <c r="D28" i="11"/>
  <c r="I28" i="11" s="1"/>
  <c r="E27" i="11"/>
  <c r="F27" i="11" s="1"/>
  <c r="K27" i="11" s="1"/>
  <c r="D26" i="11"/>
  <c r="I26" i="11" s="1"/>
  <c r="F25" i="11"/>
  <c r="K25" i="11" s="1"/>
  <c r="F22" i="11"/>
  <c r="K22" i="11" s="1"/>
  <c r="F21" i="11"/>
  <c r="K21" i="11" s="1"/>
  <c r="D20" i="11"/>
  <c r="I20" i="11" s="1"/>
  <c r="F19" i="11"/>
  <c r="K19" i="11" s="1"/>
  <c r="F17" i="11"/>
  <c r="K17" i="11" s="1"/>
  <c r="F16" i="11"/>
  <c r="K16" i="11" s="1"/>
  <c r="F13" i="11"/>
  <c r="K13" i="11" s="1"/>
  <c r="F11" i="11"/>
  <c r="K11" i="11" s="1"/>
  <c r="E10" i="11"/>
  <c r="F10" i="11" s="1"/>
  <c r="K10" i="11" s="1"/>
  <c r="F9" i="11"/>
  <c r="A9" i="11"/>
  <c r="A10" i="11" s="1"/>
  <c r="A11" i="11" s="1"/>
  <c r="A13" i="11" s="1"/>
  <c r="A15" i="11" s="1"/>
  <c r="A16" i="11" s="1"/>
  <c r="F8" i="11"/>
  <c r="K8" i="11" s="1"/>
  <c r="I29" i="10"/>
  <c r="K29" i="10" s="1"/>
  <c r="F28" i="10"/>
  <c r="G28" i="10" s="1"/>
  <c r="L28" i="10" s="1"/>
  <c r="I27" i="10"/>
  <c r="J27" i="10" s="1"/>
  <c r="L27" i="10" s="1"/>
  <c r="F26" i="10"/>
  <c r="K26" i="10" s="1"/>
  <c r="F24" i="10"/>
  <c r="K24" i="10" s="1"/>
  <c r="I25" i="10"/>
  <c r="K25" i="10" s="1"/>
  <c r="I21" i="10"/>
  <c r="F20" i="10"/>
  <c r="K20" i="10" s="1"/>
  <c r="F17" i="10"/>
  <c r="K17" i="10" s="1"/>
  <c r="D12" i="10"/>
  <c r="I12" i="10" s="1"/>
  <c r="F11" i="10"/>
  <c r="K11" i="10" s="1"/>
  <c r="F8" i="10"/>
  <c r="K8" i="10" s="1"/>
  <c r="A8" i="10"/>
  <c r="A9" i="10" s="1"/>
  <c r="F19" i="10"/>
  <c r="K19" i="10" s="1"/>
  <c r="D23" i="10"/>
  <c r="I23" i="10" s="1"/>
  <c r="F22" i="10"/>
  <c r="K22" i="10" s="1"/>
  <c r="F16" i="10"/>
  <c r="K16" i="10" s="1"/>
  <c r="F15" i="10"/>
  <c r="G15" i="10" s="1"/>
  <c r="L15" i="10" s="1"/>
  <c r="D14" i="10"/>
  <c r="I14" i="10" s="1"/>
  <c r="K14" i="10" s="1"/>
  <c r="F13" i="10"/>
  <c r="K13" i="10" s="1"/>
  <c r="F10" i="10"/>
  <c r="K10" i="10" s="1"/>
  <c r="F9" i="10"/>
  <c r="G9" i="10" s="1"/>
  <c r="L9" i="10" s="1"/>
  <c r="I117" i="9"/>
  <c r="K117" i="9" s="1"/>
  <c r="F116" i="9"/>
  <c r="K116" i="9" s="1"/>
  <c r="H70" i="9"/>
  <c r="I70" i="9" s="1"/>
  <c r="K70" i="9" s="1"/>
  <c r="E69" i="9"/>
  <c r="F69" i="9" s="1"/>
  <c r="H113" i="9"/>
  <c r="I113" i="9" s="1"/>
  <c r="K113" i="9" s="1"/>
  <c r="E112" i="9"/>
  <c r="F112" i="9" s="1"/>
  <c r="K112" i="9" s="1"/>
  <c r="I111" i="9"/>
  <c r="K111" i="9" s="1"/>
  <c r="F110" i="9"/>
  <c r="G110" i="9" s="1"/>
  <c r="L110" i="9" s="1"/>
  <c r="I109" i="9"/>
  <c r="J109" i="9" s="1"/>
  <c r="L109" i="9" s="1"/>
  <c r="F108" i="9"/>
  <c r="G108" i="9" s="1"/>
  <c r="L108" i="9" s="1"/>
  <c r="I107" i="9"/>
  <c r="K107" i="9" s="1"/>
  <c r="F106" i="9"/>
  <c r="G106" i="9" s="1"/>
  <c r="L106" i="9" s="1"/>
  <c r="I105" i="9"/>
  <c r="J105" i="9" s="1"/>
  <c r="L105" i="9" s="1"/>
  <c r="F104" i="9"/>
  <c r="K104" i="9" s="1"/>
  <c r="F127" i="5"/>
  <c r="G127" i="5" s="1"/>
  <c r="I88" i="9"/>
  <c r="K88" i="9" s="1"/>
  <c r="F87" i="9"/>
  <c r="G87" i="9" s="1"/>
  <c r="L87" i="9" s="1"/>
  <c r="I86" i="9"/>
  <c r="K86" i="9" s="1"/>
  <c r="F85" i="9"/>
  <c r="G85" i="9" s="1"/>
  <c r="L85" i="9" s="1"/>
  <c r="I82" i="9"/>
  <c r="K82" i="9" s="1"/>
  <c r="F81" i="9"/>
  <c r="K81" i="9" s="1"/>
  <c r="I74" i="9"/>
  <c r="K74" i="9" s="1"/>
  <c r="F73" i="9"/>
  <c r="G73" i="9" s="1"/>
  <c r="L73" i="9" s="1"/>
  <c r="I72" i="9"/>
  <c r="K72" i="9" s="1"/>
  <c r="F71" i="9"/>
  <c r="G71" i="9" s="1"/>
  <c r="L71" i="9" s="1"/>
  <c r="I68" i="9"/>
  <c r="K68" i="9" s="1"/>
  <c r="F90" i="9"/>
  <c r="K90" i="9" s="1"/>
  <c r="I99" i="9"/>
  <c r="K99" i="9" s="1"/>
  <c r="F98" i="9"/>
  <c r="K98" i="9" s="1"/>
  <c r="I93" i="9"/>
  <c r="K93" i="9" s="1"/>
  <c r="F92" i="9"/>
  <c r="K92" i="9" s="1"/>
  <c r="I91" i="9"/>
  <c r="J91" i="9" s="1"/>
  <c r="L91" i="9" s="1"/>
  <c r="F67" i="9"/>
  <c r="G67" i="9" s="1"/>
  <c r="L67" i="9" s="1"/>
  <c r="I65" i="9"/>
  <c r="K65" i="9" s="1"/>
  <c r="F64" i="9"/>
  <c r="G64" i="9" s="1"/>
  <c r="L64" i="9" s="1"/>
  <c r="I63" i="9"/>
  <c r="K63" i="9" s="1"/>
  <c r="L62" i="9"/>
  <c r="I52" i="9"/>
  <c r="F51" i="9"/>
  <c r="K51" i="9" s="1"/>
  <c r="D50" i="9"/>
  <c r="I50" i="9" s="1"/>
  <c r="F49" i="9"/>
  <c r="K49" i="9" s="1"/>
  <c r="I48" i="9"/>
  <c r="I47" i="9"/>
  <c r="K47" i="9" s="1"/>
  <c r="I46" i="9"/>
  <c r="K46" i="9" s="1"/>
  <c r="I45" i="9"/>
  <c r="K45" i="9" s="1"/>
  <c r="I44" i="9"/>
  <c r="K44" i="9" s="1"/>
  <c r="F43" i="9"/>
  <c r="F31" i="9"/>
  <c r="K31" i="9" s="1"/>
  <c r="I37" i="9"/>
  <c r="J37" i="9" s="1"/>
  <c r="I36" i="9"/>
  <c r="K36" i="9" s="1"/>
  <c r="I35" i="9"/>
  <c r="I34" i="9"/>
  <c r="K34" i="9" s="1"/>
  <c r="I33" i="9"/>
  <c r="J33" i="9" s="1"/>
  <c r="L33" i="9" s="1"/>
  <c r="I32" i="9"/>
  <c r="K32" i="9" s="1"/>
  <c r="I41" i="9"/>
  <c r="F40" i="9"/>
  <c r="K40" i="9" s="1"/>
  <c r="D39" i="9"/>
  <c r="I39" i="9" s="1"/>
  <c r="F38" i="9"/>
  <c r="K38" i="9" s="1"/>
  <c r="F29" i="9"/>
  <c r="K29" i="9" s="1"/>
  <c r="F28" i="9"/>
  <c r="K28" i="9" s="1"/>
  <c r="D27" i="9"/>
  <c r="I27" i="9" s="1"/>
  <c r="F26" i="9"/>
  <c r="K26" i="9" s="1"/>
  <c r="F25" i="9"/>
  <c r="K25" i="9" s="1"/>
  <c r="F24" i="9"/>
  <c r="K24" i="9" s="1"/>
  <c r="D61" i="9"/>
  <c r="I61" i="9" s="1"/>
  <c r="F60" i="9"/>
  <c r="G60" i="9" s="1"/>
  <c r="L60" i="9" s="1"/>
  <c r="I59" i="9"/>
  <c r="K59" i="9" s="1"/>
  <c r="D58" i="9"/>
  <c r="I58" i="9" s="1"/>
  <c r="F57" i="9"/>
  <c r="G57" i="9" s="1"/>
  <c r="L57" i="9" s="1"/>
  <c r="D55" i="9"/>
  <c r="I55" i="9" s="1"/>
  <c r="F54" i="9"/>
  <c r="K54" i="9" s="1"/>
  <c r="F22" i="9"/>
  <c r="F21" i="9"/>
  <c r="G21" i="9" s="1"/>
  <c r="L21" i="9" s="1"/>
  <c r="D20" i="9"/>
  <c r="I20" i="9" s="1"/>
  <c r="F19" i="9"/>
  <c r="G19" i="9" s="1"/>
  <c r="L19" i="9" s="1"/>
  <c r="D18" i="9"/>
  <c r="I18" i="9" s="1"/>
  <c r="F17" i="9"/>
  <c r="K17" i="9" s="1"/>
  <c r="F16" i="9"/>
  <c r="K16" i="9" s="1"/>
  <c r="F15" i="9"/>
  <c r="G15" i="9" s="1"/>
  <c r="L15" i="9" s="1"/>
  <c r="F13" i="9"/>
  <c r="G13" i="9" s="1"/>
  <c r="L13" i="9" s="1"/>
  <c r="F11" i="9"/>
  <c r="K11" i="9" s="1"/>
  <c r="E10" i="9"/>
  <c r="F10" i="9" s="1"/>
  <c r="G10" i="9" s="1"/>
  <c r="L10" i="9" s="1"/>
  <c r="F9" i="9"/>
  <c r="A9" i="9"/>
  <c r="A10" i="9" s="1"/>
  <c r="A11" i="9" s="1"/>
  <c r="A13" i="9" s="1"/>
  <c r="A15" i="9" s="1"/>
  <c r="F8" i="9"/>
  <c r="K8" i="9" s="1"/>
  <c r="I93" i="3"/>
  <c r="F92" i="3"/>
  <c r="K92" i="3" s="1"/>
  <c r="D91" i="3"/>
  <c r="I91" i="3" s="1"/>
  <c r="F90" i="3"/>
  <c r="K90" i="3" s="1"/>
  <c r="I52" i="3"/>
  <c r="F51" i="3"/>
  <c r="K51" i="3" s="1"/>
  <c r="D50" i="3"/>
  <c r="I50" i="3" s="1"/>
  <c r="F49" i="3"/>
  <c r="K49" i="3" s="1"/>
  <c r="D65" i="4"/>
  <c r="D74" i="4"/>
  <c r="D19" i="4"/>
  <c r="A4" i="1"/>
  <c r="A5" i="1" s="1"/>
  <c r="A6" i="1" s="1"/>
  <c r="A7" i="1" s="1"/>
  <c r="F27" i="8"/>
  <c r="F26" i="8"/>
  <c r="K26" i="8" s="1"/>
  <c r="D18" i="8"/>
  <c r="I18" i="8" s="1"/>
  <c r="F68" i="5"/>
  <c r="F66" i="5"/>
  <c r="F79" i="5"/>
  <c r="F77" i="5"/>
  <c r="F46" i="7"/>
  <c r="K46" i="7" s="1"/>
  <c r="F48" i="7"/>
  <c r="K48" i="7" s="1"/>
  <c r="F56" i="7"/>
  <c r="K56" i="7" s="1"/>
  <c r="F54" i="7"/>
  <c r="G54" i="7" s="1"/>
  <c r="L54" i="7" s="1"/>
  <c r="D25" i="8"/>
  <c r="I25" i="8" s="1"/>
  <c r="F24" i="8"/>
  <c r="K24" i="8" s="1"/>
  <c r="F22" i="8"/>
  <c r="K22" i="8" s="1"/>
  <c r="F21" i="8"/>
  <c r="G21" i="8" s="1"/>
  <c r="L21" i="8" s="1"/>
  <c r="D20" i="8"/>
  <c r="I20" i="8" s="1"/>
  <c r="F19" i="8"/>
  <c r="G19" i="8" s="1"/>
  <c r="L19" i="8" s="1"/>
  <c r="F17" i="8"/>
  <c r="K17" i="8" s="1"/>
  <c r="F16" i="8"/>
  <c r="K16" i="8" s="1"/>
  <c r="F15" i="8"/>
  <c r="G15" i="8" s="1"/>
  <c r="L15" i="8" s="1"/>
  <c r="F13" i="8"/>
  <c r="G13" i="8" s="1"/>
  <c r="L13" i="8" s="1"/>
  <c r="F11" i="8"/>
  <c r="G11" i="8" s="1"/>
  <c r="L11" i="8" s="1"/>
  <c r="E10" i="8"/>
  <c r="F10" i="8" s="1"/>
  <c r="F9" i="8"/>
  <c r="K9" i="8" s="1"/>
  <c r="A9" i="8"/>
  <c r="A10" i="8" s="1"/>
  <c r="A11" i="8" s="1"/>
  <c r="A13" i="8" s="1"/>
  <c r="A15" i="8" s="1"/>
  <c r="F8" i="8"/>
  <c r="K8" i="8" s="1"/>
  <c r="I57" i="7"/>
  <c r="D55" i="7"/>
  <c r="I55" i="7" s="1"/>
  <c r="I53" i="7"/>
  <c r="K53" i="7" s="1"/>
  <c r="I52" i="7"/>
  <c r="J52" i="7" s="1"/>
  <c r="L52" i="7" s="1"/>
  <c r="F51" i="7"/>
  <c r="F43" i="7"/>
  <c r="D49" i="7"/>
  <c r="I49" i="7" s="1"/>
  <c r="D47" i="7"/>
  <c r="I47" i="7" s="1"/>
  <c r="I45" i="7"/>
  <c r="I44" i="7"/>
  <c r="K22" i="9" l="1"/>
  <c r="F118" i="9"/>
  <c r="C10" i="1" s="1"/>
  <c r="J40" i="11"/>
  <c r="L40" i="11" s="1"/>
  <c r="G46" i="7"/>
  <c r="L46" i="7" s="1"/>
  <c r="K109" i="9"/>
  <c r="K52" i="7"/>
  <c r="G39" i="11"/>
  <c r="L39" i="11" s="1"/>
  <c r="K110" i="9"/>
  <c r="K36" i="11"/>
  <c r="J36" i="11"/>
  <c r="L36" i="11" s="1"/>
  <c r="G24" i="12"/>
  <c r="L24" i="12" s="1"/>
  <c r="J25" i="12"/>
  <c r="L25" i="12" s="1"/>
  <c r="K25" i="12"/>
  <c r="K27" i="12"/>
  <c r="J27" i="12"/>
  <c r="L27" i="12" s="1"/>
  <c r="G26" i="12"/>
  <c r="L26" i="12" s="1"/>
  <c r="G22" i="12"/>
  <c r="L22" i="12" s="1"/>
  <c r="A11" i="12"/>
  <c r="A13" i="12" s="1"/>
  <c r="K15" i="12"/>
  <c r="G20" i="12"/>
  <c r="L20" i="12" s="1"/>
  <c r="F28" i="12"/>
  <c r="K9" i="12"/>
  <c r="J16" i="12"/>
  <c r="L16" i="12" s="1"/>
  <c r="K16" i="12"/>
  <c r="I28" i="12"/>
  <c r="K23" i="12"/>
  <c r="J23" i="12"/>
  <c r="L23" i="12" s="1"/>
  <c r="G8" i="12"/>
  <c r="L8" i="12" s="1"/>
  <c r="K8" i="12"/>
  <c r="K18" i="12"/>
  <c r="J18" i="12"/>
  <c r="L18" i="12" s="1"/>
  <c r="G14" i="12"/>
  <c r="L14" i="12" s="1"/>
  <c r="G13" i="12"/>
  <c r="L13" i="12" s="1"/>
  <c r="G11" i="12"/>
  <c r="L11" i="12" s="1"/>
  <c r="G17" i="12"/>
  <c r="L17" i="12" s="1"/>
  <c r="K47" i="11"/>
  <c r="J48" i="11"/>
  <c r="L48" i="11" s="1"/>
  <c r="K45" i="11"/>
  <c r="J46" i="11"/>
  <c r="L46" i="11" s="1"/>
  <c r="K43" i="11"/>
  <c r="J44" i="11"/>
  <c r="L44" i="11" s="1"/>
  <c r="K41" i="11"/>
  <c r="J42" i="11"/>
  <c r="L42" i="11" s="1"/>
  <c r="G35" i="11"/>
  <c r="L35" i="11" s="1"/>
  <c r="G34" i="11"/>
  <c r="L34" i="11" s="1"/>
  <c r="K30" i="11"/>
  <c r="J31" i="11"/>
  <c r="L31" i="11" s="1"/>
  <c r="G23" i="11"/>
  <c r="L23" i="11" s="1"/>
  <c r="K38" i="11"/>
  <c r="J38" i="11"/>
  <c r="L38" i="11" s="1"/>
  <c r="G27" i="11"/>
  <c r="L27" i="11" s="1"/>
  <c r="J26" i="11"/>
  <c r="L26" i="11" s="1"/>
  <c r="K26" i="11"/>
  <c r="G25" i="11"/>
  <c r="L25" i="11" s="1"/>
  <c r="G19" i="11"/>
  <c r="L19" i="11" s="1"/>
  <c r="G11" i="11"/>
  <c r="L11" i="11" s="1"/>
  <c r="F49" i="11"/>
  <c r="G13" i="11"/>
  <c r="L13" i="11" s="1"/>
  <c r="A17" i="11"/>
  <c r="A19" i="11" s="1"/>
  <c r="A21" i="11" s="1"/>
  <c r="A22" i="11" s="1"/>
  <c r="K20" i="11"/>
  <c r="J20" i="11"/>
  <c r="L20" i="11" s="1"/>
  <c r="K28" i="11"/>
  <c r="J28" i="11"/>
  <c r="L28" i="11" s="1"/>
  <c r="I49" i="11"/>
  <c r="G9" i="11"/>
  <c r="L9" i="11" s="1"/>
  <c r="G10" i="11"/>
  <c r="L10" i="11" s="1"/>
  <c r="G17" i="11"/>
  <c r="L17" i="11" s="1"/>
  <c r="K18" i="11"/>
  <c r="G37" i="11"/>
  <c r="L37" i="11" s="1"/>
  <c r="G8" i="11"/>
  <c r="L8" i="11" s="1"/>
  <c r="K9" i="11"/>
  <c r="G22" i="11"/>
  <c r="L22" i="11" s="1"/>
  <c r="J29" i="11"/>
  <c r="L29" i="11" s="1"/>
  <c r="G16" i="11"/>
  <c r="L16" i="11" s="1"/>
  <c r="G21" i="11"/>
  <c r="L21" i="11" s="1"/>
  <c r="K27" i="10"/>
  <c r="K28" i="10"/>
  <c r="G26" i="10"/>
  <c r="L26" i="10" s="1"/>
  <c r="J29" i="10"/>
  <c r="L29" i="10" s="1"/>
  <c r="G24" i="10"/>
  <c r="L24" i="10" s="1"/>
  <c r="J25" i="10"/>
  <c r="L25" i="10" s="1"/>
  <c r="K21" i="10"/>
  <c r="J21" i="10"/>
  <c r="L21" i="10" s="1"/>
  <c r="G20" i="10"/>
  <c r="L20" i="10" s="1"/>
  <c r="G17" i="10"/>
  <c r="L17" i="10" s="1"/>
  <c r="K12" i="10"/>
  <c r="J12" i="10"/>
  <c r="L12" i="10" s="1"/>
  <c r="G11" i="10"/>
  <c r="L11" i="10" s="1"/>
  <c r="F30" i="10"/>
  <c r="G8" i="10"/>
  <c r="L8" i="10" s="1"/>
  <c r="G16" i="10"/>
  <c r="L16" i="10" s="1"/>
  <c r="G19" i="10"/>
  <c r="L19" i="10" s="1"/>
  <c r="K15" i="10"/>
  <c r="K9" i="10"/>
  <c r="A10" i="10"/>
  <c r="I30" i="10"/>
  <c r="K23" i="10"/>
  <c r="J23" i="10"/>
  <c r="L23" i="10" s="1"/>
  <c r="J14" i="10"/>
  <c r="L14" i="10" s="1"/>
  <c r="G13" i="10"/>
  <c r="L13" i="10" s="1"/>
  <c r="G10" i="10"/>
  <c r="L10" i="10" s="1"/>
  <c r="G22" i="10"/>
  <c r="L22" i="10" s="1"/>
  <c r="J82" i="9"/>
  <c r="L82" i="9" s="1"/>
  <c r="G116" i="9"/>
  <c r="L116" i="9" s="1"/>
  <c r="J117" i="9"/>
  <c r="L117" i="9" s="1"/>
  <c r="G69" i="9"/>
  <c r="L69" i="9" s="1"/>
  <c r="K69" i="9"/>
  <c r="G112" i="9"/>
  <c r="L112" i="9" s="1"/>
  <c r="J113" i="9"/>
  <c r="L113" i="9" s="1"/>
  <c r="J111" i="9"/>
  <c r="L111" i="9" s="1"/>
  <c r="K106" i="9"/>
  <c r="K108" i="9"/>
  <c r="J107" i="9"/>
  <c r="L107" i="9" s="1"/>
  <c r="K105" i="9"/>
  <c r="G104" i="9"/>
  <c r="L104" i="9" s="1"/>
  <c r="G98" i="9"/>
  <c r="L98" i="9" s="1"/>
  <c r="K73" i="9"/>
  <c r="K48" i="9"/>
  <c r="G92" i="9"/>
  <c r="L92" i="9" s="1"/>
  <c r="K71" i="9"/>
  <c r="K87" i="9"/>
  <c r="K85" i="9"/>
  <c r="J88" i="9"/>
  <c r="L88" i="9" s="1"/>
  <c r="J86" i="9"/>
  <c r="L86" i="9" s="1"/>
  <c r="G81" i="9"/>
  <c r="L81" i="9" s="1"/>
  <c r="J74" i="9"/>
  <c r="L74" i="9" s="1"/>
  <c r="J72" i="9"/>
  <c r="L72" i="9" s="1"/>
  <c r="J70" i="9"/>
  <c r="L70" i="9" s="1"/>
  <c r="J68" i="9"/>
  <c r="L68" i="9" s="1"/>
  <c r="K67" i="9"/>
  <c r="G90" i="9"/>
  <c r="L90" i="9" s="1"/>
  <c r="J99" i="9"/>
  <c r="L99" i="9" s="1"/>
  <c r="K91" i="9"/>
  <c r="J93" i="9"/>
  <c r="L93" i="9" s="1"/>
  <c r="K64" i="9"/>
  <c r="J65" i="9"/>
  <c r="L65" i="9" s="1"/>
  <c r="K62" i="9"/>
  <c r="J63" i="9"/>
  <c r="L63" i="9" s="1"/>
  <c r="G49" i="9"/>
  <c r="L49" i="9" s="1"/>
  <c r="G38" i="9"/>
  <c r="L38" i="9" s="1"/>
  <c r="K13" i="9"/>
  <c r="K37" i="9"/>
  <c r="J46" i="9"/>
  <c r="L46" i="9" s="1"/>
  <c r="J44" i="9"/>
  <c r="L44" i="9" s="1"/>
  <c r="J50" i="9"/>
  <c r="L50" i="9" s="1"/>
  <c r="K50" i="9"/>
  <c r="G43" i="9"/>
  <c r="L43" i="9" s="1"/>
  <c r="K43" i="9"/>
  <c r="K52" i="9"/>
  <c r="J52" i="9"/>
  <c r="L52" i="9" s="1"/>
  <c r="J45" i="9"/>
  <c r="L45" i="9" s="1"/>
  <c r="J47" i="9"/>
  <c r="L47" i="9" s="1"/>
  <c r="J48" i="9"/>
  <c r="L48" i="9" s="1"/>
  <c r="G51" i="9"/>
  <c r="L51" i="9" s="1"/>
  <c r="G31" i="9"/>
  <c r="L31" i="9" s="1"/>
  <c r="L37" i="9"/>
  <c r="K33" i="9"/>
  <c r="J34" i="9"/>
  <c r="L34" i="9" s="1"/>
  <c r="J35" i="9"/>
  <c r="L35" i="9" s="1"/>
  <c r="K35" i="9"/>
  <c r="J36" i="9"/>
  <c r="L36" i="9" s="1"/>
  <c r="J32" i="9"/>
  <c r="L32" i="9" s="1"/>
  <c r="J39" i="9"/>
  <c r="L39" i="9" s="1"/>
  <c r="K39" i="9"/>
  <c r="K41" i="9"/>
  <c r="J41" i="9"/>
  <c r="L41" i="9" s="1"/>
  <c r="G40" i="9"/>
  <c r="L40" i="9" s="1"/>
  <c r="G26" i="9"/>
  <c r="L26" i="9" s="1"/>
  <c r="K57" i="9"/>
  <c r="J27" i="9"/>
  <c r="L27" i="9" s="1"/>
  <c r="K27" i="9"/>
  <c r="G25" i="9"/>
  <c r="L25" i="9" s="1"/>
  <c r="G29" i="9"/>
  <c r="L29" i="9" s="1"/>
  <c r="G24" i="9"/>
  <c r="L24" i="9" s="1"/>
  <c r="G28" i="9"/>
  <c r="L28" i="9" s="1"/>
  <c r="K19" i="9"/>
  <c r="G11" i="9"/>
  <c r="L11" i="9" s="1"/>
  <c r="K58" i="9"/>
  <c r="J58" i="9"/>
  <c r="L58" i="9" s="1"/>
  <c r="J55" i="9"/>
  <c r="L55" i="9" s="1"/>
  <c r="K55" i="9"/>
  <c r="G54" i="9"/>
  <c r="L54" i="9" s="1"/>
  <c r="K21" i="9"/>
  <c r="K15" i="9"/>
  <c r="K18" i="9"/>
  <c r="I118" i="9"/>
  <c r="J18" i="9"/>
  <c r="L18" i="9" s="1"/>
  <c r="K20" i="9"/>
  <c r="J20" i="9"/>
  <c r="L20" i="9" s="1"/>
  <c r="A16" i="9"/>
  <c r="K61" i="9"/>
  <c r="J61" i="9"/>
  <c r="L61" i="9" s="1"/>
  <c r="G9" i="9"/>
  <c r="L9" i="9" s="1"/>
  <c r="G17" i="9"/>
  <c r="L17" i="9" s="1"/>
  <c r="G8" i="9"/>
  <c r="L8" i="9" s="1"/>
  <c r="K9" i="9"/>
  <c r="K10" i="9"/>
  <c r="G16" i="9"/>
  <c r="L16" i="9" s="1"/>
  <c r="G22" i="9"/>
  <c r="L22" i="9" s="1"/>
  <c r="J59" i="9"/>
  <c r="L59" i="9" s="1"/>
  <c r="K60" i="9"/>
  <c r="G90" i="3"/>
  <c r="L90" i="3" s="1"/>
  <c r="J91" i="3"/>
  <c r="L91" i="3" s="1"/>
  <c r="K91" i="3"/>
  <c r="K93" i="3"/>
  <c r="J93" i="3"/>
  <c r="L93" i="3" s="1"/>
  <c r="G92" i="3"/>
  <c r="L92" i="3" s="1"/>
  <c r="G49" i="3"/>
  <c r="L49" i="3" s="1"/>
  <c r="J50" i="3"/>
  <c r="L50" i="3" s="1"/>
  <c r="K50" i="3"/>
  <c r="K52" i="3"/>
  <c r="J52" i="3"/>
  <c r="L52" i="3" s="1"/>
  <c r="G51" i="3"/>
  <c r="L51" i="3" s="1"/>
  <c r="K27" i="8"/>
  <c r="G27" i="8"/>
  <c r="L27" i="8" s="1"/>
  <c r="G26" i="8"/>
  <c r="L26" i="8" s="1"/>
  <c r="G22" i="8"/>
  <c r="L22" i="8" s="1"/>
  <c r="K18" i="8"/>
  <c r="J18" i="8"/>
  <c r="L18" i="8" s="1"/>
  <c r="G16" i="8"/>
  <c r="L16" i="8" s="1"/>
  <c r="K54" i="7"/>
  <c r="K21" i="8"/>
  <c r="K15" i="8"/>
  <c r="G8" i="8"/>
  <c r="L8" i="8" s="1"/>
  <c r="K20" i="8"/>
  <c r="J20" i="8"/>
  <c r="L20" i="8" s="1"/>
  <c r="K10" i="8"/>
  <c r="G10" i="8"/>
  <c r="L10" i="8" s="1"/>
  <c r="J25" i="8"/>
  <c r="L25" i="8" s="1"/>
  <c r="K25" i="8"/>
  <c r="I28" i="8"/>
  <c r="A16" i="8"/>
  <c r="K19" i="8"/>
  <c r="F28" i="8"/>
  <c r="G9" i="8"/>
  <c r="L9" i="8" s="1"/>
  <c r="K11" i="8"/>
  <c r="G17" i="8"/>
  <c r="L17" i="8" s="1"/>
  <c r="G24" i="8"/>
  <c r="L24" i="8" s="1"/>
  <c r="K13" i="8"/>
  <c r="G51" i="7"/>
  <c r="L51" i="7" s="1"/>
  <c r="K51" i="7"/>
  <c r="J55" i="7"/>
  <c r="L55" i="7" s="1"/>
  <c r="K55" i="7"/>
  <c r="K57" i="7"/>
  <c r="J57" i="7"/>
  <c r="L57" i="7" s="1"/>
  <c r="J53" i="7"/>
  <c r="L53" i="7" s="1"/>
  <c r="G56" i="7"/>
  <c r="L56" i="7" s="1"/>
  <c r="J47" i="7"/>
  <c r="L47" i="7" s="1"/>
  <c r="K47" i="7"/>
  <c r="K49" i="7"/>
  <c r="J49" i="7"/>
  <c r="L49" i="7" s="1"/>
  <c r="G48" i="7"/>
  <c r="L48" i="7" s="1"/>
  <c r="G43" i="7"/>
  <c r="L43" i="7" s="1"/>
  <c r="K43" i="7"/>
  <c r="K44" i="7"/>
  <c r="J44" i="7"/>
  <c r="L44" i="7" s="1"/>
  <c r="K45" i="7"/>
  <c r="J45" i="7"/>
  <c r="L45" i="7" s="1"/>
  <c r="K49" i="11" l="1"/>
  <c r="A17" i="8"/>
  <c r="A19" i="8" s="1"/>
  <c r="A21" i="8" s="1"/>
  <c r="A22" i="8" s="1"/>
  <c r="A24" i="8" s="1"/>
  <c r="A26" i="8" s="1"/>
  <c r="A27" i="8" s="1"/>
  <c r="G118" i="9"/>
  <c r="F10" i="1" s="1"/>
  <c r="G30" i="10"/>
  <c r="F11" i="1" s="1"/>
  <c r="C11" i="1"/>
  <c r="J28" i="12"/>
  <c r="G13" i="1" s="1"/>
  <c r="D13" i="1"/>
  <c r="G28" i="12"/>
  <c r="F13" i="1" s="1"/>
  <c r="C13" i="1"/>
  <c r="G28" i="8"/>
  <c r="F6" i="1" s="1"/>
  <c r="C6" i="1"/>
  <c r="J118" i="9"/>
  <c r="G10" i="1" s="1"/>
  <c r="D10" i="1"/>
  <c r="E10" i="1" s="1"/>
  <c r="J30" i="10"/>
  <c r="G11" i="1" s="1"/>
  <c r="D11" i="1"/>
  <c r="J49" i="11"/>
  <c r="G12" i="1" s="1"/>
  <c r="D12" i="1"/>
  <c r="G49" i="11"/>
  <c r="F12" i="1" s="1"/>
  <c r="C12" i="1"/>
  <c r="A14" i="12"/>
  <c r="K28" i="12"/>
  <c r="L28" i="12" s="1"/>
  <c r="A23" i="11"/>
  <c r="L49" i="11"/>
  <c r="A11" i="10"/>
  <c r="A13" i="10" s="1"/>
  <c r="A15" i="10" s="1"/>
  <c r="A16" i="10" s="1"/>
  <c r="K30" i="10"/>
  <c r="L30" i="10" s="1"/>
  <c r="A17" i="9"/>
  <c r="A19" i="9" s="1"/>
  <c r="K118" i="9"/>
  <c r="L118" i="9" s="1"/>
  <c r="J28" i="8"/>
  <c r="G6" i="1" s="1"/>
  <c r="D6" i="1"/>
  <c r="K28" i="8"/>
  <c r="L28" i="8" s="1"/>
  <c r="A25" i="11" l="1"/>
  <c r="A27" i="11" s="1"/>
  <c r="A30" i="11" s="1"/>
  <c r="H11" i="1"/>
  <c r="E11" i="1"/>
  <c r="H10" i="1"/>
  <c r="E6" i="1"/>
  <c r="H6" i="1"/>
  <c r="E12" i="1"/>
  <c r="H12" i="1"/>
  <c r="A15" i="12"/>
  <c r="A17" i="12" s="1"/>
  <c r="A17" i="10"/>
  <c r="A19" i="10" s="1"/>
  <c r="A20" i="10" s="1"/>
  <c r="A22" i="10" s="1"/>
  <c r="A24" i="10" s="1"/>
  <c r="A21" i="9"/>
  <c r="A22" i="9" s="1"/>
  <c r="A19" i="12" l="1"/>
  <c r="A20" i="12" s="1"/>
  <c r="A22" i="12" s="1"/>
  <c r="A24" i="12" s="1"/>
  <c r="A26" i="12" s="1"/>
  <c r="A32" i="11"/>
  <c r="A34" i="11" s="1"/>
  <c r="A35" i="11" s="1"/>
  <c r="A37" i="11" s="1"/>
  <c r="A39" i="11" s="1"/>
  <c r="A41" i="11" s="1"/>
  <c r="A43" i="11" s="1"/>
  <c r="A45" i="11" s="1"/>
  <c r="A47" i="11" s="1"/>
  <c r="A26" i="10"/>
  <c r="A28" i="10" s="1"/>
  <c r="A24" i="9"/>
  <c r="A25" i="9" s="1"/>
  <c r="A26" i="9" s="1"/>
  <c r="A28" i="9" s="1"/>
  <c r="A29" i="9" l="1"/>
  <c r="A31" i="9" s="1"/>
  <c r="A38" i="9" s="1"/>
  <c r="A40" i="9" s="1"/>
  <c r="A43" i="9" s="1"/>
  <c r="A49" i="9" s="1"/>
  <c r="A51" i="9" s="1"/>
  <c r="A54" i="9" s="1"/>
  <c r="A57" i="9" l="1"/>
  <c r="A60" i="9" s="1"/>
  <c r="A56" i="9"/>
  <c r="A62" i="9"/>
  <c r="A64" i="9" s="1"/>
  <c r="A67" i="9" s="1"/>
  <c r="A69" i="9" l="1"/>
  <c r="A71" i="9" s="1"/>
  <c r="A73" i="9" s="1"/>
  <c r="A79" i="9" l="1"/>
  <c r="A81" i="9" s="1"/>
  <c r="A83" i="9" s="1"/>
  <c r="A84" i="9" s="1"/>
  <c r="A85" i="9" s="1"/>
  <c r="A87" i="9" s="1"/>
  <c r="A90" i="9" s="1"/>
  <c r="A92" i="9" s="1"/>
  <c r="A98" i="9" s="1"/>
  <c r="A104" i="9" s="1"/>
  <c r="A106" i="9" s="1"/>
  <c r="A108" i="9" s="1"/>
  <c r="A110" i="9" s="1"/>
  <c r="A112" i="9" s="1"/>
  <c r="A114" i="9" s="1"/>
  <c r="A116" i="9" s="1"/>
  <c r="D40" i="7"/>
  <c r="D41" i="7" s="1"/>
  <c r="I35" i="7"/>
  <c r="F34" i="7"/>
  <c r="I33" i="7"/>
  <c r="K33" i="7" s="1"/>
  <c r="F32" i="7"/>
  <c r="D31" i="7"/>
  <c r="I31" i="7" s="1"/>
  <c r="J31" i="7" s="1"/>
  <c r="L31" i="7" s="1"/>
  <c r="D26" i="7"/>
  <c r="I26" i="7" s="1"/>
  <c r="D28" i="7"/>
  <c r="I28" i="7" s="1"/>
  <c r="F24" i="7"/>
  <c r="K24" i="7" s="1"/>
  <c r="D18" i="7"/>
  <c r="I18" i="7" s="1"/>
  <c r="F17" i="7"/>
  <c r="K17" i="7" s="1"/>
  <c r="I41" i="7"/>
  <c r="J41" i="7" s="1"/>
  <c r="L41" i="7" s="1"/>
  <c r="F40" i="7"/>
  <c r="K40" i="7" s="1"/>
  <c r="I37" i="7"/>
  <c r="K37" i="7" s="1"/>
  <c r="F36" i="7"/>
  <c r="K36" i="7" s="1"/>
  <c r="F30" i="7"/>
  <c r="K30" i="7" s="1"/>
  <c r="I29" i="7"/>
  <c r="K29" i="7" s="1"/>
  <c r="E27" i="7"/>
  <c r="F27" i="7" s="1"/>
  <c r="F25" i="7"/>
  <c r="K25" i="7" s="1"/>
  <c r="F22" i="7"/>
  <c r="K22" i="7" s="1"/>
  <c r="F21" i="7"/>
  <c r="K21" i="7" s="1"/>
  <c r="D20" i="7"/>
  <c r="I20" i="7" s="1"/>
  <c r="F19" i="7"/>
  <c r="K19" i="7" s="1"/>
  <c r="F16" i="7"/>
  <c r="G16" i="7" s="1"/>
  <c r="L16" i="7" s="1"/>
  <c r="F15" i="7"/>
  <c r="K15" i="7" s="1"/>
  <c r="F13" i="7"/>
  <c r="K13" i="7" s="1"/>
  <c r="F11" i="7"/>
  <c r="G11" i="7" s="1"/>
  <c r="L11" i="7" s="1"/>
  <c r="E10" i="7"/>
  <c r="F10" i="7" s="1"/>
  <c r="G10" i="7" s="1"/>
  <c r="L10" i="7" s="1"/>
  <c r="F9" i="7"/>
  <c r="K9" i="7" s="1"/>
  <c r="A9" i="7"/>
  <c r="A10" i="7" s="1"/>
  <c r="A11" i="7" s="1"/>
  <c r="F8" i="7"/>
  <c r="K8" i="7" s="1"/>
  <c r="D32" i="6"/>
  <c r="I32" i="6" s="1"/>
  <c r="F31" i="6"/>
  <c r="D20" i="6"/>
  <c r="I151" i="5"/>
  <c r="F150" i="5"/>
  <c r="K150" i="5" s="1"/>
  <c r="D149" i="5"/>
  <c r="I149" i="5" s="1"/>
  <c r="F148" i="5"/>
  <c r="K148" i="5" s="1"/>
  <c r="I147" i="5"/>
  <c r="K147" i="5" s="1"/>
  <c r="F146" i="5"/>
  <c r="G146" i="5" s="1"/>
  <c r="L146" i="5" s="1"/>
  <c r="I138" i="5"/>
  <c r="K138" i="5" s="1"/>
  <c r="F137" i="5"/>
  <c r="K137" i="5" s="1"/>
  <c r="I136" i="5"/>
  <c r="K136" i="5" s="1"/>
  <c r="F135" i="5"/>
  <c r="G135" i="5" s="1"/>
  <c r="L135" i="5" s="1"/>
  <c r="I133" i="5"/>
  <c r="K133" i="5" s="1"/>
  <c r="F132" i="5"/>
  <c r="G132" i="5" s="1"/>
  <c r="L132" i="5" s="1"/>
  <c r="I126" i="5"/>
  <c r="K126" i="5" s="1"/>
  <c r="F125" i="5"/>
  <c r="G125" i="5" s="1"/>
  <c r="L125" i="5" s="1"/>
  <c r="D92" i="5"/>
  <c r="I92" i="5" s="1"/>
  <c r="F91" i="5"/>
  <c r="K91" i="5" s="1"/>
  <c r="D89" i="5"/>
  <c r="I89" i="5" s="1"/>
  <c r="I90" i="5"/>
  <c r="K90" i="5" s="1"/>
  <c r="F88" i="5"/>
  <c r="D87" i="5"/>
  <c r="I87" i="5" s="1"/>
  <c r="F86" i="5"/>
  <c r="K86" i="5" s="1"/>
  <c r="E85" i="5"/>
  <c r="F85" i="5" s="1"/>
  <c r="F84" i="5"/>
  <c r="K84" i="5" s="1"/>
  <c r="D83" i="5"/>
  <c r="I83" i="5" s="1"/>
  <c r="D78" i="5"/>
  <c r="I78" i="5" s="1"/>
  <c r="F54" i="5"/>
  <c r="K54" i="5" s="1"/>
  <c r="F53" i="5"/>
  <c r="G53" i="5" s="1"/>
  <c r="L53" i="5" s="1"/>
  <c r="F50" i="5"/>
  <c r="K50" i="5" s="1"/>
  <c r="F49" i="5"/>
  <c r="K49" i="5" s="1"/>
  <c r="I72" i="5"/>
  <c r="K72" i="5" s="1"/>
  <c r="F71" i="5"/>
  <c r="D80" i="5"/>
  <c r="I80" i="5" s="1"/>
  <c r="K79" i="5"/>
  <c r="K77" i="5"/>
  <c r="I76" i="5"/>
  <c r="K76" i="5" s="1"/>
  <c r="I75" i="5"/>
  <c r="J75" i="5" s="1"/>
  <c r="I74" i="5"/>
  <c r="K74" i="5" s="1"/>
  <c r="F73" i="5"/>
  <c r="K73" i="5" s="1"/>
  <c r="D69" i="5"/>
  <c r="F58" i="7" l="1"/>
  <c r="A13" i="7"/>
  <c r="A15" i="7" s="1"/>
  <c r="G32" i="7"/>
  <c r="L32" i="7" s="1"/>
  <c r="I58" i="7"/>
  <c r="K41" i="7"/>
  <c r="K34" i="7"/>
  <c r="G34" i="7"/>
  <c r="L34" i="7" s="1"/>
  <c r="K35" i="7"/>
  <c r="J35" i="7"/>
  <c r="L35" i="7" s="1"/>
  <c r="K32" i="7"/>
  <c r="J33" i="7"/>
  <c r="L33" i="7" s="1"/>
  <c r="K31" i="7"/>
  <c r="G30" i="7"/>
  <c r="L30" i="7" s="1"/>
  <c r="G36" i="7"/>
  <c r="L36" i="7" s="1"/>
  <c r="J29" i="7"/>
  <c r="L29" i="7" s="1"/>
  <c r="G24" i="7"/>
  <c r="L24" i="7" s="1"/>
  <c r="G22" i="7"/>
  <c r="L22" i="7" s="1"/>
  <c r="G17" i="7"/>
  <c r="L17" i="7" s="1"/>
  <c r="K18" i="7"/>
  <c r="J18" i="7"/>
  <c r="L18" i="7" s="1"/>
  <c r="K16" i="7"/>
  <c r="G15" i="7"/>
  <c r="L15" i="7" s="1"/>
  <c r="K11" i="7"/>
  <c r="G40" i="7"/>
  <c r="L40" i="7" s="1"/>
  <c r="G25" i="7"/>
  <c r="L25" i="7" s="1"/>
  <c r="G9" i="7"/>
  <c r="L9" i="7" s="1"/>
  <c r="G19" i="7"/>
  <c r="L19" i="7" s="1"/>
  <c r="K10" i="7"/>
  <c r="G8" i="7"/>
  <c r="L8" i="7" s="1"/>
  <c r="K27" i="7"/>
  <c r="G27" i="7"/>
  <c r="L27" i="7" s="1"/>
  <c r="K26" i="7"/>
  <c r="J26" i="7"/>
  <c r="L26" i="7" s="1"/>
  <c r="K28" i="7"/>
  <c r="J28" i="7"/>
  <c r="L28" i="7" s="1"/>
  <c r="K20" i="7"/>
  <c r="J20" i="7"/>
  <c r="L20" i="7" s="1"/>
  <c r="G13" i="7"/>
  <c r="L13" i="7" s="1"/>
  <c r="G21" i="7"/>
  <c r="L21" i="7" s="1"/>
  <c r="J37" i="7"/>
  <c r="L37" i="7" s="1"/>
  <c r="K31" i="6"/>
  <c r="G31" i="6"/>
  <c r="L31" i="6" s="1"/>
  <c r="K32" i="6"/>
  <c r="J32" i="6"/>
  <c r="L32" i="6" s="1"/>
  <c r="K151" i="5"/>
  <c r="J151" i="5"/>
  <c r="L151" i="5" s="1"/>
  <c r="G150" i="5"/>
  <c r="L150" i="5" s="1"/>
  <c r="K149" i="5"/>
  <c r="J149" i="5"/>
  <c r="L149" i="5" s="1"/>
  <c r="G148" i="5"/>
  <c r="L148" i="5" s="1"/>
  <c r="K146" i="5"/>
  <c r="J138" i="5"/>
  <c r="L138" i="5" s="1"/>
  <c r="J147" i="5"/>
  <c r="L147" i="5" s="1"/>
  <c r="G137" i="5"/>
  <c r="L137" i="5" s="1"/>
  <c r="K135" i="5"/>
  <c r="K132" i="5"/>
  <c r="J136" i="5"/>
  <c r="L136" i="5" s="1"/>
  <c r="J133" i="5"/>
  <c r="L133" i="5" s="1"/>
  <c r="J126" i="5"/>
  <c r="L126" i="5" s="1"/>
  <c r="K125" i="5"/>
  <c r="G86" i="5"/>
  <c r="L86" i="5" s="1"/>
  <c r="K92" i="5"/>
  <c r="J92" i="5"/>
  <c r="L92" i="5" s="1"/>
  <c r="G91" i="5"/>
  <c r="L91" i="5" s="1"/>
  <c r="K89" i="5"/>
  <c r="J89" i="5"/>
  <c r="L89" i="5" s="1"/>
  <c r="G88" i="5"/>
  <c r="L88" i="5" s="1"/>
  <c r="K88" i="5"/>
  <c r="J87" i="5"/>
  <c r="L87" i="5" s="1"/>
  <c r="K87" i="5"/>
  <c r="J90" i="5"/>
  <c r="L90" i="5" s="1"/>
  <c r="K85" i="5"/>
  <c r="G85" i="5"/>
  <c r="L85" i="5" s="1"/>
  <c r="G84" i="5"/>
  <c r="L84" i="5" s="1"/>
  <c r="K83" i="5"/>
  <c r="J83" i="5"/>
  <c r="L83" i="5" s="1"/>
  <c r="K53" i="5"/>
  <c r="D52" i="5"/>
  <c r="I52" i="5" s="1"/>
  <c r="F51" i="5"/>
  <c r="G50" i="5"/>
  <c r="L50" i="5" s="1"/>
  <c r="G54" i="5"/>
  <c r="L54" i="5" s="1"/>
  <c r="G49" i="5"/>
  <c r="L49" i="5" s="1"/>
  <c r="G71" i="5"/>
  <c r="L71" i="5" s="1"/>
  <c r="K71" i="5"/>
  <c r="J72" i="5"/>
  <c r="L72" i="5" s="1"/>
  <c r="G77" i="5"/>
  <c r="L77" i="5" s="1"/>
  <c r="K75" i="5"/>
  <c r="J78" i="5"/>
  <c r="L78" i="5" s="1"/>
  <c r="K78" i="5"/>
  <c r="K80" i="5"/>
  <c r="J80" i="5"/>
  <c r="L80" i="5" s="1"/>
  <c r="G73" i="5"/>
  <c r="L73" i="5" s="1"/>
  <c r="J74" i="5"/>
  <c r="L74" i="5" s="1"/>
  <c r="L75" i="5"/>
  <c r="J76" i="5"/>
  <c r="L76" i="5" s="1"/>
  <c r="G79" i="5"/>
  <c r="L79" i="5" s="1"/>
  <c r="A16" i="7" l="1"/>
  <c r="K58" i="7"/>
  <c r="L58" i="7" s="1"/>
  <c r="J58" i="7"/>
  <c r="G5" i="1" s="1"/>
  <c r="D5" i="1"/>
  <c r="G58" i="7"/>
  <c r="F5" i="1" s="1"/>
  <c r="C5" i="1"/>
  <c r="K51" i="5"/>
  <c r="G51" i="5"/>
  <c r="L51" i="5" s="1"/>
  <c r="K52" i="5"/>
  <c r="J52" i="5"/>
  <c r="L52" i="5" s="1"/>
  <c r="A19" i="7" l="1"/>
  <c r="A21" i="7" s="1"/>
  <c r="A22" i="7" s="1"/>
  <c r="A24" i="7" s="1"/>
  <c r="A25" i="7" s="1"/>
  <c r="A27" i="7" s="1"/>
  <c r="A30" i="7" s="1"/>
  <c r="A32" i="7" s="1"/>
  <c r="A34" i="7" s="1"/>
  <c r="A36" i="7" s="1"/>
  <c r="A17" i="7"/>
  <c r="A38" i="7"/>
  <c r="A40" i="7" s="1"/>
  <c r="A43" i="7" s="1"/>
  <c r="A46" i="7" s="1"/>
  <c r="A48" i="7" s="1"/>
  <c r="A51" i="7" s="1"/>
  <c r="A54" i="7" s="1"/>
  <c r="A56" i="7" s="1"/>
  <c r="D67" i="5"/>
  <c r="I67" i="5" s="1"/>
  <c r="K67" i="5" s="1"/>
  <c r="F58" i="5"/>
  <c r="G58" i="5" s="1"/>
  <c r="L58" i="5" s="1"/>
  <c r="D57" i="5"/>
  <c r="I57" i="5" s="1"/>
  <c r="F56" i="5"/>
  <c r="K56" i="5" s="1"/>
  <c r="I69" i="5"/>
  <c r="K69" i="5" s="1"/>
  <c r="G68" i="5"/>
  <c r="L68" i="5" s="1"/>
  <c r="K66" i="5"/>
  <c r="I65" i="5"/>
  <c r="J65" i="5" s="1"/>
  <c r="L65" i="5" s="1"/>
  <c r="I61" i="5"/>
  <c r="I60" i="5"/>
  <c r="I59" i="5"/>
  <c r="K59" i="5" s="1"/>
  <c r="E35" i="5"/>
  <c r="F35" i="5" s="1"/>
  <c r="G35" i="5" s="1"/>
  <c r="L35" i="5" s="1"/>
  <c r="F19" i="5"/>
  <c r="K19" i="5" s="1"/>
  <c r="F39" i="5"/>
  <c r="K39" i="5" s="1"/>
  <c r="E33" i="5"/>
  <c r="F33" i="5" s="1"/>
  <c r="F32" i="5"/>
  <c r="K32" i="5" s="1"/>
  <c r="F31" i="5"/>
  <c r="G31" i="5" s="1"/>
  <c r="L31" i="5" s="1"/>
  <c r="F20" i="5"/>
  <c r="K20" i="5" s="1"/>
  <c r="E16" i="5"/>
  <c r="F16" i="5" s="1"/>
  <c r="E28" i="5"/>
  <c r="F28" i="5" s="1"/>
  <c r="F30" i="5"/>
  <c r="K30" i="5" s="1"/>
  <c r="F29" i="5"/>
  <c r="G29" i="5" s="1"/>
  <c r="L29" i="5" s="1"/>
  <c r="E27" i="5"/>
  <c r="F27" i="5" s="1"/>
  <c r="E22" i="5"/>
  <c r="F22" i="5" s="1"/>
  <c r="D22" i="5"/>
  <c r="F25" i="5"/>
  <c r="G25" i="5" s="1"/>
  <c r="L25" i="5" s="1"/>
  <c r="F24" i="5"/>
  <c r="K24" i="5" s="1"/>
  <c r="F18" i="5"/>
  <c r="K18" i="5" s="1"/>
  <c r="F17" i="5"/>
  <c r="K17" i="5" s="1"/>
  <c r="E15" i="5"/>
  <c r="F15" i="5" s="1"/>
  <c r="G15" i="5" s="1"/>
  <c r="L15" i="5" s="1"/>
  <c r="D36" i="6"/>
  <c r="I36" i="6" s="1"/>
  <c r="F35" i="6"/>
  <c r="G35" i="6" s="1"/>
  <c r="L35" i="6" s="1"/>
  <c r="I34" i="6"/>
  <c r="K34" i="6" s="1"/>
  <c r="F33" i="6"/>
  <c r="K33" i="6" s="1"/>
  <c r="I30" i="6"/>
  <c r="K30" i="6" s="1"/>
  <c r="D29" i="6"/>
  <c r="I29" i="6" s="1"/>
  <c r="E28" i="6"/>
  <c r="F28" i="6" s="1"/>
  <c r="D27" i="6"/>
  <c r="I27" i="6" s="1"/>
  <c r="F26" i="6"/>
  <c r="K26" i="6" s="1"/>
  <c r="E25" i="6"/>
  <c r="F25" i="6" s="1"/>
  <c r="F24" i="6"/>
  <c r="K24" i="6" s="1"/>
  <c r="F22" i="6"/>
  <c r="K22" i="6" s="1"/>
  <c r="F21" i="6"/>
  <c r="I20" i="6"/>
  <c r="F19" i="6"/>
  <c r="K19" i="6" s="1"/>
  <c r="F18" i="6"/>
  <c r="K18" i="6" s="1"/>
  <c r="F17" i="6"/>
  <c r="G17" i="6" s="1"/>
  <c r="L17" i="6" s="1"/>
  <c r="F13" i="6"/>
  <c r="F11" i="6"/>
  <c r="K11" i="6" s="1"/>
  <c r="E10" i="6"/>
  <c r="F10" i="6" s="1"/>
  <c r="F9" i="6"/>
  <c r="K9" i="6" s="1"/>
  <c r="A9" i="6"/>
  <c r="A10" i="6" s="1"/>
  <c r="A11" i="6" s="1"/>
  <c r="A13" i="6" s="1"/>
  <c r="A15" i="6" s="1"/>
  <c r="F8" i="6"/>
  <c r="I156" i="5"/>
  <c r="K156" i="5" s="1"/>
  <c r="L155" i="5"/>
  <c r="K155" i="5"/>
  <c r="I140" i="5"/>
  <c r="F139" i="5"/>
  <c r="I128" i="5"/>
  <c r="K128" i="5" s="1"/>
  <c r="H114" i="5"/>
  <c r="I114" i="5" s="1"/>
  <c r="K114" i="5" s="1"/>
  <c r="F113" i="5"/>
  <c r="I105" i="5"/>
  <c r="K105" i="5" s="1"/>
  <c r="F104" i="5"/>
  <c r="I98" i="5"/>
  <c r="K98" i="5" s="1"/>
  <c r="F97" i="5"/>
  <c r="K97" i="5" s="1"/>
  <c r="I95" i="5"/>
  <c r="K95" i="5" s="1"/>
  <c r="F94" i="5"/>
  <c r="F47" i="5"/>
  <c r="F46" i="5"/>
  <c r="K46" i="5" s="1"/>
  <c r="D45" i="5"/>
  <c r="I45" i="5" s="1"/>
  <c r="F44" i="5"/>
  <c r="F43" i="5"/>
  <c r="K43" i="5" s="1"/>
  <c r="F42" i="5"/>
  <c r="K42" i="5" s="1"/>
  <c r="F40" i="5"/>
  <c r="G13" i="5"/>
  <c r="L13" i="5" s="1"/>
  <c r="F11" i="5"/>
  <c r="E10" i="5"/>
  <c r="F10" i="5" s="1"/>
  <c r="F9" i="5"/>
  <c r="K9" i="5" s="1"/>
  <c r="A9" i="5"/>
  <c r="A10" i="5" s="1"/>
  <c r="A11" i="5" s="1"/>
  <c r="A13" i="5" s="1"/>
  <c r="A15" i="5" s="1"/>
  <c r="F8" i="5"/>
  <c r="H114" i="4"/>
  <c r="I114" i="4" s="1"/>
  <c r="J114" i="4" s="1"/>
  <c r="E113" i="4"/>
  <c r="F113" i="4" s="1"/>
  <c r="I112" i="4"/>
  <c r="J112" i="4" s="1"/>
  <c r="F111" i="4"/>
  <c r="G111" i="4" s="1"/>
  <c r="L111" i="4" s="1"/>
  <c r="H110" i="4"/>
  <c r="I110" i="4" s="1"/>
  <c r="E109" i="4"/>
  <c r="F109" i="4" s="1"/>
  <c r="I108" i="4"/>
  <c r="K108" i="4" s="1"/>
  <c r="F107" i="4"/>
  <c r="I106" i="4"/>
  <c r="F105" i="4"/>
  <c r="K105" i="4" s="1"/>
  <c r="H104" i="4"/>
  <c r="I104" i="4" s="1"/>
  <c r="E103" i="4"/>
  <c r="F103" i="4" s="1"/>
  <c r="H102" i="4"/>
  <c r="I102" i="4" s="1"/>
  <c r="F101" i="4"/>
  <c r="H100" i="4"/>
  <c r="I100" i="4" s="1"/>
  <c r="F99" i="4"/>
  <c r="G99" i="4" s="1"/>
  <c r="L99" i="4" s="1"/>
  <c r="I98" i="4"/>
  <c r="J98" i="4" s="1"/>
  <c r="L98" i="4" s="1"/>
  <c r="F97" i="4"/>
  <c r="I96" i="4"/>
  <c r="F95" i="4"/>
  <c r="G95" i="4" s="1"/>
  <c r="L95" i="4" s="1"/>
  <c r="I94" i="4"/>
  <c r="K94" i="4" s="1"/>
  <c r="H93" i="4"/>
  <c r="I93" i="4" s="1"/>
  <c r="F92" i="4"/>
  <c r="H91" i="4"/>
  <c r="I91" i="4" s="1"/>
  <c r="E90" i="4"/>
  <c r="F90" i="4" s="1"/>
  <c r="G90" i="4" s="1"/>
  <c r="L90" i="4" s="1"/>
  <c r="H88" i="4"/>
  <c r="I88" i="4" s="1"/>
  <c r="J88" i="4" s="1"/>
  <c r="L88" i="4" s="1"/>
  <c r="E87" i="4"/>
  <c r="F87" i="4" s="1"/>
  <c r="K87" i="4" s="1"/>
  <c r="H86" i="4"/>
  <c r="I86" i="4" s="1"/>
  <c r="J86" i="4" s="1"/>
  <c r="L86" i="4" s="1"/>
  <c r="I85" i="4"/>
  <c r="F84" i="4"/>
  <c r="K84" i="4" s="1"/>
  <c r="H83" i="4"/>
  <c r="I83" i="4" s="1"/>
  <c r="J83" i="4" s="1"/>
  <c r="L83" i="4" s="1"/>
  <c r="F82" i="4"/>
  <c r="K82" i="4" s="1"/>
  <c r="H80" i="4"/>
  <c r="I80" i="4" s="1"/>
  <c r="K80" i="4" s="1"/>
  <c r="E79" i="4"/>
  <c r="F79" i="4" s="1"/>
  <c r="K79" i="4" s="1"/>
  <c r="H78" i="4"/>
  <c r="I78" i="4" s="1"/>
  <c r="K78" i="4" s="1"/>
  <c r="F77" i="4"/>
  <c r="H76" i="4"/>
  <c r="I76" i="4" s="1"/>
  <c r="F75" i="4"/>
  <c r="G75" i="4" s="1"/>
  <c r="L75" i="4" s="1"/>
  <c r="I74" i="4"/>
  <c r="F73" i="4"/>
  <c r="K73" i="4" s="1"/>
  <c r="D72" i="4"/>
  <c r="I72" i="4" s="1"/>
  <c r="F71" i="4"/>
  <c r="G71" i="4" s="1"/>
  <c r="L71" i="4" s="1"/>
  <c r="D70" i="4"/>
  <c r="I70" i="4" s="1"/>
  <c r="K70" i="4" s="1"/>
  <c r="D69" i="4"/>
  <c r="I69" i="4" s="1"/>
  <c r="J69" i="4" s="1"/>
  <c r="L69" i="4" s="1"/>
  <c r="I68" i="4"/>
  <c r="K68" i="4" s="1"/>
  <c r="F67" i="4"/>
  <c r="I65" i="4"/>
  <c r="J65" i="4" s="1"/>
  <c r="L65" i="4" s="1"/>
  <c r="F64" i="4"/>
  <c r="G64" i="4" s="1"/>
  <c r="L64" i="4" s="1"/>
  <c r="D63" i="4"/>
  <c r="I63" i="4" s="1"/>
  <c r="F62" i="4"/>
  <c r="K62" i="4" s="1"/>
  <c r="H61" i="4"/>
  <c r="I61" i="4" s="1"/>
  <c r="K61" i="4" s="1"/>
  <c r="E60" i="4"/>
  <c r="F60" i="4" s="1"/>
  <c r="D58" i="4"/>
  <c r="I58" i="4" s="1"/>
  <c r="D57" i="4"/>
  <c r="I57" i="4" s="1"/>
  <c r="J57" i="4" s="1"/>
  <c r="L57" i="4" s="1"/>
  <c r="D56" i="4"/>
  <c r="I56" i="4" s="1"/>
  <c r="K56" i="4" s="1"/>
  <c r="F55" i="4"/>
  <c r="G55" i="4" s="1"/>
  <c r="L55" i="4" s="1"/>
  <c r="D54" i="4"/>
  <c r="I54" i="4" s="1"/>
  <c r="K54" i="4" s="1"/>
  <c r="F53" i="4"/>
  <c r="K53" i="4" s="1"/>
  <c r="L52" i="4"/>
  <c r="K52" i="4"/>
  <c r="F51" i="4"/>
  <c r="K51" i="4" s="1"/>
  <c r="F50" i="4"/>
  <c r="K50" i="4" s="1"/>
  <c r="D49" i="4"/>
  <c r="I49" i="4" s="1"/>
  <c r="F48" i="4"/>
  <c r="K48" i="4" s="1"/>
  <c r="D47" i="4"/>
  <c r="I47" i="4" s="1"/>
  <c r="F46" i="4"/>
  <c r="K46" i="4" s="1"/>
  <c r="F45" i="4"/>
  <c r="G45" i="4" s="1"/>
  <c r="L45" i="4" s="1"/>
  <c r="F44" i="4"/>
  <c r="K44" i="4" s="1"/>
  <c r="I41" i="4"/>
  <c r="K41" i="4" s="1"/>
  <c r="F40" i="4"/>
  <c r="K40" i="4" s="1"/>
  <c r="I39" i="4"/>
  <c r="K39" i="4" s="1"/>
  <c r="F38" i="4"/>
  <c r="K38" i="4" s="1"/>
  <c r="D37" i="4"/>
  <c r="I37" i="4" s="1"/>
  <c r="F36" i="4"/>
  <c r="G36" i="4" s="1"/>
  <c r="L36" i="4" s="1"/>
  <c r="I35" i="4"/>
  <c r="K35" i="4" s="1"/>
  <c r="F34" i="4"/>
  <c r="G34" i="4" s="1"/>
  <c r="L34" i="4" s="1"/>
  <c r="D33" i="4"/>
  <c r="I33" i="4" s="1"/>
  <c r="K33" i="4" s="1"/>
  <c r="F32" i="4"/>
  <c r="I31" i="4"/>
  <c r="J31" i="4" s="1"/>
  <c r="L31" i="4" s="1"/>
  <c r="D30" i="4"/>
  <c r="I30" i="4" s="1"/>
  <c r="F29" i="4"/>
  <c r="G29" i="4" s="1"/>
  <c r="L29" i="4" s="1"/>
  <c r="D28" i="4"/>
  <c r="I28" i="4" s="1"/>
  <c r="J28" i="4" s="1"/>
  <c r="L28" i="4" s="1"/>
  <c r="F27" i="4"/>
  <c r="K27" i="4" s="1"/>
  <c r="E26" i="4"/>
  <c r="F26" i="4" s="1"/>
  <c r="E25" i="4"/>
  <c r="F25" i="4" s="1"/>
  <c r="F23" i="4"/>
  <c r="F22" i="4"/>
  <c r="G22" i="4" s="1"/>
  <c r="L22" i="4" s="1"/>
  <c r="F21" i="4"/>
  <c r="K21" i="4" s="1"/>
  <c r="F20" i="4"/>
  <c r="K20" i="4" s="1"/>
  <c r="I19" i="4"/>
  <c r="J19" i="4" s="1"/>
  <c r="L19" i="4" s="1"/>
  <c r="F18" i="4"/>
  <c r="K18" i="4" s="1"/>
  <c r="D17" i="4"/>
  <c r="I17" i="4" s="1"/>
  <c r="J17" i="4" s="1"/>
  <c r="L17" i="4" s="1"/>
  <c r="F16" i="4"/>
  <c r="G16" i="4" s="1"/>
  <c r="L16" i="4" s="1"/>
  <c r="F15" i="4"/>
  <c r="K15" i="4" s="1"/>
  <c r="F14" i="4"/>
  <c r="K14" i="4" s="1"/>
  <c r="F12" i="4"/>
  <c r="F10" i="4"/>
  <c r="K10" i="4" s="1"/>
  <c r="E9" i="4"/>
  <c r="F9" i="4" s="1"/>
  <c r="K9" i="4" s="1"/>
  <c r="A9" i="4"/>
  <c r="A10" i="4" s="1"/>
  <c r="A12" i="4" s="1"/>
  <c r="A14" i="4" s="1"/>
  <c r="A15" i="4" s="1"/>
  <c r="A16" i="4" s="1"/>
  <c r="A18" i="4" s="1"/>
  <c r="A20" i="4" s="1"/>
  <c r="A21" i="4" s="1"/>
  <c r="A22" i="4" s="1"/>
  <c r="A23" i="4" s="1"/>
  <c r="A25" i="4" s="1"/>
  <c r="A26" i="4" s="1"/>
  <c r="A27" i="4" s="1"/>
  <c r="A29" i="4" s="1"/>
  <c r="A32" i="4" s="1"/>
  <c r="A34" i="4" s="1"/>
  <c r="A36" i="4" s="1"/>
  <c r="A38" i="4" s="1"/>
  <c r="A40" i="4" s="1"/>
  <c r="A44" i="4" s="1"/>
  <c r="A45" i="4" s="1"/>
  <c r="A46" i="4" s="1"/>
  <c r="A48" i="4" s="1"/>
  <c r="A50" i="4" s="1"/>
  <c r="A51" i="4" s="1"/>
  <c r="A53" i="4" s="1"/>
  <c r="A55" i="4" s="1"/>
  <c r="A60" i="4" s="1"/>
  <c r="A62" i="4" s="1"/>
  <c r="A64" i="4" s="1"/>
  <c r="A67" i="4" s="1"/>
  <c r="A71" i="4" s="1"/>
  <c r="A73" i="4" s="1"/>
  <c r="A75" i="4" s="1"/>
  <c r="A77" i="4" s="1"/>
  <c r="A79" i="4" s="1"/>
  <c r="A82" i="4" s="1"/>
  <c r="A84" i="4" s="1"/>
  <c r="A87" i="4" s="1"/>
  <c r="A90" i="4" s="1"/>
  <c r="A92" i="4" s="1"/>
  <c r="A95" i="4" s="1"/>
  <c r="A97" i="4" s="1"/>
  <c r="A99" i="4" s="1"/>
  <c r="A101" i="4" s="1"/>
  <c r="A103" i="4" s="1"/>
  <c r="A105" i="4" s="1"/>
  <c r="A107" i="4" s="1"/>
  <c r="A109" i="4" s="1"/>
  <c r="A111" i="4" s="1"/>
  <c r="A113" i="4" s="1"/>
  <c r="F8" i="4"/>
  <c r="G8" i="4" s="1"/>
  <c r="L8" i="4" s="1"/>
  <c r="I106" i="3"/>
  <c r="K106" i="3" s="1"/>
  <c r="F105" i="3"/>
  <c r="G105" i="3" s="1"/>
  <c r="L105" i="3" s="1"/>
  <c r="H103" i="3"/>
  <c r="I103" i="3" s="1"/>
  <c r="K103" i="3" s="1"/>
  <c r="F102" i="3"/>
  <c r="I101" i="3"/>
  <c r="J101" i="3" s="1"/>
  <c r="L101" i="3" s="1"/>
  <c r="F100" i="3"/>
  <c r="K100" i="3" s="1"/>
  <c r="I96" i="3"/>
  <c r="F95" i="3"/>
  <c r="K95" i="3" s="1"/>
  <c r="I89" i="3"/>
  <c r="K89" i="3" s="1"/>
  <c r="H88" i="3"/>
  <c r="I88" i="3" s="1"/>
  <c r="J88" i="3" s="1"/>
  <c r="L88" i="3" s="1"/>
  <c r="I87" i="3"/>
  <c r="I86" i="3"/>
  <c r="I85" i="3"/>
  <c r="K85" i="3" s="1"/>
  <c r="D84" i="3"/>
  <c r="F84" i="3" s="1"/>
  <c r="K84" i="3" s="1"/>
  <c r="I82" i="3"/>
  <c r="F81" i="3"/>
  <c r="G81" i="3" s="1"/>
  <c r="L81" i="3" s="1"/>
  <c r="D80" i="3"/>
  <c r="F79" i="3"/>
  <c r="K79" i="3" s="1"/>
  <c r="F78" i="3"/>
  <c r="K78" i="3" s="1"/>
  <c r="H77" i="3"/>
  <c r="I77" i="3" s="1"/>
  <c r="E76" i="3"/>
  <c r="F76" i="3" s="1"/>
  <c r="K76" i="3" s="1"/>
  <c r="I74" i="3"/>
  <c r="K74" i="3" s="1"/>
  <c r="F73" i="3"/>
  <c r="I72" i="3"/>
  <c r="K72" i="3" s="1"/>
  <c r="F71" i="3"/>
  <c r="K71" i="3" s="1"/>
  <c r="H70" i="3"/>
  <c r="I70" i="3" s="1"/>
  <c r="K70" i="3" s="1"/>
  <c r="F69" i="3"/>
  <c r="I65" i="3"/>
  <c r="K65" i="3" s="1"/>
  <c r="F64" i="3"/>
  <c r="G64" i="3" s="1"/>
  <c r="L64" i="3" s="1"/>
  <c r="I63" i="3"/>
  <c r="K63" i="3" s="1"/>
  <c r="F62" i="3"/>
  <c r="G62" i="3" s="1"/>
  <c r="L62" i="3" s="1"/>
  <c r="I60" i="3"/>
  <c r="K60" i="3" s="1"/>
  <c r="F59" i="3"/>
  <c r="G59" i="3" s="1"/>
  <c r="L59" i="3" s="1"/>
  <c r="I55" i="3"/>
  <c r="K55" i="3" s="1"/>
  <c r="F54" i="3"/>
  <c r="G54" i="3" s="1"/>
  <c r="L54" i="3" s="1"/>
  <c r="I48" i="3"/>
  <c r="J48" i="3" s="1"/>
  <c r="L48" i="3" s="1"/>
  <c r="H47" i="3"/>
  <c r="I47" i="3" s="1"/>
  <c r="I46" i="3"/>
  <c r="I45" i="3"/>
  <c r="I44" i="3"/>
  <c r="K44" i="3" s="1"/>
  <c r="D43" i="3"/>
  <c r="F43" i="3" s="1"/>
  <c r="G43" i="3" s="1"/>
  <c r="L43" i="3" s="1"/>
  <c r="D41" i="3"/>
  <c r="I41" i="3" s="1"/>
  <c r="J41" i="3" s="1"/>
  <c r="L41" i="3" s="1"/>
  <c r="F40" i="3"/>
  <c r="K40" i="3" s="1"/>
  <c r="D39" i="3"/>
  <c r="I39" i="3" s="1"/>
  <c r="F38" i="3"/>
  <c r="G38" i="3" s="1"/>
  <c r="L38" i="3" s="1"/>
  <c r="F37" i="3"/>
  <c r="K37" i="3" s="1"/>
  <c r="I36" i="3"/>
  <c r="K36" i="3" s="1"/>
  <c r="D35" i="3"/>
  <c r="I35" i="3" s="1"/>
  <c r="K35" i="3" s="1"/>
  <c r="E34" i="3"/>
  <c r="F34" i="3" s="1"/>
  <c r="D33" i="3"/>
  <c r="I33" i="3" s="1"/>
  <c r="F32" i="3"/>
  <c r="G32" i="3" s="1"/>
  <c r="L32" i="3" s="1"/>
  <c r="E31" i="3"/>
  <c r="F31" i="3" s="1"/>
  <c r="F30" i="3"/>
  <c r="K30" i="3" s="1"/>
  <c r="F28" i="3"/>
  <c r="K28" i="3" s="1"/>
  <c r="F27" i="3"/>
  <c r="G27" i="3" s="1"/>
  <c r="L27" i="3" s="1"/>
  <c r="F26" i="3"/>
  <c r="K26" i="3" s="1"/>
  <c r="D25" i="3"/>
  <c r="I25" i="3" s="1"/>
  <c r="F24" i="3"/>
  <c r="G24" i="3" s="1"/>
  <c r="L24" i="3" s="1"/>
  <c r="D23" i="3"/>
  <c r="I23" i="3" s="1"/>
  <c r="F22" i="3"/>
  <c r="K22" i="3" s="1"/>
  <c r="F21" i="3"/>
  <c r="K21" i="3" s="1"/>
  <c r="F20" i="3"/>
  <c r="G20" i="3" s="1"/>
  <c r="L20" i="3" s="1"/>
  <c r="F19" i="3"/>
  <c r="K19" i="3" s="1"/>
  <c r="F18" i="3"/>
  <c r="F17" i="3"/>
  <c r="G17" i="3" s="1"/>
  <c r="L17" i="3" s="1"/>
  <c r="D16" i="3"/>
  <c r="I16" i="3" s="1"/>
  <c r="F15" i="3"/>
  <c r="K15" i="3" s="1"/>
  <c r="D14" i="3"/>
  <c r="I14" i="3" s="1"/>
  <c r="K14" i="3" s="1"/>
  <c r="F13" i="3"/>
  <c r="K13" i="3" s="1"/>
  <c r="F12" i="3"/>
  <c r="F11" i="3"/>
  <c r="G11" i="3" s="1"/>
  <c r="L11" i="3" s="1"/>
  <c r="F9" i="3"/>
  <c r="A9" i="3"/>
  <c r="A11" i="3" s="1"/>
  <c r="A12" i="3" s="1"/>
  <c r="A13" i="3" s="1"/>
  <c r="A15" i="3" s="1"/>
  <c r="A17" i="3" s="1"/>
  <c r="A18" i="3" s="1"/>
  <c r="A19" i="3" s="1"/>
  <c r="A20" i="3" s="1"/>
  <c r="A21" i="3" s="1"/>
  <c r="A22" i="3" s="1"/>
  <c r="A24" i="3" s="1"/>
  <c r="A26" i="3" s="1"/>
  <c r="A27" i="3" s="1"/>
  <c r="A28" i="3" s="1"/>
  <c r="A30" i="3" s="1"/>
  <c r="A31" i="3" s="1"/>
  <c r="A32" i="3" s="1"/>
  <c r="A34" i="3" s="1"/>
  <c r="A37" i="3" s="1"/>
  <c r="A38" i="3" s="1"/>
  <c r="A40" i="3" s="1"/>
  <c r="A43" i="3" s="1"/>
  <c r="F8" i="3"/>
  <c r="I94" i="2"/>
  <c r="K94" i="2" s="1"/>
  <c r="I93" i="2"/>
  <c r="J93" i="2" s="1"/>
  <c r="F93" i="2"/>
  <c r="K93" i="2" s="1"/>
  <c r="I92" i="2"/>
  <c r="F91" i="2"/>
  <c r="K91" i="2" s="1"/>
  <c r="I90" i="2"/>
  <c r="F89" i="2"/>
  <c r="G89" i="2" s="1"/>
  <c r="L89" i="2" s="1"/>
  <c r="H88" i="2"/>
  <c r="I88" i="2" s="1"/>
  <c r="E87" i="2"/>
  <c r="F87" i="2" s="1"/>
  <c r="G87" i="2" s="1"/>
  <c r="L87" i="2" s="1"/>
  <c r="D86" i="2"/>
  <c r="I86" i="2" s="1"/>
  <c r="J86" i="2" s="1"/>
  <c r="L86" i="2" s="1"/>
  <c r="F85" i="2"/>
  <c r="K85" i="2" s="1"/>
  <c r="F84" i="2"/>
  <c r="G84" i="2" s="1"/>
  <c r="I83" i="2"/>
  <c r="J83" i="2" s="1"/>
  <c r="L83" i="2" s="1"/>
  <c r="F82" i="2"/>
  <c r="I81" i="2"/>
  <c r="J81" i="2" s="1"/>
  <c r="L81" i="2" s="1"/>
  <c r="F80" i="2"/>
  <c r="H79" i="2"/>
  <c r="I79" i="2" s="1"/>
  <c r="J79" i="2" s="1"/>
  <c r="L79" i="2" s="1"/>
  <c r="E78" i="2"/>
  <c r="F78" i="2" s="1"/>
  <c r="K78" i="2" s="1"/>
  <c r="E77" i="2"/>
  <c r="F77" i="2" s="1"/>
  <c r="K77" i="2" s="1"/>
  <c r="H76" i="2"/>
  <c r="D76" i="2"/>
  <c r="F75" i="2"/>
  <c r="K75" i="2" s="1"/>
  <c r="H74" i="2"/>
  <c r="D74" i="2"/>
  <c r="F73" i="2"/>
  <c r="H71" i="2"/>
  <c r="I71" i="2" s="1"/>
  <c r="J71" i="2" s="1"/>
  <c r="L71" i="2" s="1"/>
  <c r="E70" i="2"/>
  <c r="F70" i="2" s="1"/>
  <c r="K70" i="2" s="1"/>
  <c r="H69" i="2"/>
  <c r="I69" i="2" s="1"/>
  <c r="J69" i="2" s="1"/>
  <c r="L69" i="2" s="1"/>
  <c r="F68" i="2"/>
  <c r="K68" i="2" s="1"/>
  <c r="H67" i="2"/>
  <c r="I67" i="2" s="1"/>
  <c r="E66" i="2"/>
  <c r="F66" i="2" s="1"/>
  <c r="H65" i="2"/>
  <c r="I65" i="2" s="1"/>
  <c r="E64" i="2"/>
  <c r="F64" i="2" s="1"/>
  <c r="G64" i="2" s="1"/>
  <c r="L64" i="2" s="1"/>
  <c r="H63" i="2"/>
  <c r="I63" i="2" s="1"/>
  <c r="J63" i="2" s="1"/>
  <c r="L63" i="2" s="1"/>
  <c r="E62" i="2"/>
  <c r="F62" i="2" s="1"/>
  <c r="K62" i="2" s="1"/>
  <c r="I49" i="2"/>
  <c r="K49" i="2" s="1"/>
  <c r="F48" i="2"/>
  <c r="K48" i="2" s="1"/>
  <c r="H47" i="2"/>
  <c r="I47" i="2" s="1"/>
  <c r="K47" i="2" s="1"/>
  <c r="E46" i="2"/>
  <c r="F46" i="2" s="1"/>
  <c r="D45" i="2"/>
  <c r="I45" i="2" s="1"/>
  <c r="K45" i="2" s="1"/>
  <c r="F44" i="2"/>
  <c r="G44" i="2" s="1"/>
  <c r="L44" i="2" s="1"/>
  <c r="D42" i="2"/>
  <c r="I42" i="2" s="1"/>
  <c r="F41" i="2"/>
  <c r="K41" i="2" s="1"/>
  <c r="I40" i="2"/>
  <c r="K40" i="2" s="1"/>
  <c r="I39" i="2"/>
  <c r="K39" i="2" s="1"/>
  <c r="F38" i="2"/>
  <c r="K38" i="2" s="1"/>
  <c r="D37" i="2"/>
  <c r="I37" i="2" s="1"/>
  <c r="K37" i="2" s="1"/>
  <c r="F36" i="2"/>
  <c r="K36" i="2" s="1"/>
  <c r="D32" i="2"/>
  <c r="I32" i="2" s="1"/>
  <c r="F31" i="2"/>
  <c r="K31" i="2" s="1"/>
  <c r="F29" i="2"/>
  <c r="F28" i="2"/>
  <c r="K28" i="2" s="1"/>
  <c r="D27" i="2"/>
  <c r="I27" i="2" s="1"/>
  <c r="F26" i="2"/>
  <c r="K26" i="2" s="1"/>
  <c r="D25" i="2"/>
  <c r="I25" i="2" s="1"/>
  <c r="F24" i="2"/>
  <c r="K24" i="2" s="1"/>
  <c r="F23" i="2"/>
  <c r="F22" i="2"/>
  <c r="G22" i="2" s="1"/>
  <c r="L22" i="2" s="1"/>
  <c r="I20" i="2"/>
  <c r="K20" i="2" s="1"/>
  <c r="F19" i="2"/>
  <c r="G19" i="2" s="1"/>
  <c r="L19" i="2" s="1"/>
  <c r="I18" i="2"/>
  <c r="K18" i="2" s="1"/>
  <c r="F17" i="2"/>
  <c r="D16" i="2"/>
  <c r="I16" i="2" s="1"/>
  <c r="K16" i="2" s="1"/>
  <c r="F15" i="2"/>
  <c r="D14" i="2"/>
  <c r="I14" i="2" s="1"/>
  <c r="K14" i="2" s="1"/>
  <c r="D13" i="2"/>
  <c r="F13" i="2" s="1"/>
  <c r="G13" i="2" s="1"/>
  <c r="L13" i="2" s="1"/>
  <c r="F11" i="2"/>
  <c r="G11" i="2" s="1"/>
  <c r="L11" i="2" s="1"/>
  <c r="F10" i="2"/>
  <c r="G10" i="2" s="1"/>
  <c r="L10" i="2" s="1"/>
  <c r="E9" i="2"/>
  <c r="F9" i="2" s="1"/>
  <c r="G9" i="2" s="1"/>
  <c r="L9" i="2" s="1"/>
  <c r="A9" i="2"/>
  <c r="A10" i="2" s="1"/>
  <c r="A11" i="2" s="1"/>
  <c r="A13" i="2" s="1"/>
  <c r="A15" i="2" s="1"/>
  <c r="A17" i="2" s="1"/>
  <c r="A19" i="2" s="1"/>
  <c r="A22" i="2" s="1"/>
  <c r="A23" i="2" s="1"/>
  <c r="A24" i="2" s="1"/>
  <c r="A26" i="2" s="1"/>
  <c r="A28" i="2" s="1"/>
  <c r="A29" i="2" s="1"/>
  <c r="A31" i="2" s="1"/>
  <c r="F8" i="2"/>
  <c r="A8" i="1"/>
  <c r="A9" i="1" s="1"/>
  <c r="A17" i="6" l="1"/>
  <c r="A18" i="6" s="1"/>
  <c r="A19" i="6" s="1"/>
  <c r="A21" i="6" s="1"/>
  <c r="A22" i="6" s="1"/>
  <c r="A24" i="6" s="1"/>
  <c r="A25" i="6" s="1"/>
  <c r="A26" i="6" s="1"/>
  <c r="A28" i="6" s="1"/>
  <c r="K81" i="2"/>
  <c r="A33" i="2"/>
  <c r="A34" i="2" s="1"/>
  <c r="A35" i="2" s="1"/>
  <c r="A36" i="2" s="1"/>
  <c r="A38" i="2" s="1"/>
  <c r="K19" i="2"/>
  <c r="G20" i="4"/>
  <c r="L20" i="4" s="1"/>
  <c r="K13" i="2"/>
  <c r="G41" i="2"/>
  <c r="L41" i="2" s="1"/>
  <c r="G48" i="2"/>
  <c r="L48" i="2" s="1"/>
  <c r="I76" i="2"/>
  <c r="K76" i="2" s="1"/>
  <c r="G87" i="4"/>
  <c r="L87" i="4" s="1"/>
  <c r="K22" i="2"/>
  <c r="G51" i="4"/>
  <c r="L51" i="4" s="1"/>
  <c r="K63" i="2"/>
  <c r="G38" i="4"/>
  <c r="L38" i="4" s="1"/>
  <c r="K10" i="2"/>
  <c r="J40" i="2"/>
  <c r="L40" i="2" s="1"/>
  <c r="J49" i="2"/>
  <c r="L49" i="2" s="1"/>
  <c r="G75" i="2"/>
  <c r="L75" i="2" s="1"/>
  <c r="K90" i="4"/>
  <c r="I74" i="2"/>
  <c r="J74" i="2" s="1"/>
  <c r="L74" i="2" s="1"/>
  <c r="G26" i="2"/>
  <c r="L26" i="2" s="1"/>
  <c r="G93" i="2"/>
  <c r="L93" i="2" s="1"/>
  <c r="J35" i="4"/>
  <c r="L35" i="4" s="1"/>
  <c r="J70" i="4"/>
  <c r="L70" i="4" s="1"/>
  <c r="K71" i="2"/>
  <c r="J33" i="4"/>
  <c r="L33" i="4" s="1"/>
  <c r="G62" i="4"/>
  <c r="L62" i="4" s="1"/>
  <c r="K95" i="4"/>
  <c r="G105" i="4"/>
  <c r="L105" i="4" s="1"/>
  <c r="K44" i="2"/>
  <c r="K64" i="4"/>
  <c r="K83" i="2"/>
  <c r="G44" i="4"/>
  <c r="L44" i="4" s="1"/>
  <c r="G48" i="4"/>
  <c r="L48" i="4" s="1"/>
  <c r="G24" i="2"/>
  <c r="L24" i="2" s="1"/>
  <c r="J37" i="2"/>
  <c r="L37" i="2" s="1"/>
  <c r="G40" i="4"/>
  <c r="L40" i="4" s="1"/>
  <c r="G50" i="4"/>
  <c r="L50" i="4" s="1"/>
  <c r="G53" i="4"/>
  <c r="L53" i="4" s="1"/>
  <c r="G82" i="4"/>
  <c r="L82" i="4" s="1"/>
  <c r="K111" i="4"/>
  <c r="G10" i="4"/>
  <c r="L10" i="4" s="1"/>
  <c r="J20" i="2"/>
  <c r="L20" i="2" s="1"/>
  <c r="K27" i="2"/>
  <c r="J27" i="2"/>
  <c r="L27" i="2" s="1"/>
  <c r="K76" i="4"/>
  <c r="J76" i="4"/>
  <c r="L76" i="4" s="1"/>
  <c r="G109" i="4"/>
  <c r="L109" i="4" s="1"/>
  <c r="K109" i="4"/>
  <c r="K104" i="4"/>
  <c r="J104" i="4"/>
  <c r="L104" i="4" s="1"/>
  <c r="G15" i="4"/>
  <c r="L15" i="4" s="1"/>
  <c r="J41" i="4"/>
  <c r="L41" i="4" s="1"/>
  <c r="J54" i="4"/>
  <c r="L54" i="4" s="1"/>
  <c r="J68" i="4"/>
  <c r="L68" i="4" s="1"/>
  <c r="K86" i="4"/>
  <c r="F95" i="2"/>
  <c r="C8" i="1" s="1"/>
  <c r="G8" i="2"/>
  <c r="L8" i="2" s="1"/>
  <c r="J18" i="2"/>
  <c r="L18" i="2" s="1"/>
  <c r="K11" i="2"/>
  <c r="G31" i="2"/>
  <c r="L31" i="2" s="1"/>
  <c r="G38" i="2"/>
  <c r="L38" i="2" s="1"/>
  <c r="K89" i="2"/>
  <c r="G62" i="2"/>
  <c r="L62" i="2" s="1"/>
  <c r="G70" i="2"/>
  <c r="L70" i="2" s="1"/>
  <c r="G85" i="2"/>
  <c r="L85" i="2" s="1"/>
  <c r="K55" i="4"/>
  <c r="K71" i="4"/>
  <c r="K75" i="4"/>
  <c r="G79" i="4"/>
  <c r="L79" i="4" s="1"/>
  <c r="K83" i="4"/>
  <c r="K69" i="2"/>
  <c r="J94" i="2"/>
  <c r="L94" i="2" s="1"/>
  <c r="K16" i="4"/>
  <c r="K98" i="4"/>
  <c r="K9" i="2"/>
  <c r="J16" i="2"/>
  <c r="L16" i="2" s="1"/>
  <c r="G28" i="2"/>
  <c r="L28" i="2" s="1"/>
  <c r="G36" i="2"/>
  <c r="L36" i="2" s="1"/>
  <c r="G91" i="2"/>
  <c r="L91" i="2" s="1"/>
  <c r="K36" i="4"/>
  <c r="K69" i="4"/>
  <c r="K8" i="3"/>
  <c r="F108" i="3"/>
  <c r="C9" i="1" s="1"/>
  <c r="L112" i="4"/>
  <c r="A49" i="3"/>
  <c r="A51" i="3" s="1"/>
  <c r="A54" i="3" s="1"/>
  <c r="A59" i="3" s="1"/>
  <c r="A62" i="3" s="1"/>
  <c r="A64" i="3" s="1"/>
  <c r="A69" i="3" s="1"/>
  <c r="A71" i="3" s="1"/>
  <c r="A73" i="3" s="1"/>
  <c r="A76" i="3" s="1"/>
  <c r="A78" i="3" s="1"/>
  <c r="A79" i="3" s="1"/>
  <c r="A81" i="3" s="1"/>
  <c r="A84" i="3" s="1"/>
  <c r="A90" i="3" s="1"/>
  <c r="A92" i="3" s="1"/>
  <c r="A95" i="3" s="1"/>
  <c r="A100" i="3" s="1"/>
  <c r="A102" i="3" s="1"/>
  <c r="A105" i="3" s="1"/>
  <c r="K29" i="4"/>
  <c r="K57" i="4"/>
  <c r="G73" i="4"/>
  <c r="L73" i="4" s="1"/>
  <c r="K99" i="4"/>
  <c r="K31" i="4"/>
  <c r="K28" i="4"/>
  <c r="J108" i="4"/>
  <c r="L108" i="4" s="1"/>
  <c r="K86" i="2"/>
  <c r="A10" i="1"/>
  <c r="A11" i="1" s="1"/>
  <c r="A12" i="1" s="1"/>
  <c r="A13" i="1" s="1"/>
  <c r="J35" i="3"/>
  <c r="L35" i="3" s="1"/>
  <c r="K48" i="3"/>
  <c r="J72" i="3"/>
  <c r="L72" i="3" s="1"/>
  <c r="G78" i="3"/>
  <c r="L78" i="3" s="1"/>
  <c r="K59" i="3"/>
  <c r="J89" i="3"/>
  <c r="L89" i="3" s="1"/>
  <c r="K17" i="3"/>
  <c r="G22" i="3"/>
  <c r="L22" i="3" s="1"/>
  <c r="J55" i="3"/>
  <c r="L55" i="3" s="1"/>
  <c r="K64" i="3"/>
  <c r="K81" i="3"/>
  <c r="J65" i="3"/>
  <c r="L65" i="3" s="1"/>
  <c r="G30" i="3"/>
  <c r="L30" i="3" s="1"/>
  <c r="G37" i="3"/>
  <c r="L37" i="3" s="1"/>
  <c r="K62" i="3"/>
  <c r="I80" i="3"/>
  <c r="K80" i="3" s="1"/>
  <c r="G95" i="3"/>
  <c r="L95" i="3" s="1"/>
  <c r="G26" i="3"/>
  <c r="L26" i="3" s="1"/>
  <c r="K38" i="3"/>
  <c r="K43" i="3"/>
  <c r="K32" i="3"/>
  <c r="G40" i="3"/>
  <c r="L40" i="3" s="1"/>
  <c r="J63" i="3"/>
  <c r="L63" i="3" s="1"/>
  <c r="G71" i="3"/>
  <c r="L71" i="3" s="1"/>
  <c r="K11" i="3"/>
  <c r="K24" i="3"/>
  <c r="K27" i="3"/>
  <c r="K54" i="3"/>
  <c r="J60" i="3"/>
  <c r="L60" i="3" s="1"/>
  <c r="K88" i="3"/>
  <c r="K101" i="3"/>
  <c r="J106" i="3"/>
  <c r="L106" i="3" s="1"/>
  <c r="J70" i="3"/>
  <c r="L70" i="3" s="1"/>
  <c r="G8" i="3"/>
  <c r="L8" i="3" s="1"/>
  <c r="G19" i="3"/>
  <c r="L19" i="3" s="1"/>
  <c r="K20" i="3"/>
  <c r="G13" i="3"/>
  <c r="L13" i="3" s="1"/>
  <c r="G21" i="4"/>
  <c r="L21" i="4" s="1"/>
  <c r="K19" i="4"/>
  <c r="G18" i="4"/>
  <c r="L18" i="4" s="1"/>
  <c r="J34" i="6"/>
  <c r="L34" i="6" s="1"/>
  <c r="K35" i="6"/>
  <c r="G22" i="6"/>
  <c r="L22" i="6" s="1"/>
  <c r="K17" i="6"/>
  <c r="K68" i="5"/>
  <c r="I64" i="5"/>
  <c r="J64" i="5" s="1"/>
  <c r="J67" i="5"/>
  <c r="L67" i="5" s="1"/>
  <c r="K58" i="5"/>
  <c r="K65" i="5"/>
  <c r="K57" i="5"/>
  <c r="J57" i="5"/>
  <c r="L57" i="5" s="1"/>
  <c r="G56" i="5"/>
  <c r="L56" i="5" s="1"/>
  <c r="K61" i="5"/>
  <c r="J61" i="5"/>
  <c r="L61" i="5" s="1"/>
  <c r="K60" i="5"/>
  <c r="J60" i="5"/>
  <c r="L60" i="5" s="1"/>
  <c r="G66" i="5"/>
  <c r="L66" i="5" s="1"/>
  <c r="A16" i="5"/>
  <c r="A17" i="5" s="1"/>
  <c r="A18" i="5" s="1"/>
  <c r="A19" i="5" s="1"/>
  <c r="A20" i="5" s="1"/>
  <c r="A22" i="5" s="1"/>
  <c r="A27" i="5" s="1"/>
  <c r="A28" i="5" s="1"/>
  <c r="A29" i="5" s="1"/>
  <c r="A30" i="5" s="1"/>
  <c r="A31" i="5" s="1"/>
  <c r="A32" i="5" s="1"/>
  <c r="A33" i="5" s="1"/>
  <c r="A35" i="5" s="1"/>
  <c r="A39" i="5" s="1"/>
  <c r="A42" i="5" s="1"/>
  <c r="J69" i="5"/>
  <c r="L69" i="5" s="1"/>
  <c r="J59" i="5"/>
  <c r="L59" i="5" s="1"/>
  <c r="K35" i="5"/>
  <c r="G19" i="5"/>
  <c r="L19" i="5" s="1"/>
  <c r="G39" i="5"/>
  <c r="L39" i="5" s="1"/>
  <c r="K33" i="5"/>
  <c r="G33" i="5"/>
  <c r="L33" i="5" s="1"/>
  <c r="K31" i="5"/>
  <c r="G32" i="5"/>
  <c r="L32" i="5" s="1"/>
  <c r="G20" i="5"/>
  <c r="L20" i="5" s="1"/>
  <c r="K16" i="5"/>
  <c r="G16" i="5"/>
  <c r="L16" i="5" s="1"/>
  <c r="K29" i="5"/>
  <c r="G30" i="5"/>
  <c r="L30" i="5" s="1"/>
  <c r="K28" i="5"/>
  <c r="G28" i="5"/>
  <c r="L28" i="5" s="1"/>
  <c r="K27" i="5"/>
  <c r="G27" i="5"/>
  <c r="L27" i="5" s="1"/>
  <c r="J105" i="5"/>
  <c r="L105" i="5" s="1"/>
  <c r="J128" i="5"/>
  <c r="L128" i="5" s="1"/>
  <c r="K25" i="5"/>
  <c r="K13" i="5"/>
  <c r="K22" i="5"/>
  <c r="G22" i="5"/>
  <c r="L22" i="5" s="1"/>
  <c r="G24" i="5"/>
  <c r="L24" i="5" s="1"/>
  <c r="G18" i="5"/>
  <c r="L18" i="5" s="1"/>
  <c r="G17" i="5"/>
  <c r="L17" i="5" s="1"/>
  <c r="K15" i="5"/>
  <c r="K140" i="5"/>
  <c r="J140" i="5"/>
  <c r="L140" i="5" s="1"/>
  <c r="J95" i="5"/>
  <c r="L95" i="5" s="1"/>
  <c r="J156" i="5"/>
  <c r="L156" i="5" s="1"/>
  <c r="J98" i="5"/>
  <c r="L98" i="5" s="1"/>
  <c r="G42" i="5"/>
  <c r="L42" i="5" s="1"/>
  <c r="G97" i="5"/>
  <c r="L97" i="5" s="1"/>
  <c r="K17" i="2"/>
  <c r="G17" i="2"/>
  <c r="L17" i="2" s="1"/>
  <c r="K65" i="2"/>
  <c r="J65" i="2"/>
  <c r="L65" i="2" s="1"/>
  <c r="K32" i="2"/>
  <c r="J32" i="2"/>
  <c r="L32" i="2" s="1"/>
  <c r="K66" i="2"/>
  <c r="G66" i="2"/>
  <c r="L66" i="2" s="1"/>
  <c r="K25" i="2"/>
  <c r="J25" i="2"/>
  <c r="L25" i="2" s="1"/>
  <c r="J67" i="2"/>
  <c r="L67" i="2" s="1"/>
  <c r="K67" i="2"/>
  <c r="J42" i="2"/>
  <c r="L42" i="2" s="1"/>
  <c r="K42" i="2"/>
  <c r="K82" i="2"/>
  <c r="G82" i="2"/>
  <c r="L82" i="2" s="1"/>
  <c r="K8" i="2"/>
  <c r="J45" i="2"/>
  <c r="L45" i="2" s="1"/>
  <c r="J47" i="2"/>
  <c r="L47" i="2" s="1"/>
  <c r="K73" i="2"/>
  <c r="G73" i="2"/>
  <c r="L73" i="2" s="1"/>
  <c r="K79" i="2"/>
  <c r="K88" i="2"/>
  <c r="J88" i="2"/>
  <c r="L88" i="2" s="1"/>
  <c r="K16" i="3"/>
  <c r="J16" i="3"/>
  <c r="L16" i="3" s="1"/>
  <c r="K33" i="3"/>
  <c r="J33" i="3"/>
  <c r="L33" i="3" s="1"/>
  <c r="K41" i="3"/>
  <c r="K45" i="3"/>
  <c r="J45" i="3"/>
  <c r="L45" i="3" s="1"/>
  <c r="G84" i="3"/>
  <c r="L84" i="3" s="1"/>
  <c r="G23" i="4"/>
  <c r="L23" i="4" s="1"/>
  <c r="K23" i="4"/>
  <c r="K30" i="4"/>
  <c r="J30" i="4"/>
  <c r="L30" i="4" s="1"/>
  <c r="G60" i="4"/>
  <c r="L60" i="4" s="1"/>
  <c r="K60" i="4"/>
  <c r="K12" i="3"/>
  <c r="G12" i="3"/>
  <c r="L12" i="3" s="1"/>
  <c r="K73" i="3"/>
  <c r="G73" i="3"/>
  <c r="L73" i="3" s="1"/>
  <c r="K87" i="3"/>
  <c r="J87" i="3"/>
  <c r="L87" i="3" s="1"/>
  <c r="G12" i="4"/>
  <c r="L12" i="4" s="1"/>
  <c r="K12" i="4"/>
  <c r="J14" i="2"/>
  <c r="L14" i="2" s="1"/>
  <c r="K23" i="2"/>
  <c r="G23" i="2"/>
  <c r="L23" i="2" s="1"/>
  <c r="K29" i="2"/>
  <c r="G29" i="2"/>
  <c r="L29" i="2" s="1"/>
  <c r="J39" i="2"/>
  <c r="L39" i="2" s="1"/>
  <c r="K64" i="2"/>
  <c r="G68" i="2"/>
  <c r="L68" i="2" s="1"/>
  <c r="G77" i="2"/>
  <c r="L77" i="2" s="1"/>
  <c r="K80" i="2"/>
  <c r="G80" i="2"/>
  <c r="L80" i="2" s="1"/>
  <c r="K9" i="3"/>
  <c r="G9" i="3"/>
  <c r="L9" i="3" s="1"/>
  <c r="K31" i="3"/>
  <c r="G31" i="3"/>
  <c r="L31" i="3" s="1"/>
  <c r="K46" i="3"/>
  <c r="J46" i="3"/>
  <c r="L46" i="3" s="1"/>
  <c r="J74" i="4"/>
  <c r="L74" i="4" s="1"/>
  <c r="K74" i="4"/>
  <c r="K90" i="2"/>
  <c r="J90" i="2"/>
  <c r="L90" i="2" s="1"/>
  <c r="J96" i="3"/>
  <c r="L96" i="3" s="1"/>
  <c r="K96" i="3"/>
  <c r="K47" i="4"/>
  <c r="J47" i="4"/>
  <c r="L47" i="4" s="1"/>
  <c r="K46" i="2"/>
  <c r="G46" i="2"/>
  <c r="L46" i="2" s="1"/>
  <c r="J14" i="3"/>
  <c r="L14" i="3" s="1"/>
  <c r="K25" i="3"/>
  <c r="J25" i="3"/>
  <c r="L25" i="3" s="1"/>
  <c r="K34" i="3"/>
  <c r="G34" i="3"/>
  <c r="L34" i="3" s="1"/>
  <c r="K39" i="3"/>
  <c r="J39" i="3"/>
  <c r="L39" i="3" s="1"/>
  <c r="K69" i="3"/>
  <c r="G69" i="3"/>
  <c r="L69" i="3" s="1"/>
  <c r="G25" i="4"/>
  <c r="L25" i="4" s="1"/>
  <c r="K25" i="4"/>
  <c r="J63" i="4"/>
  <c r="L63" i="4" s="1"/>
  <c r="K63" i="4"/>
  <c r="K15" i="2"/>
  <c r="G15" i="2"/>
  <c r="L15" i="2" s="1"/>
  <c r="K92" i="2"/>
  <c r="J92" i="2"/>
  <c r="L92" i="2" s="1"/>
  <c r="K23" i="3"/>
  <c r="J23" i="3"/>
  <c r="L23" i="3" s="1"/>
  <c r="K47" i="3"/>
  <c r="J47" i="3"/>
  <c r="L47" i="3" s="1"/>
  <c r="K86" i="3"/>
  <c r="J86" i="3"/>
  <c r="L86" i="3" s="1"/>
  <c r="G26" i="4"/>
  <c r="L26" i="4" s="1"/>
  <c r="K26" i="4"/>
  <c r="K32" i="4"/>
  <c r="G32" i="4"/>
  <c r="L32" i="4" s="1"/>
  <c r="J49" i="4"/>
  <c r="L49" i="4" s="1"/>
  <c r="K49" i="4"/>
  <c r="G78" i="2"/>
  <c r="L78" i="2" s="1"/>
  <c r="K87" i="2"/>
  <c r="K18" i="3"/>
  <c r="G18" i="3"/>
  <c r="L18" i="3" s="1"/>
  <c r="K77" i="3"/>
  <c r="J77" i="3"/>
  <c r="L77" i="3" s="1"/>
  <c r="K82" i="3"/>
  <c r="J82" i="3"/>
  <c r="L82" i="3" s="1"/>
  <c r="K102" i="3"/>
  <c r="G102" i="3"/>
  <c r="L102" i="3" s="1"/>
  <c r="K37" i="4"/>
  <c r="J37" i="4"/>
  <c r="L37" i="4" s="1"/>
  <c r="J58" i="4"/>
  <c r="L58" i="4" s="1"/>
  <c r="K58" i="4"/>
  <c r="K91" i="4"/>
  <c r="J91" i="4"/>
  <c r="L91" i="4" s="1"/>
  <c r="K103" i="4"/>
  <c r="G103" i="4"/>
  <c r="L103" i="4" s="1"/>
  <c r="K92" i="4"/>
  <c r="G92" i="4"/>
  <c r="L92" i="4" s="1"/>
  <c r="K105" i="3"/>
  <c r="G27" i="4"/>
  <c r="L27" i="4" s="1"/>
  <c r="K34" i="4"/>
  <c r="J39" i="4"/>
  <c r="L39" i="4" s="1"/>
  <c r="G46" i="4"/>
  <c r="L46" i="4" s="1"/>
  <c r="J56" i="4"/>
  <c r="L56" i="4" s="1"/>
  <c r="K65" i="4"/>
  <c r="K72" i="4"/>
  <c r="J72" i="4"/>
  <c r="L72" i="4" s="1"/>
  <c r="K85" i="4"/>
  <c r="J85" i="4"/>
  <c r="L85" i="4" s="1"/>
  <c r="K93" i="4"/>
  <c r="J93" i="4"/>
  <c r="L93" i="4" s="1"/>
  <c r="I115" i="4"/>
  <c r="D7" i="1" s="1"/>
  <c r="K17" i="4"/>
  <c r="K77" i="4"/>
  <c r="G77" i="4"/>
  <c r="L77" i="4" s="1"/>
  <c r="K97" i="4"/>
  <c r="G97" i="4"/>
  <c r="L97" i="4" s="1"/>
  <c r="K100" i="4"/>
  <c r="J100" i="4"/>
  <c r="L100" i="4" s="1"/>
  <c r="G15" i="3"/>
  <c r="L15" i="3" s="1"/>
  <c r="G21" i="3"/>
  <c r="L21" i="3" s="1"/>
  <c r="G28" i="3"/>
  <c r="L28" i="3" s="1"/>
  <c r="J36" i="3"/>
  <c r="L36" i="3" s="1"/>
  <c r="J44" i="3"/>
  <c r="L44" i="3" s="1"/>
  <c r="J74" i="3"/>
  <c r="L74" i="3" s="1"/>
  <c r="G76" i="3"/>
  <c r="L76" i="3" s="1"/>
  <c r="G79" i="3"/>
  <c r="L79" i="3" s="1"/>
  <c r="J85" i="3"/>
  <c r="L85" i="3" s="1"/>
  <c r="J103" i="3"/>
  <c r="L103" i="3" s="1"/>
  <c r="G14" i="4"/>
  <c r="L14" i="4" s="1"/>
  <c r="K67" i="4"/>
  <c r="G67" i="4"/>
  <c r="L67" i="4" s="1"/>
  <c r="K101" i="4"/>
  <c r="G101" i="4"/>
  <c r="L101" i="4" s="1"/>
  <c r="K110" i="4"/>
  <c r="J110" i="4"/>
  <c r="L110" i="4" s="1"/>
  <c r="G100" i="3"/>
  <c r="L100" i="3" s="1"/>
  <c r="F115" i="4"/>
  <c r="C7" i="1" s="1"/>
  <c r="K8" i="4"/>
  <c r="G9" i="4"/>
  <c r="L9" i="4" s="1"/>
  <c r="K22" i="4"/>
  <c r="K45" i="4"/>
  <c r="J61" i="4"/>
  <c r="L61" i="4" s="1"/>
  <c r="J78" i="4"/>
  <c r="L78" i="4" s="1"/>
  <c r="K102" i="4"/>
  <c r="J102" i="4"/>
  <c r="L102" i="4" s="1"/>
  <c r="K113" i="4"/>
  <c r="G113" i="4"/>
  <c r="L113" i="4" s="1"/>
  <c r="G44" i="5"/>
  <c r="L44" i="5" s="1"/>
  <c r="K44" i="5"/>
  <c r="K106" i="4"/>
  <c r="J106" i="4"/>
  <c r="L106" i="4" s="1"/>
  <c r="K40" i="5"/>
  <c r="G40" i="5"/>
  <c r="L40" i="5" s="1"/>
  <c r="K45" i="5"/>
  <c r="J45" i="5"/>
  <c r="L45" i="5" s="1"/>
  <c r="K20" i="6"/>
  <c r="J20" i="6"/>
  <c r="L20" i="6" s="1"/>
  <c r="I37" i="6"/>
  <c r="D4" i="1" s="1"/>
  <c r="J80" i="4"/>
  <c r="L80" i="4" s="1"/>
  <c r="K88" i="4"/>
  <c r="J94" i="4"/>
  <c r="L94" i="4" s="1"/>
  <c r="K36" i="6"/>
  <c r="J36" i="6"/>
  <c r="L36" i="6" s="1"/>
  <c r="K96" i="4"/>
  <c r="J96" i="4"/>
  <c r="L96" i="4" s="1"/>
  <c r="K112" i="4"/>
  <c r="L114" i="4"/>
  <c r="K107" i="4"/>
  <c r="G107" i="4"/>
  <c r="L107" i="4" s="1"/>
  <c r="K10" i="5"/>
  <c r="G10" i="5"/>
  <c r="L10" i="5" s="1"/>
  <c r="K47" i="5"/>
  <c r="G47" i="5"/>
  <c r="L47" i="5" s="1"/>
  <c r="G84" i="4"/>
  <c r="L84" i="4" s="1"/>
  <c r="K114" i="4"/>
  <c r="K11" i="5"/>
  <c r="G11" i="5"/>
  <c r="L11" i="5" s="1"/>
  <c r="K29" i="6"/>
  <c r="J29" i="6"/>
  <c r="L29" i="6" s="1"/>
  <c r="K127" i="5"/>
  <c r="L127" i="5"/>
  <c r="K13" i="6"/>
  <c r="G13" i="6"/>
  <c r="L13" i="6" s="1"/>
  <c r="K21" i="6"/>
  <c r="G21" i="6"/>
  <c r="L21" i="6" s="1"/>
  <c r="G9" i="5"/>
  <c r="L9" i="5" s="1"/>
  <c r="J114" i="5"/>
  <c r="L114" i="5" s="1"/>
  <c r="G8" i="5"/>
  <c r="L8" i="5" s="1"/>
  <c r="G46" i="5"/>
  <c r="L46" i="5" s="1"/>
  <c r="K139" i="5"/>
  <c r="G139" i="5"/>
  <c r="L139" i="5" s="1"/>
  <c r="K15" i="6"/>
  <c r="G15" i="6"/>
  <c r="L15" i="6" s="1"/>
  <c r="K27" i="6"/>
  <c r="J27" i="6"/>
  <c r="L27" i="6" s="1"/>
  <c r="K8" i="5"/>
  <c r="G43" i="5"/>
  <c r="L43" i="5" s="1"/>
  <c r="K10" i="6"/>
  <c r="G10" i="6"/>
  <c r="L10" i="6" s="1"/>
  <c r="K94" i="5"/>
  <c r="G94" i="5"/>
  <c r="L94" i="5" s="1"/>
  <c r="K104" i="5"/>
  <c r="G104" i="5"/>
  <c r="L104" i="5" s="1"/>
  <c r="K113" i="5"/>
  <c r="G113" i="5"/>
  <c r="L113" i="5" s="1"/>
  <c r="F37" i="6"/>
  <c r="C4" i="1" s="1"/>
  <c r="K25" i="6"/>
  <c r="G25" i="6"/>
  <c r="L25" i="6" s="1"/>
  <c r="K28" i="6"/>
  <c r="G28" i="6"/>
  <c r="L28" i="6" s="1"/>
  <c r="G11" i="6"/>
  <c r="L11" i="6" s="1"/>
  <c r="G26" i="6"/>
  <c r="L26" i="6" s="1"/>
  <c r="G33" i="6"/>
  <c r="L33" i="6" s="1"/>
  <c r="G9" i="6"/>
  <c r="L9" i="6" s="1"/>
  <c r="G19" i="6"/>
  <c r="L19" i="6" s="1"/>
  <c r="G24" i="6"/>
  <c r="L24" i="6" s="1"/>
  <c r="G8" i="6"/>
  <c r="L8" i="6" s="1"/>
  <c r="G18" i="6"/>
  <c r="L18" i="6" s="1"/>
  <c r="J30" i="6"/>
  <c r="L30" i="6" s="1"/>
  <c r="K8" i="6"/>
  <c r="A41" i="2" l="1"/>
  <c r="A44" i="2" s="1"/>
  <c r="A46" i="2" s="1"/>
  <c r="A48" i="2" s="1"/>
  <c r="A50" i="2" s="1"/>
  <c r="A52" i="2" s="1"/>
  <c r="A54" i="2" s="1"/>
  <c r="A56" i="2" s="1"/>
  <c r="J76" i="2"/>
  <c r="L76" i="2" s="1"/>
  <c r="I95" i="2"/>
  <c r="D8" i="1" s="1"/>
  <c r="G95" i="2"/>
  <c r="F8" i="1" s="1"/>
  <c r="K64" i="5"/>
  <c r="K157" i="5" s="1"/>
  <c r="K74" i="2"/>
  <c r="E4" i="1"/>
  <c r="L64" i="5"/>
  <c r="I108" i="3"/>
  <c r="D9" i="1" s="1"/>
  <c r="E9" i="1" s="1"/>
  <c r="J80" i="3"/>
  <c r="L80" i="3" s="1"/>
  <c r="K108" i="3"/>
  <c r="L108" i="3" s="1"/>
  <c r="A31" i="6"/>
  <c r="A33" i="6" s="1"/>
  <c r="A35" i="6" s="1"/>
  <c r="A43" i="5"/>
  <c r="A40" i="5"/>
  <c r="I157" i="5"/>
  <c r="D3" i="1" s="1"/>
  <c r="G115" i="4"/>
  <c r="F7" i="1" s="1"/>
  <c r="J115" i="4"/>
  <c r="G7" i="1" s="1"/>
  <c r="K95" i="2"/>
  <c r="L95" i="2" s="1"/>
  <c r="K37" i="6"/>
  <c r="L37" i="6" s="1"/>
  <c r="J37" i="6"/>
  <c r="G4" i="1" s="1"/>
  <c r="G37" i="6"/>
  <c r="K115" i="4"/>
  <c r="L115" i="4" s="1"/>
  <c r="G108" i="3"/>
  <c r="E5" i="1"/>
  <c r="J95" i="2" l="1"/>
  <c r="G8" i="1" s="1"/>
  <c r="A58" i="2"/>
  <c r="A60" i="2" s="1"/>
  <c r="A62" i="2" s="1"/>
  <c r="A64" i="2" s="1"/>
  <c r="H5" i="1"/>
  <c r="F9" i="1"/>
  <c r="H13" i="1"/>
  <c r="F4" i="1"/>
  <c r="H4" i="1" s="1"/>
  <c r="J108" i="3"/>
  <c r="G9" i="1" s="1"/>
  <c r="A44" i="5"/>
  <c r="A46" i="5" s="1"/>
  <c r="L157" i="5"/>
  <c r="F157" i="5"/>
  <c r="E13" i="1"/>
  <c r="E7" i="1"/>
  <c r="H7" i="1"/>
  <c r="J157" i="5"/>
  <c r="D14" i="1"/>
  <c r="A66" i="2" l="1"/>
  <c r="A68" i="2" s="1"/>
  <c r="A70" i="2" s="1"/>
  <c r="A73" i="2" s="1"/>
  <c r="A75" i="2" s="1"/>
  <c r="A77" i="2" s="1"/>
  <c r="A78" i="2" s="1"/>
  <c r="A80" i="2" s="1"/>
  <c r="A82" i="2" s="1"/>
  <c r="A85" i="2" s="1"/>
  <c r="A87" i="2" s="1"/>
  <c r="A89" i="2" s="1"/>
  <c r="A91" i="2" s="1"/>
  <c r="A93" i="2" s="1"/>
  <c r="H9" i="1"/>
  <c r="G3" i="1"/>
  <c r="G14" i="1" s="1"/>
  <c r="G157" i="5"/>
  <c r="F3" i="1" s="1"/>
  <c r="C3" i="1"/>
  <c r="E3" i="1" s="1"/>
  <c r="A47" i="5"/>
  <c r="A49" i="5" s="1"/>
  <c r="A50" i="5" s="1"/>
  <c r="H8" i="1"/>
  <c r="C14" i="1" l="1"/>
  <c r="A51" i="5"/>
  <c r="A53" i="5" s="1"/>
  <c r="A54" i="5" s="1"/>
  <c r="A56" i="5" s="1"/>
  <c r="A58" i="5" s="1"/>
  <c r="A66" i="5" s="1"/>
  <c r="H3" i="1"/>
  <c r="H14" i="1" s="1"/>
  <c r="F14" i="1"/>
  <c r="E8" i="1"/>
  <c r="E14" i="1" s="1"/>
  <c r="A68" i="5" l="1"/>
  <c r="A71" i="5" s="1"/>
  <c r="A73" i="5" s="1"/>
  <c r="A77" i="5" l="1"/>
  <c r="A79" i="5" s="1"/>
  <c r="A82" i="5" s="1"/>
  <c r="A84" i="5" s="1"/>
  <c r="A85" i="5" s="1"/>
  <c r="A86" i="5" s="1"/>
  <c r="A88" i="5" s="1"/>
  <c r="A91" i="5" s="1"/>
  <c r="A94" i="5" s="1"/>
  <c r="A97" i="5" s="1"/>
  <c r="A99" i="5" s="1"/>
  <c r="A101" i="5" s="1"/>
  <c r="A104" i="5" s="1"/>
  <c r="A106" i="5" s="1"/>
  <c r="A108" i="5" s="1"/>
  <c r="A111" i="5" s="1"/>
  <c r="A113" i="5" s="1"/>
  <c r="A115" i="5" l="1"/>
  <c r="A117" i="5" l="1"/>
  <c r="A120" i="5" s="1"/>
  <c r="A122" i="5" s="1"/>
  <c r="A123" i="5" s="1"/>
  <c r="A124" i="5" s="1"/>
  <c r="A125" i="5" s="1"/>
  <c r="A127" i="5" s="1"/>
  <c r="A129" i="5" s="1"/>
  <c r="A132" i="5" s="1"/>
  <c r="A135" i="5" s="1"/>
  <c r="A137" i="5" s="1"/>
  <c r="A139" i="5" s="1"/>
  <c r="A142" i="5" l="1"/>
  <c r="A144" i="5" s="1"/>
  <c r="A146" i="5" s="1"/>
  <c r="A148" i="5" s="1"/>
  <c r="A150" i="5" s="1"/>
  <c r="A152" i="5" l="1"/>
  <c r="A153" i="5" s="1"/>
  <c r="A154" i="5" s="1"/>
  <c r="A155" i="5" s="1"/>
</calcChain>
</file>

<file path=xl/sharedStrings.xml><?xml version="1.0" encoding="utf-8"?>
<sst xmlns="http://schemas.openxmlformats.org/spreadsheetml/2006/main" count="2192" uniqueCount="612">
  <si>
    <t>№ п/п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</si>
  <si>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</si>
  <si>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</si>
  <si>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</si>
  <si>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</si>
  <si>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</si>
  <si>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</si>
  <si>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</si>
  <si>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</si>
  <si>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</si>
  <si>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</si>
  <si>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</si>
  <si>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</si>
  <si>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</si>
  <si>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</si>
  <si>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</si>
  <si>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</si>
  <si>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</si>
  <si>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</si>
  <si>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131-23-НВК3. Переустройство хозпитьевого водопровода (В1) на участке В1-1 – В1-1А</t>
  </si>
  <si>
    <t>Разборка дорожных покрытий</t>
  </si>
  <si>
    <t xml:space="preserve">Резка асфальтового покрытия фрезой </t>
  </si>
  <si>
    <t>м</t>
  </si>
  <si>
    <t xml:space="preserve">Разборка покрытий асфальтобетонных мех. способом </t>
  </si>
  <si>
    <t>м3</t>
  </si>
  <si>
    <t>стоимость из ГП</t>
  </si>
  <si>
    <t xml:space="preserve">Разборка оснований щебеночных мех. способом </t>
  </si>
  <si>
    <t>Погрузка строительного мусора в автосамосвалы</t>
  </si>
  <si>
    <t>Восстановление дорожных покрытий</t>
  </si>
  <si>
    <t>Устройство оснований щебеночных (t=20см)</t>
  </si>
  <si>
    <t xml:space="preserve"> стоимость из ГП1</t>
  </si>
  <si>
    <t>5.1</t>
  </si>
  <si>
    <t>Щебень гранитный для автодорог 5-20мм</t>
  </si>
  <si>
    <t>Устройство покрытий асфальтобетонных (t=5см)</t>
  </si>
  <si>
    <t>м2</t>
  </si>
  <si>
    <t>6.1</t>
  </si>
  <si>
    <t>Асфальтобетон дорожный среднезернистый Тип В Марка III</t>
  </si>
  <si>
    <t>т</t>
  </si>
  <si>
    <t>Проливка битумом</t>
  </si>
  <si>
    <t>7.1</t>
  </si>
  <si>
    <t>Битумы нефтяные</t>
  </si>
  <si>
    <t>Устройство покрытий асфальтобетонных (t=7см)</t>
  </si>
  <si>
    <t>8.1</t>
  </si>
  <si>
    <t>Земляные работы</t>
  </si>
  <si>
    <t xml:space="preserve">Разработка сухого грунта механизированным способом </t>
  </si>
  <si>
    <t>Доработка грунта в траншее вручную</t>
  </si>
  <si>
    <t>Устройство песчаного основания h=0,1м под трубы вручную</t>
  </si>
  <si>
    <t>11.1</t>
  </si>
  <si>
    <t>Песок природный  средний</t>
  </si>
  <si>
    <t>Обратная засыпка песком вручную h=0,3 м</t>
  </si>
  <si>
    <t>12.1</t>
  </si>
  <si>
    <t>Погрузка лишнего грунта в автосамосвалы</t>
  </si>
  <si>
    <t>Прокладка трубопровода</t>
  </si>
  <si>
    <t>Прокладка труб полиэтиленовых напорных ПЭ100  SDR17  ø110х6,6 «питьевая»</t>
  </si>
  <si>
    <t>15.1</t>
  </si>
  <si>
    <t xml:space="preserve">Труба ПЭ100 SDR17 PN 10 110х6.6 </t>
  </si>
  <si>
    <t xml:space="preserve">Прокладка труб стальных с полиэтиленовым защитным покрытием ВУС ø325х8,0 (футляр) </t>
  </si>
  <si>
    <t>16.1</t>
  </si>
  <si>
    <t xml:space="preserve">Труба стальная с полиэтиленовым защитным покрытием ВУС ф325х8мм </t>
  </si>
  <si>
    <t>Протаскивание в футляр полиэтиленовых труб  с установкой колец опорно-направляющего ОНК-110</t>
  </si>
  <si>
    <t>17.1</t>
  </si>
  <si>
    <t>17.2</t>
  </si>
  <si>
    <t>Опорно-направляющие кольца ОНК-110 для трубы Дн=110 мм</t>
  </si>
  <si>
    <t>шт.</t>
  </si>
  <si>
    <t>Установка муфты защитной полиэтиленовой L=150,0 мм D=140 мм для прохода труб сквозь бетонную стену колодца (для труб D=110 мм)</t>
  </si>
  <si>
    <t>18.1</t>
  </si>
  <si>
    <t>Заполнение межтрубного пространства в футляре (кожухе) цементно-песчаным раствором М100</t>
  </si>
  <si>
    <t>19.1</t>
  </si>
  <si>
    <t>Цементно-песчаный раствор М100</t>
  </si>
  <si>
    <t>Монтаж водопровода В1 в подвальном помещении здания</t>
  </si>
  <si>
    <t>Прокладка трубы полиэтиленовой ПЭ100 SDR17-110х6,6</t>
  </si>
  <si>
    <t>сметная стоимость</t>
  </si>
  <si>
    <t>20.1</t>
  </si>
  <si>
    <t>Установка задвижки с обрезиненным клином Kell DN 100</t>
  </si>
  <si>
    <t>21.1</t>
  </si>
  <si>
    <t>Задвижка с обрезиненным клином Kell DN 100</t>
  </si>
  <si>
    <t xml:space="preserve">Цена по счету </t>
  </si>
  <si>
    <t>Установка фильтра магнитного фланцевого чугунного DN 100</t>
  </si>
  <si>
    <t>22.1</t>
  </si>
  <si>
    <t>Фильтр магнитный фланцевый чугунный DN 100</t>
  </si>
  <si>
    <t>Установка муфты соединительной фланцевой диаметром 110мм</t>
  </si>
  <si>
    <t>23.1</t>
  </si>
  <si>
    <t>Муфта соединительная фланцевая диаметром 110мм</t>
  </si>
  <si>
    <t>Установка втулки под фланец ПЭ100 диаметром 110мм</t>
  </si>
  <si>
    <t>24.1</t>
  </si>
  <si>
    <t>Втулка под фланец ПЭ100 диаметром 110мм</t>
  </si>
  <si>
    <t>Установка счетчика холодной и горячей воды Декаст СТВХ-100</t>
  </si>
  <si>
    <t>25.1</t>
  </si>
  <si>
    <t>Счетчик холодной и горячей воды Декаст СТВХ-100</t>
  </si>
  <si>
    <t>Установка клапана обратного поворотного CV16.01 диаметр 114мм</t>
  </si>
  <si>
    <t>26.1</t>
  </si>
  <si>
    <t>Клапан обратный поворотный CV16.01 диаметр 114мм</t>
  </si>
  <si>
    <t>Установка тройника электросварного 90 град диаметр 110мм</t>
  </si>
  <si>
    <t>27.1</t>
  </si>
  <si>
    <t>Тройник электросварной 90 град диаметр 110мм</t>
  </si>
  <si>
    <t>Установка отвода ПЭ100 электросварного 90 град диаметр 110мм</t>
  </si>
  <si>
    <t xml:space="preserve"> из раздела НВК2</t>
  </si>
  <si>
    <t>28.1</t>
  </si>
  <si>
    <t>Отвод ПЭ100 электросварной 90 град диаметр 110мм</t>
  </si>
  <si>
    <t>Установка муфты электросварной ПЭ100 диаметром 110мм</t>
  </si>
  <si>
    <t>29.1</t>
  </si>
  <si>
    <t>Муфта электросварная ПЭ100 диаметром 110мм</t>
  </si>
  <si>
    <t>Установка муфты редукционной ПЭ100 SDR11 диам. 125х110мм (Elofit)</t>
  </si>
  <si>
    <t>30.1</t>
  </si>
  <si>
    <t>Муфта редукционная ПЭ100 SDR11 диам. 125х110мм (Elofit)</t>
  </si>
  <si>
    <t xml:space="preserve">Установка фланца стального для ПЭ100 диам.125мм </t>
  </si>
  <si>
    <t>31.1</t>
  </si>
  <si>
    <t xml:space="preserve">Фланец стальной для ПЭ100 диам.125мм </t>
  </si>
  <si>
    <t>Установка втулки под фланец ПЭ100 диаметром 125мм</t>
  </si>
  <si>
    <t>32.1</t>
  </si>
  <si>
    <t>Втулка под фланец ПЭ100 диаметром 125мм</t>
  </si>
  <si>
    <t xml:space="preserve">Установка фланца переходного чугунного диам.120х80мм </t>
  </si>
  <si>
    <t>33.1</t>
  </si>
  <si>
    <t xml:space="preserve">Фланец переходной чугунный диам.120х80мм </t>
  </si>
  <si>
    <t>Изготовление и установка опорных конструкций - подвесов к потолку:</t>
  </si>
  <si>
    <t>Монтаж трубы стальной профильной 30 х 15 х1,5</t>
  </si>
  <si>
    <t>34.1</t>
  </si>
  <si>
    <t>Труба стальная профильная 30 х 15 х1,5</t>
  </si>
  <si>
    <t>35.1</t>
  </si>
  <si>
    <t>Сверление отверстий в ж/б перекрытиях для установки шпилек из арматуры Ф10</t>
  </si>
  <si>
    <t>Установка шпильки из арматуры М10</t>
  </si>
  <si>
    <t>37.1</t>
  </si>
  <si>
    <t>Шпилька из арматуры М10</t>
  </si>
  <si>
    <t>Огрунтовка опорных конструкций- подвесов в один слой грунтовкой ГФ-021</t>
  </si>
  <si>
    <t>38.1</t>
  </si>
  <si>
    <t>Грунтовка ГФ021</t>
  </si>
  <si>
    <t>кг</t>
  </si>
  <si>
    <t>Окраска опорных конструкций- подвесов в двая слоя эмалью ПФ-15</t>
  </si>
  <si>
    <t>39.1</t>
  </si>
  <si>
    <t>Эмаль ПФ-15</t>
  </si>
  <si>
    <t>Монтаж водопровода В1 в здании гаража</t>
  </si>
  <si>
    <t>Монтаж трубы полиэтиленовой ПЭ100 SDR17-110х6,6</t>
  </si>
  <si>
    <t>40.1</t>
  </si>
  <si>
    <t>Монтаж муфты редукционной диам. 110*90мм GF</t>
  </si>
  <si>
    <t>41.1</t>
  </si>
  <si>
    <t>Муфта редукционная диам. 110*90мм GF</t>
  </si>
  <si>
    <t xml:space="preserve">Монтаж стального фланца под ПЭ100 диам.90мм </t>
  </si>
  <si>
    <t>42.1</t>
  </si>
  <si>
    <t xml:space="preserve">Стальной фланец под ПЭ100 диам.90мм </t>
  </si>
  <si>
    <t>Монтаж втулки под фланец ПЭ100 диаметром 110мм</t>
  </si>
  <si>
    <t>43.1</t>
  </si>
  <si>
    <t>Втулка под фланец d=100 мм SDR 17</t>
  </si>
  <si>
    <t>Монтаж отвода ПЭ100 электросварной 90 град диаметр 110мм</t>
  </si>
  <si>
    <t>44.1</t>
  </si>
  <si>
    <t xml:space="preserve">Итого </t>
  </si>
  <si>
    <t>131-23-НВК3. Переустройство хозпитьевого водопровода (В1) на участке В1-2 – В1-2А</t>
  </si>
  <si>
    <t>Разборка дорожных ж/б плит  (3м*1,75м*0,17м)</t>
  </si>
  <si>
    <t>Погрузка демонтированных плит на строительной площадке</t>
  </si>
  <si>
    <t xml:space="preserve">Обратная засыпка грунта бульдозером </t>
  </si>
  <si>
    <t>Планировка площадей: механизированным способом</t>
  </si>
  <si>
    <t xml:space="preserve">Разработка грунта в котловане под колодцы механизированным способом </t>
  </si>
  <si>
    <t xml:space="preserve">Доработка грунта дна колодцев вручную </t>
  </si>
  <si>
    <t>Устройство щебеночного основания под колодец h=0,1м</t>
  </si>
  <si>
    <t>стоимость из НВК5</t>
  </si>
  <si>
    <t>Щебень</t>
  </si>
  <si>
    <t>цена по счету</t>
  </si>
  <si>
    <t>Обсыпка песком колодцев</t>
  </si>
  <si>
    <t>13.1</t>
  </si>
  <si>
    <t>Обратная засыпка грунтом колодцев</t>
  </si>
  <si>
    <t>Сварка труб Ф530х8 (изготовление футляра)</t>
  </si>
  <si>
    <t>стык</t>
  </si>
  <si>
    <t>Стоимость из 217 трансбордер, ТС1, п.166</t>
  </si>
  <si>
    <t>Изоляция сварного стыка термоусаживающими лентами</t>
  </si>
  <si>
    <t xml:space="preserve">Прокладка труб стальных с полиэтиленовым защитным покрытием ВУС 530х 8мм (футляр) </t>
  </si>
  <si>
    <t>Труба стальная с полиэтиленовым защитным покрытием ВУС 530х 8мм</t>
  </si>
  <si>
    <t>Протаскивание трубы ПЭ100 SDR17 315х18,7 с установкой колец опорно-направляющего ОНК-315/530</t>
  </si>
  <si>
    <t>Труба ПЭ100 SDR17 PN 10 315х18,7</t>
  </si>
  <si>
    <t>20.2</t>
  </si>
  <si>
    <t>Опорно-направляющее кольцо ОНК-315 для трубы Дн=315 мм</t>
  </si>
  <si>
    <t>Заделка концов футляра 530х8мм</t>
  </si>
  <si>
    <t>футляр</t>
  </si>
  <si>
    <t>Прокладка труб полиэтиленовых напорных ПЭ100 SDR17 ø315х18,7 «питьевая»</t>
  </si>
  <si>
    <t>Устройство колодца из сборных ж.б. элементов В1-2</t>
  </si>
  <si>
    <t>Устройство круглых сборных железобетонных канализационных колодцев  в мокрых грунтах</t>
  </si>
  <si>
    <t>Плита днища ПН20-1</t>
  </si>
  <si>
    <t>24.2</t>
  </si>
  <si>
    <t>Кольцо колодезное стеновое КС20-9</t>
  </si>
  <si>
    <t>24.3</t>
  </si>
  <si>
    <t xml:space="preserve">Плита перекрытия колодца ПП20-2 </t>
  </si>
  <si>
    <t>24.4</t>
  </si>
  <si>
    <t>Кольцо доборное колодезное КС7-1,5</t>
  </si>
  <si>
    <t>Стоимость из счета</t>
  </si>
  <si>
    <t>24.5</t>
  </si>
  <si>
    <t>Люк чугунный тяжелый тип Т (В)</t>
  </si>
  <si>
    <t>Установка трубопроводной арматуры в колодцах В1-2</t>
  </si>
  <si>
    <t>Установка задвижки чугунной с обрезиненнным клином невыдвижным шпинделем фланцевая М38-300 (DN300) Ру1,6 Мпа (16 кгс/см2) 30ч39р</t>
  </si>
  <si>
    <t>Задвижка чугунная с обрезиненнным клином невыдвижным шпинделем фланцевая М38-300 (DN300) Ру1,6 Мпа (16 кгс/см2) 30ч39р</t>
  </si>
  <si>
    <t>Установка втулки под фланец ПЭ100 SDR17 d 315мм PN10 кгс/см2</t>
  </si>
  <si>
    <t>Втулка под фланец ПЭ100 SDR17 d 315мм PN10 кгс/см2</t>
  </si>
  <si>
    <t>Установка ответного фланца свободного стального Dy 300 мм (для труб ф315 мм</t>
  </si>
  <si>
    <t>Фланец свободный стальной Dу 300 мм (для труб ∅315 мм)</t>
  </si>
  <si>
    <t>Болт М20х65 (32 шт.)</t>
  </si>
  <si>
    <t>Гайка М20 (32шт.)</t>
  </si>
  <si>
    <t>Шайба М20 (64 шт.)</t>
  </si>
  <si>
    <t>Установка задвижки чугунной клиновой с обрезиненнным клином 30ч39р Ду 100 1.6 Мпа</t>
  </si>
  <si>
    <t>Задвижка чугунная клиновая с обрезиненнным клином 30ч39р Ду 100 1.6 Мпа</t>
  </si>
  <si>
    <t>Установка ответного фланцевого адаптера (ПФРК) UNIVERSAL DN300 (315-332)</t>
  </si>
  <si>
    <t>Ответный фланцевый адаптер (ПФРК) UNIVERSAL DN300 (315-332)</t>
  </si>
  <si>
    <t>Установка втулки под фланец свободный металлический ПЭ100 SDR17 d 110мм</t>
  </si>
  <si>
    <t>Установка стального фланца для ПЭ d110/DN100, PN10/16</t>
  </si>
  <si>
    <t>Стальной фланец для ПЭ d110/DN100, PN10/16</t>
  </si>
  <si>
    <t>Болт М16х65 (16 шт.)</t>
  </si>
  <si>
    <t>Гайка М16 (16шт.)</t>
  </si>
  <si>
    <t>Шайба М16 (32 шт.)</t>
  </si>
  <si>
    <t>Установка тройника с пожарной подставкой фланцевого ППТФ чугунного ВЧШГ с ЦПП Ду 300х300 боковая врезка 125 с подставкой под гидрант</t>
  </si>
  <si>
    <t>Тройник с пожарной подставкой фланцевый ППТФ чугунный ВЧШГ с ЦПП Ду 300х300 боковая врезка 125 с подставкой под гидрант</t>
  </si>
  <si>
    <r>
      <t xml:space="preserve">Установка гидранта ГП-Н-2,0м (сталь) условный проход 125мм +прокладка под гидрант усиленной </t>
    </r>
    <r>
      <rPr>
        <sz val="11"/>
        <color rgb="FFFF0000"/>
        <rFont val="Times New Roman"/>
        <family val="1"/>
        <charset val="204"/>
      </rPr>
      <t>(материал Заказчика)</t>
    </r>
  </si>
  <si>
    <t>из 217 пути</t>
  </si>
  <si>
    <t>Прокладка трубы полиэтиленовой ПЭ100 SDR17-110х6,6 "питьевой"</t>
  </si>
  <si>
    <t>Установка отвода 90 град ПЭ100 SDR11 с ЗН</t>
  </si>
  <si>
    <t>Устройство колодца из сборных ж.б. элементов В1-2А</t>
  </si>
  <si>
    <t>36.1</t>
  </si>
  <si>
    <t xml:space="preserve">Плита днища колодца ПН10-1 </t>
  </si>
  <si>
    <t xml:space="preserve">Кольцо колодезное стеновое КС10-9 </t>
  </si>
  <si>
    <t xml:space="preserve">Плита перекрытия колодца ПП10-2 </t>
  </si>
  <si>
    <t>л</t>
  </si>
  <si>
    <t>Установка трубопроводной арматуры в колодцах В1-2А</t>
  </si>
  <si>
    <t>Установка фланца свободного стального Dy 300 мм (для труб ф315 мм)</t>
  </si>
  <si>
    <t>38.2</t>
  </si>
  <si>
    <t>38.3</t>
  </si>
  <si>
    <t>Гайка М20 (32 шт.)</t>
  </si>
  <si>
    <t>38.4</t>
  </si>
  <si>
    <t>Шайба М20(64 шт.)</t>
  </si>
  <si>
    <t>Установка фланцевого адаптера (ПФРК) UNIVERSAL DN300 (315-332)</t>
  </si>
  <si>
    <t>Фланцевый адаптер (ПФРК) UNIVERSAL DN300 (315-332)</t>
  </si>
  <si>
    <t>131-23-НВК3. Переустройство хозпитьевого водопровода (В1) на участке В1-30 – В1-31</t>
  </si>
  <si>
    <t>стоимости из ГП</t>
  </si>
  <si>
    <t>Прочие работы</t>
  </si>
  <si>
    <t>Обратная засыпка песком вручную</t>
  </si>
  <si>
    <t>Погрузка  грунта в автосамосвалы</t>
  </si>
  <si>
    <t>Перемещение до 1км недостающего грунта для обратной засыпки</t>
  </si>
  <si>
    <t>Сварка труб Ф325х8 (изготовление футляра)</t>
  </si>
  <si>
    <t>Стоимость из 217 трансбордер, ТС1, п.166 (с кор. по диаметру)</t>
  </si>
  <si>
    <t>Труба полиэтиленовая напорная ПЭ100  SDR17  ø110х6,6 «питьевая»</t>
  </si>
  <si>
    <t>16.2</t>
  </si>
  <si>
    <t>Муфта защитная полиэтиленовоя L=150,0 мм D=140 мм  (для труб D=110 мм)</t>
  </si>
  <si>
    <t>Монтаж фланца свободного металлического Dу 100 мм (для труб ø110 мм)</t>
  </si>
  <si>
    <t>Фланец свободный металлический Dу 100 мм (для труб ø100 мм)</t>
  </si>
  <si>
    <t>Монтаж втулки ПЭ100 SDR 17 под фланец d=110 мм PN10 кгс/см² (для труб ø110 мм)</t>
  </si>
  <si>
    <t>Установка камеры на участке В1-30</t>
  </si>
  <si>
    <t>Устройство щебеночного основания под камеру</t>
  </si>
  <si>
    <t>Обратная засыпка котлована песком</t>
  </si>
  <si>
    <t>Установка камеры</t>
  </si>
  <si>
    <t xml:space="preserve">Устройство бетонной подготовки </t>
  </si>
  <si>
    <t>Бетон БСТ М350 В25 F100 W6 П4</t>
  </si>
  <si>
    <t>Устройство железобетонных фундаментов</t>
  </si>
  <si>
    <t>Бетон БСТ В25 П4   F150 W6</t>
  </si>
  <si>
    <t>29.2</t>
  </si>
  <si>
    <t>Арматура А500 ф16</t>
  </si>
  <si>
    <t>стоимость из АС4</t>
  </si>
  <si>
    <t>29.3</t>
  </si>
  <si>
    <t xml:space="preserve">Арматура А500 ф8 </t>
  </si>
  <si>
    <t>Возведение стен камер из ж/б конструкций</t>
  </si>
  <si>
    <t>Установка блоков ФБС 9.3.6 на фундамент камеры</t>
  </si>
  <si>
    <t>Блоки ФБС 9.3.6</t>
  </si>
  <si>
    <t>Обмазка грунтовкой блоков ФБС фундамента камеры</t>
  </si>
  <si>
    <t>стоимость из ТС1</t>
  </si>
  <si>
    <t xml:space="preserve">Праймер Технониколь </t>
  </si>
  <si>
    <t>Обмазка мастикой битумной блоков ФБС фундамента камеры в 2 слоя</t>
  </si>
  <si>
    <t xml:space="preserve">Мастика битумная Технониколь </t>
  </si>
  <si>
    <t>Изготовление монолитной армированной верхней плиты камеры</t>
  </si>
  <si>
    <t>33.2</t>
  </si>
  <si>
    <t>33.3</t>
  </si>
  <si>
    <t>Обмазка грунтовкой верхней плиты камеры</t>
  </si>
  <si>
    <t>Обмазка мастикой битумной верхней плиты камеры в 2 слоя</t>
  </si>
  <si>
    <t>Установка кольца доборного К-7-1,5 (2шт)</t>
  </si>
  <si>
    <t>Установка плиты ВП28-12 с 1 отверстием (2 шт.)</t>
  </si>
  <si>
    <t>Плита ВП28-12 с 1 отверстием</t>
  </si>
  <si>
    <t>Установка опорно-укрывного элемента (ОУЭ) с люком тип Т на камере</t>
  </si>
  <si>
    <t>Опорно-укрывногй элемент (ОУЭ) с люком тип Т</t>
  </si>
  <si>
    <t>Монтаж оборудования камеры</t>
  </si>
  <si>
    <t>Установка креста фланцевого с пожарной подставкой ППКФ 300, PN10 чугун</t>
  </si>
  <si>
    <t>Крест фланцевый с пожарной подставкой ППКФ 300, PN10 чугун</t>
  </si>
  <si>
    <t>39.2</t>
  </si>
  <si>
    <t>Прокладка резиновая DN 300 с ручкой усиленной</t>
  </si>
  <si>
    <t>Установка задвижки с обрезинен. клином DN 300 PN10</t>
  </si>
  <si>
    <t>Задвижка с обрезинен. клином DN 300 PN10</t>
  </si>
  <si>
    <t>40.2</t>
  </si>
  <si>
    <t>Установка перехода фланцевого ХФ 300х100 чугун с ЦПП</t>
  </si>
  <si>
    <t>Переход фланцевый ХФ 300х100 чугун с ЦПП</t>
  </si>
  <si>
    <t>Установка тройника чугунного ТФ 300х100х300 PN10 фланцевый с ЦПП</t>
  </si>
  <si>
    <t>Тройник чугунный ТФ 300х100х300 PN10 фланцевый с ЦПП</t>
  </si>
  <si>
    <t>43.2</t>
  </si>
  <si>
    <t>Установка втулки под фланец ПЭ100 SDR17 d 110</t>
  </si>
  <si>
    <t>Втулка под фланец ПЭ100 SDR17 d 110</t>
  </si>
  <si>
    <t>45.1</t>
  </si>
  <si>
    <t>Прокладка резиновая DN 100 с ручкой усиленной</t>
  </si>
  <si>
    <t>Установка редукционного перехода эл.сварного d110*63 SDR11</t>
  </si>
  <si>
    <t>46.1</t>
  </si>
  <si>
    <t>Редукционный переход эл.сварного d110*63 SDR11</t>
  </si>
  <si>
    <t>Установка переходника патрубок-резьба (нар.) 063х2" SDR11</t>
  </si>
  <si>
    <t>47.1</t>
  </si>
  <si>
    <t>Переходник патрубок-резьба (нар.) 063х2" SDR11</t>
  </si>
  <si>
    <t>Установка муфты эл. сварной d110 SDR11 GF</t>
  </si>
  <si>
    <t>48.1</t>
  </si>
  <si>
    <t>Муфта эл. сварная d110 SDR11 GF</t>
  </si>
  <si>
    <t>Прокладка трубы ПЭ100 SDR17 10 атм. 315х18,7 питьевая</t>
  </si>
  <si>
    <t>49.1</t>
  </si>
  <si>
    <t>Установка втулки под фланец ПЭ100 SDR17 d 315</t>
  </si>
  <si>
    <t>50.1</t>
  </si>
  <si>
    <t>Втулка под фланец ПЭ100 SDR17 d 315</t>
  </si>
  <si>
    <t>Установка муфты d315 SDR17 GF</t>
  </si>
  <si>
    <t>51.1</t>
  </si>
  <si>
    <t>Муфта d315 SDR17 GF</t>
  </si>
  <si>
    <t>Установка стального фланца для ПЭ d315/DN300, PN10</t>
  </si>
  <si>
    <t>52.1</t>
  </si>
  <si>
    <t>Стальной фланец для ПЭ d315/DN300, PN10</t>
  </si>
  <si>
    <t>52.2</t>
  </si>
  <si>
    <t>Установка крана шарового Ø63</t>
  </si>
  <si>
    <t>53.1</t>
  </si>
  <si>
    <t>Кран шаровый Ø63</t>
  </si>
  <si>
    <t>131-23-НВК3. Переустройство хозпитьевого водопровода на участке В1-3А и В1-4</t>
  </si>
  <si>
    <t>Разборка дорожных покрытий для устройства котлованов</t>
  </si>
  <si>
    <t>Демонтаж дорожного бордюра</t>
  </si>
  <si>
    <t>Разборка асфальтобетонного покрытия  (h) 0,19м</t>
  </si>
  <si>
    <t xml:space="preserve">Разборка щебеночного основания </t>
  </si>
  <si>
    <t>Ранее этих работ не было, стоимость принята по цене монтаж * 0,8</t>
  </si>
  <si>
    <t>Демонтаж тройника чугунного фланцевого ТФ 300х150</t>
  </si>
  <si>
    <t>Демонтаж задвижки Ду100мм</t>
  </si>
  <si>
    <t>Ранее этих работ не было, стоимость принята по цене монтаж * 0,8 (НВК2, (В1) к цеху 121/18, п 19)</t>
  </si>
  <si>
    <t>Демонтаж крестовины 2-х плоскостной Ду 300х150х100</t>
  </si>
  <si>
    <t>Ранее этих работ не было, стоимость принята по цене монтаж * 0,8 (НВК2, (В1) к цеху 121/18, п 30)</t>
  </si>
  <si>
    <t>стоимость путь 417 НВК5</t>
  </si>
  <si>
    <t>Сметная стоимость</t>
  </si>
  <si>
    <t>Демонтаж ж/б изделий колодцев В1-3А:</t>
  </si>
  <si>
    <t xml:space="preserve">    -Демонтаж люка чугунного тяжелый тип Т(В)</t>
  </si>
  <si>
    <t>Демонтаж ж/б изделий колодцев В1-4:</t>
  </si>
  <si>
    <t>стоимость путь 217 НВК, п.26</t>
  </si>
  <si>
    <t xml:space="preserve">    -Демонтаж кладки из кирпича</t>
  </si>
  <si>
    <t xml:space="preserve">Отвозка строительного мусора на расстояние до 
30 км автосамосвалом КАМАЗ-5511 г.п. 10 т </t>
  </si>
  <si>
    <t xml:space="preserve">Земляные работы для устройства колодца </t>
  </si>
  <si>
    <t>м³</t>
  </si>
  <si>
    <t>Устройство щебеночного основания под колодец В1-3А</t>
  </si>
  <si>
    <t>Обсыпка песком колодца</t>
  </si>
  <si>
    <t>Обратная засыпка котлована грунтом</t>
  </si>
  <si>
    <t>Земляные работы для устройства траншеи</t>
  </si>
  <si>
    <t xml:space="preserve">Обсыпка из песка труб в траншее </t>
  </si>
  <si>
    <t>Обратная засыпка траншеи грунтом</t>
  </si>
  <si>
    <t>Сварка труб Ф530х8 с защитным покрытием ВУС изоляцией (изготовление футляра)</t>
  </si>
  <si>
    <t>Прокладка трубы ВУС, ЦПП стальной электросварной ф530х8мм (футляр)</t>
  </si>
  <si>
    <t>Труба стальная электросварная прямошовная ø530х8,0  (футляр)</t>
  </si>
  <si>
    <t>п.м.</t>
  </si>
  <si>
    <t>Опорно-направляющее кольцо ОНК-315/530 для трубы Дн=315 мм</t>
  </si>
  <si>
    <t>Заполнение межтрубного пространства цементно-песчаным раствором М100</t>
  </si>
  <si>
    <t>Монтаж ж/б изделий колодцев</t>
  </si>
  <si>
    <t>Плита днища колодца ПН20-1</t>
  </si>
  <si>
    <t xml:space="preserve">Кольцо стеновое КС20-9 </t>
  </si>
  <si>
    <t xml:space="preserve">шт. </t>
  </si>
  <si>
    <t>Плита перекрытия колодца ПП20-2 с центральным отверстием</t>
  </si>
  <si>
    <t>Люк чугунный тяжелый Т(С250)</t>
  </si>
  <si>
    <t>Устройство кладки из кирпича</t>
  </si>
  <si>
    <t>Кирпич КР-р-по 250×120×88/1,4НФ/150/2,0/50</t>
  </si>
  <si>
    <t>Обмазка праймером Технониколь колодца в один слой</t>
  </si>
  <si>
    <t>Битумная грунтовка ТЕХНОНИКОЛЬ № 01  (20л=16кг)</t>
  </si>
  <si>
    <t>Обмазка битумной мастикой колодца в два слоя</t>
  </si>
  <si>
    <t>Битумная мастика Технониколь №24</t>
  </si>
  <si>
    <t>Установка тройника чугунного ТФ 300х150х300 PN10 фланцевый с ЦПП</t>
  </si>
  <si>
    <t>Тройник чугунный фланцевый ТФ 300х150</t>
  </si>
  <si>
    <t>Установка задвижки с обрезинен. клином DN 300 PN10 короткая (тип МЗВ) со штурвалом</t>
  </si>
  <si>
    <t>Задвижка D 300 мм</t>
  </si>
  <si>
    <t>Установка задвижки с обрезинен. клином DN 150 PN10/16 короткая (тип МЗВ) со штурвалом</t>
  </si>
  <si>
    <t>Задвижка D 150 мм</t>
  </si>
  <si>
    <t xml:space="preserve">Установка фланцевого адаптера (ПФРК) UNIVERSAL DN300 </t>
  </si>
  <si>
    <t>54.1</t>
  </si>
  <si>
    <t>Адаптер фланцевый  (ПФРК) UNIVERSAL DN300 (315-332)</t>
  </si>
  <si>
    <t>Установка фланцевого адаптера (ПФРК) UNIVERSAL DN150</t>
  </si>
  <si>
    <t>55.1</t>
  </si>
  <si>
    <t>Адаптер фланцевый  (ПФРК) UNIVERSAL DN150 (159-182)</t>
  </si>
  <si>
    <t>Установка стального фланца для ПЭ d315/DN300, PN10 (без покрытия)</t>
  </si>
  <si>
    <t>56.1</t>
  </si>
  <si>
    <t>Прокладка из паронита А-300-10 для фланца ∅300 мм, PN1,0 Мпа</t>
  </si>
  <si>
    <t>57.1</t>
  </si>
  <si>
    <t>Втулка ПЭ100 SDR 17 под фланец d=315 мм PN10 кгс/см2</t>
  </si>
  <si>
    <t xml:space="preserve">Установка стального фланца для DN150 PN10/16 приварного ГОСТ 33259-15 (ГОСТ 12820-80)  </t>
  </si>
  <si>
    <t>Фланец свободный стальной Dу 150 мм (для труб ∅160 мм)</t>
  </si>
  <si>
    <t>Прокладка из паронита А-150-10 для фланца ∅150 мм, PN1,0 Мпа</t>
  </si>
  <si>
    <t>Установка втулки под фланец ПЭ100 SDR17 d 150</t>
  </si>
  <si>
    <t>Втулка ПЭ100 SDR 17 под фланец d=160 мм PN10 кгс/см2</t>
  </si>
  <si>
    <t xml:space="preserve">Установка муфты эл. сварной GF ПЭ100 SDR11 d150 </t>
  </si>
  <si>
    <t xml:space="preserve">Муфта эл. сварная GF ПЭ100 SDR11 d150 </t>
  </si>
  <si>
    <t>Установка муфты 365 защитной для ЖБИ прохода</t>
  </si>
  <si>
    <t>Муфта защитная ПЭ D=365 мм L=150,0 мм  (для труб ø315 мм)</t>
  </si>
  <si>
    <t>Установка задвижки с обрезинен. клином DN 100 PN10/16 короткая (тип МЗВ) со штурвалом</t>
  </si>
  <si>
    <t>Задвижка с обрезинен. клином DN 100 PN10/16 короткая (тип МЗВ) со штурвалом</t>
  </si>
  <si>
    <t>64.1</t>
  </si>
  <si>
    <t>стоимость из НВК4</t>
  </si>
  <si>
    <t>65.1</t>
  </si>
  <si>
    <t>Установка стального фланца для ПЭ d110/DN100, PN10/16 окрашенного (синий)</t>
  </si>
  <si>
    <t>66.1</t>
  </si>
  <si>
    <t xml:space="preserve">Стальной фланец под ПЭ100 диам.100мм </t>
  </si>
  <si>
    <t>Установка втулки под фланец ПЭ100 SDR17 d 100</t>
  </si>
  <si>
    <t>67.1</t>
  </si>
  <si>
    <t>68.1</t>
  </si>
  <si>
    <t>69.1</t>
  </si>
  <si>
    <t>131-23-НВК3. Переустройство хозпитьевого водопровода (В1) на участке В1-4 до Уг.1</t>
  </si>
  <si>
    <t>Демонтаж дорожного бордюра БР 100.30.15</t>
  </si>
  <si>
    <t>Демонтажные работы</t>
  </si>
  <si>
    <t>Демонтаж трубы чугунной Ду 326*11,9мм</t>
  </si>
  <si>
    <t>10.1</t>
  </si>
  <si>
    <t>Труба стальная с полиэтиленовым защитным покрытием ВУС 530х8мм</t>
  </si>
  <si>
    <t>Установка муфты защитной полиэтиленовой L=150,0 мм D=365 мм для прохода труб сквозь бетонную стену колодца (для труб D=315 мм)</t>
  </si>
  <si>
    <t>Муфта защитная полиэтиленовая D=365 мм L=150,0 мм  (для труб ø315 мм)</t>
  </si>
  <si>
    <t>Демонтаж колодца и тех узла колодца В-3А</t>
  </si>
  <si>
    <t>Демонтаж гильзы из трубы стальной L=0,3м Ду200мм</t>
  </si>
  <si>
    <t>Демонтаж гильзы из трубы стальной L=0,3м Ду350мм</t>
  </si>
  <si>
    <t xml:space="preserve">    -Демонтаж бетонного основания</t>
  </si>
  <si>
    <t>Демонтаж ж/б изделий колодцев В1-3А</t>
  </si>
  <si>
    <t>Демонтаж колодца и тех узла колодца В-4А</t>
  </si>
  <si>
    <t>Демонтаж трубы чугунной Ду 326</t>
  </si>
  <si>
    <t>Демонтаж трубы чугунной Ду 150</t>
  </si>
  <si>
    <t>Демонтаж задвижки чугунной с обрезиненным клином  DN150 PN10 короткой со штурвалом</t>
  </si>
  <si>
    <t>Демонтаж гильзы из трубы стальной L=0,3м Ду150мм</t>
  </si>
  <si>
    <t>Демонтаж отвода стального Ду 114</t>
  </si>
  <si>
    <t>Демонтаж ж/б изделий колодцев  В1-4</t>
  </si>
  <si>
    <t>13.2</t>
  </si>
  <si>
    <t>Разработка грунта в траншее механизированным способом (экскаватором с ковшом емк. 0,4 м3)</t>
  </si>
  <si>
    <t>Устройство колодцев В1-3А</t>
  </si>
  <si>
    <t>Кольцо опорное КО-7</t>
  </si>
  <si>
    <t>Устройство колодцев В1-4А</t>
  </si>
  <si>
    <t>Плита перекрытия колодца ПП10-2</t>
  </si>
  <si>
    <t xml:space="preserve">Доработка грунта в траншее вручную </t>
  </si>
  <si>
    <t>Монтаж тех узла колодца В1-3А</t>
  </si>
  <si>
    <t>Установка муфты 315 защитной для ЖБИ прохода</t>
  </si>
  <si>
    <t>Установка муфты 150 защитной для ЖБИ прохода</t>
  </si>
  <si>
    <t>Муфта защитная  (для труб ø150 мм)</t>
  </si>
  <si>
    <t>Монтаж тех узла колодца В1-4</t>
  </si>
  <si>
    <t>Прокладка трубы стальной L=0,3м DN200мм</t>
  </si>
  <si>
    <t>Труба стальная L=0,3м DN200мм</t>
  </si>
  <si>
    <t>Прокладка из паронита А-100-10 для фланца ∅100 мм, PN1,0 Мпа</t>
  </si>
  <si>
    <t>70.1</t>
  </si>
  <si>
    <t>Прокладка трубы ПЭ100 SDR17 315х18,7 в траншее</t>
  </si>
  <si>
    <t>131-23-НВК3. Переустройство хозпитьевого водопровода (В1) на участке Уг1 до Уг.2</t>
  </si>
  <si>
    <t>Этого участка не было в КП</t>
  </si>
  <si>
    <t xml:space="preserve">Устройство щебеночного основания под колодец </t>
  </si>
  <si>
    <t>Пробивка отверстий в колодцах под футляр</t>
  </si>
  <si>
    <t>Установка отвода ПЭ100 электросварного 90 град диаметр 315мм</t>
  </si>
  <si>
    <t>Отвод ПЭ100 электросварной 90 град диаметр 315мм</t>
  </si>
  <si>
    <t>Установка муфты эл. сварной GF ПЭ100 SDR11 d315</t>
  </si>
  <si>
    <t>Муфта эл. сварная GF ПЭ100 SDR11 d315</t>
  </si>
  <si>
    <t>Уг1 до Уг.2</t>
  </si>
  <si>
    <t>В1-4 до Уг.1</t>
  </si>
  <si>
    <t>В1-1 – В1-1А +Подвал+Гараж</t>
  </si>
  <si>
    <t>9.1</t>
  </si>
  <si>
    <t>14.1</t>
  </si>
  <si>
    <t>14.2</t>
  </si>
  <si>
    <t>Плита днища ПН15-1</t>
  </si>
  <si>
    <t>Кольцо стеновое КС15-9</t>
  </si>
  <si>
    <t>Устройство колодца Уг.1</t>
  </si>
  <si>
    <t>Устройство колодца Уг.2</t>
  </si>
  <si>
    <t>131-23-НВК3. Переустройство хозпитьевого водопровода (В1) на участке Уг.2 до В1нов</t>
  </si>
  <si>
    <t>Уг.2 до В1нов</t>
  </si>
  <si>
    <t xml:space="preserve">Устройство песчаного основания </t>
  </si>
  <si>
    <t>В1-30 – В1-31 +Камера</t>
  </si>
  <si>
    <t xml:space="preserve">В1-3А и В1-4 </t>
  </si>
  <si>
    <t>В1-2 – В1-2А</t>
  </si>
  <si>
    <t>131-23-НВК3. Переустройство хозпитьевого водопровода (В1) на участке В1-нов.1 и В1-5</t>
  </si>
  <si>
    <t>В1-нов.1 и В1-5</t>
  </si>
  <si>
    <t>Обсыпка из песком колодцев</t>
  </si>
  <si>
    <t>Земляные работы для устройства колодцев</t>
  </si>
  <si>
    <t>38.5</t>
  </si>
  <si>
    <t>Обсыпка из песком труб</t>
  </si>
  <si>
    <t>Устройство колодца В1-5</t>
  </si>
  <si>
    <t>Плита днища ПН10</t>
  </si>
  <si>
    <t>Кольцо колодезное стеновое КС10-9</t>
  </si>
  <si>
    <t xml:space="preserve">Плита перекрытия колодца ПП10 </t>
  </si>
  <si>
    <t>17.3</t>
  </si>
  <si>
    <t>17.4</t>
  </si>
  <si>
    <t>17.5</t>
  </si>
  <si>
    <t>17.6</t>
  </si>
  <si>
    <t>Кольцо доборное колодезное КС7.6</t>
  </si>
  <si>
    <t>Устройство колодца В1-нов1</t>
  </si>
  <si>
    <t>Кольцо колодезное стеновое КС15-9</t>
  </si>
  <si>
    <t>Плита перекрытия колодца ПП15</t>
  </si>
  <si>
    <t>20.3</t>
  </si>
  <si>
    <t>20.4</t>
  </si>
  <si>
    <t>20.5</t>
  </si>
  <si>
    <t xml:space="preserve">Прокладка труб стальных с полиэтиленовым защитным покрытием ВУС 377х 7мм (футляр) </t>
  </si>
  <si>
    <t>Труба стальная с полиэтиленовым защитным покрытием ВУС 377х7мм</t>
  </si>
  <si>
    <t>Протаскивание трубы ПЭ100 SDR17 160х6,6 с установкой колец опорно-направляющего ОНК-160/370</t>
  </si>
  <si>
    <t>Труба ПЭ100 SDR17 PN 10 160х6,6</t>
  </si>
  <si>
    <t>Опорно-направляющее кольцо ОНК-160 для трубы Дн=160 мм</t>
  </si>
  <si>
    <t>Прокладка трубы ПЭ100 SDR17 160х6,6 в траншее</t>
  </si>
  <si>
    <t>Монтаж тех узла колодца В1-5</t>
  </si>
  <si>
    <t>Установка отвода ПЭ100 SDR11 90* d160 (Elofit) арт.12EME160</t>
  </si>
  <si>
    <t>Отвод ПЭ100 SDR11 90* d160 (Elofit) арт.12EME160</t>
  </si>
  <si>
    <t>Установка муфты ПЭ100 SDR11 d160 (Elofit)</t>
  </si>
  <si>
    <t>Муфта ПЭ100 SDR11 d160 (Elofit)</t>
  </si>
  <si>
    <t>Установка муфты редукционной ПЭ100 SDR11 d160*100 (Elofit) арт. 12EME160</t>
  </si>
  <si>
    <t>Муфта редукционная ПЭ100 SDR11 d160*100 (Elofit) арт. 12EME160</t>
  </si>
  <si>
    <t>Установка фланцевого адаптера для стальных труб и SML (ПФРК) DN100 (103-119)</t>
  </si>
  <si>
    <t>Фланцевый адаптер для стальных труб и SML (ПФРК) DN100 (103-119)</t>
  </si>
  <si>
    <t>Болт М16х65 (8 шт.)</t>
  </si>
  <si>
    <t>Гайка М16 (8шт.)</t>
  </si>
  <si>
    <t>Шайба М16 (16 шт.)</t>
  </si>
  <si>
    <t>Установка муфты 110 защитной для ЖБИ прохода</t>
  </si>
  <si>
    <t>Муфта защитная  (для труб ø110 мм)</t>
  </si>
  <si>
    <t>Монтаж тех. узла колодца В1-нов.1</t>
  </si>
  <si>
    <t>Установка крестовины чугунного ТФ 300х150х300 PN10 фланцевый с ЦПП</t>
  </si>
  <si>
    <t>41.2</t>
  </si>
  <si>
    <t>41.3</t>
  </si>
  <si>
    <t>41.4</t>
  </si>
  <si>
    <t>Гайка М16 (32шт.)</t>
  </si>
  <si>
    <t>Шайба М16 (64 шт.)</t>
  </si>
  <si>
    <t>Болт М16 (32 шт.)</t>
  </si>
  <si>
    <t>Болт М20х100   (36 шт.)</t>
  </si>
  <si>
    <t>Гайка М20  (36 шт.)</t>
  </si>
  <si>
    <t>Шайба М20  покр.цинк (72 шт.)</t>
  </si>
  <si>
    <t>131-23-НВК3. Переустройство хозпитьевого водопровода (В1) на участке В1-нов.1- цех №121/18</t>
  </si>
  <si>
    <t>В1-нов.1- цех №121/18</t>
  </si>
  <si>
    <t>Разработка грунта в траншее вручную</t>
  </si>
  <si>
    <t>4.1</t>
  </si>
  <si>
    <t>Пробивка отверстий 250*250 в ж/б полах толщ 270мм для установки гильзы</t>
  </si>
  <si>
    <t>Установка отвода ПЭ100 SDR11 90* d160 (Elofit)</t>
  </si>
  <si>
    <t>Отвода ПЭ100 SDR11 90* d160 (Elofit)</t>
  </si>
  <si>
    <t>131-23-НВК3. Переустройство хозпитьевого водопровода (В1) на участке В1-нов.1 до В1-7</t>
  </si>
  <si>
    <t>В1-нов.1 до В1-7</t>
  </si>
  <si>
    <t>Пробивка отверстий 540х540 в колодцах под футляр</t>
  </si>
  <si>
    <t>Установка гильзы из трубы стальной Ду 530*8мм</t>
  </si>
  <si>
    <t>Установка отвода ПЭ100 SDR11 45* d315мм</t>
  </si>
  <si>
    <t>Отвод ПЭ100 SDR11 45* d315мм</t>
  </si>
  <si>
    <t>Установка отвода ПЭ100 SDR11 22* d315мм</t>
  </si>
  <si>
    <t>Отвод ПЭ100 SDR11 22* d315мм</t>
  </si>
  <si>
    <t>Установка отвода ПЭ100 SDR11 90* d315мм</t>
  </si>
  <si>
    <t>Отвод ПЭ100 SDR11 90* d315мм</t>
  </si>
  <si>
    <t>131-23-НВК3. Защита существующей трубы водопровода на участке В1-7 до В1-8</t>
  </si>
  <si>
    <t>В1-7 до В1-8 (Защита сущ. трубы)</t>
  </si>
  <si>
    <t>Обратная засыпка траншеи  песком</t>
  </si>
  <si>
    <t>Укладка плит</t>
  </si>
  <si>
    <t xml:space="preserve">Укладка плит ВП 28-12 (2800х1200х220) </t>
  </si>
  <si>
    <t xml:space="preserve">Плита ВП 28-12 (2800х1200х220) </t>
  </si>
  <si>
    <t>стоимость из ТС2</t>
  </si>
  <si>
    <t>Труба металлическая Ду.250*6мм L=0,5мм</t>
  </si>
  <si>
    <t>ГСН КП 417</t>
  </si>
  <si>
    <t>Установка гильзы из металлической трубы Ду.250*6мм L=0,5м</t>
  </si>
  <si>
    <t>Лестница-стремянка С1-07 (29,2кг)</t>
  </si>
  <si>
    <t>стоимость работ Ф250мм + 30% на разницу трубы</t>
  </si>
  <si>
    <t>Кольцо доборное КС7-6</t>
  </si>
  <si>
    <t>49.2</t>
  </si>
  <si>
    <t>Пробивка отверстий в колодцах под футляр ф530</t>
  </si>
  <si>
    <t>Пробивка отверстий в колодцах под трубу ф315</t>
  </si>
  <si>
    <t>Пробивка отверстий в колодцах под трубу ф150</t>
  </si>
  <si>
    <t>67.2</t>
  </si>
  <si>
    <t>Пробивка отверстий в колодцах под трубу ф100</t>
  </si>
  <si>
    <t>Установка фланцевого соединения ф110</t>
  </si>
  <si>
    <t>Фланцевое соединение ф110</t>
  </si>
  <si>
    <t>Заделка сальника при проходе труб ф100мм через стенку колодца</t>
  </si>
  <si>
    <t>71.1</t>
  </si>
  <si>
    <t>72.1</t>
  </si>
  <si>
    <t xml:space="preserve">Установка муфты защитной полиэтиленовой  D=530 мм для прохода труб сквозь бетонную стену колодца </t>
  </si>
  <si>
    <t xml:space="preserve">Муфта защитная полиэтиленовая D=530 мм </t>
  </si>
  <si>
    <t>Заделка сальников при проходе труб  через фундаменты или стены</t>
  </si>
  <si>
    <t>27.2</t>
  </si>
  <si>
    <t>27.3</t>
  </si>
  <si>
    <t>27.4</t>
  </si>
  <si>
    <t>28.2</t>
  </si>
  <si>
    <t>30.2</t>
  </si>
  <si>
    <t>30.3</t>
  </si>
  <si>
    <t>30.4</t>
  </si>
  <si>
    <t>Муфта защитная полиэтиленовая  (для труб ø377 мм)</t>
  </si>
  <si>
    <t>Установка муфты защитной полиэтиленовой   для прохода труб сквозь бетонную стену колодца (для труб D=377 мм)</t>
  </si>
  <si>
    <t>31.2</t>
  </si>
  <si>
    <t>31.3</t>
  </si>
  <si>
    <t>31.4</t>
  </si>
  <si>
    <t>31.5</t>
  </si>
  <si>
    <t>Пробивка отверстий в колодцах под трубу ф160</t>
  </si>
  <si>
    <t>Пробивка отверстий в колодцах под трубу ф110</t>
  </si>
  <si>
    <t>Прокладка резиновая DN 150 с ручкой усиленной</t>
  </si>
  <si>
    <t>39.3</t>
  </si>
  <si>
    <t>39.4</t>
  </si>
  <si>
    <t>39.5</t>
  </si>
  <si>
    <t>40.3</t>
  </si>
  <si>
    <t>40.4</t>
  </si>
  <si>
    <t>40.5</t>
  </si>
  <si>
    <t>15.2</t>
  </si>
  <si>
    <t>Уплотнение  пневматическими трамбовками</t>
  </si>
  <si>
    <t>Уплотнение пневматическими трамбовками</t>
  </si>
  <si>
    <t>стоимость из АС2</t>
  </si>
  <si>
    <t>стоимость из НВК2</t>
  </si>
  <si>
    <t>Ранее этих работ не было, стоимость принята по ф326 * 0,6</t>
  </si>
  <si>
    <t>Ранее этих работ не было, стоимость принята по ф326 * 0,8</t>
  </si>
  <si>
    <t>Ранее этих работ не было, стоимость принята по ф350 * 0,8</t>
  </si>
  <si>
    <t>стоимость их НВК5</t>
  </si>
  <si>
    <t>стоимость из АС1</t>
  </si>
  <si>
    <t>стоиомсть из НВК2</t>
  </si>
  <si>
    <t xml:space="preserve"> стоимость из ГП</t>
  </si>
  <si>
    <t>стоимости из ГП с кор толщины покрытия</t>
  </si>
  <si>
    <t>КП с дисконтом</t>
  </si>
  <si>
    <t>новые работы</t>
  </si>
  <si>
    <t>Стоимость АС1</t>
  </si>
  <si>
    <t>Стоимость из НВК2</t>
  </si>
  <si>
    <t>Стоимость из НВК5</t>
  </si>
  <si>
    <t>стоиомсть из НВК4</t>
  </si>
  <si>
    <t>12.2</t>
  </si>
  <si>
    <t>12.3</t>
  </si>
  <si>
    <t>33.4</t>
  </si>
  <si>
    <t>33.5</t>
  </si>
  <si>
    <t>33.6</t>
  </si>
  <si>
    <t>33.7</t>
  </si>
  <si>
    <t>37.2</t>
  </si>
  <si>
    <t>37.3</t>
  </si>
  <si>
    <t>44.2</t>
  </si>
  <si>
    <t>46.2</t>
  </si>
  <si>
    <t>56.2</t>
  </si>
  <si>
    <t>61.1</t>
  </si>
  <si>
    <t>62.1</t>
  </si>
  <si>
    <t>63.1</t>
  </si>
  <si>
    <t>64.2</t>
  </si>
  <si>
    <t>76.1</t>
  </si>
  <si>
    <t>23.2</t>
  </si>
  <si>
    <t xml:space="preserve">стоимость из ВДЦ 8-го цеха (НВК) </t>
  </si>
  <si>
    <t>стоимость из ВДЦ 8-го цеха (НВК)</t>
  </si>
  <si>
    <t xml:space="preserve">ГСН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</si>
</sst>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  <numFmt numFmtId="168" formatCode="0.0"/>
    <numFmt numFmtId="169" formatCode="0.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2"/>
      <color rgb="FFC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C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/>
  </cellStyleXfs>
  <cellXfs count="223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1" xfId="0" applyFont="1" applyBorder="1"/>
    <xf numFmtId="43" fontId="3" fillId="2" borderId="1" xfId="1" applyFont="1" applyFill="1" applyBorder="1"/>
    <xf numFmtId="43" fontId="3" fillId="3" borderId="1" xfId="1" applyFont="1" applyFill="1" applyBorder="1"/>
    <xf numFmtId="0" fontId="4" fillId="0" borderId="0" xfId="0" applyFont="1"/>
    <xf numFmtId="0" fontId="7" fillId="0" borderId="0" xfId="0" applyFont="1"/>
    <xf numFmtId="4" fontId="6" fillId="0" borderId="1" xfId="0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vertical="center"/>
    </xf>
    <xf numFmtId="1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left" vertical="center" wrapText="1"/>
    </xf>
    <xf numFmtId="166" fontId="6" fillId="4" borderId="1" xfId="0" applyNumberFormat="1" applyFont="1" applyFill="1" applyBorder="1" applyAlignment="1">
      <alignment horizontal="left" vertical="center" wrapText="1"/>
    </xf>
    <xf numFmtId="165" fontId="6" fillId="4" borderId="1" xfId="1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3" fontId="4" fillId="5" borderId="1" xfId="1" applyFont="1" applyFill="1" applyBorder="1" applyAlignment="1">
      <alignment horizontal="center" vertical="center" wrapText="1"/>
    </xf>
    <xf numFmtId="43" fontId="4" fillId="0" borderId="1" xfId="1" applyFont="1" applyBorder="1" applyAlignment="1">
      <alignment vertical="center"/>
    </xf>
    <xf numFmtId="43" fontId="9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0" fontId="10" fillId="6" borderId="0" xfId="0" applyFont="1" applyFill="1"/>
    <xf numFmtId="0" fontId="5" fillId="5" borderId="1" xfId="3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0" fontId="7" fillId="5" borderId="0" xfId="0" applyFont="1" applyFill="1" applyAlignment="1">
      <alignment vertical="center"/>
    </xf>
    <xf numFmtId="43" fontId="5" fillId="5" borderId="1" xfId="1" applyFont="1" applyFill="1" applyBorder="1" applyAlignment="1">
      <alignment vertical="center"/>
    </xf>
    <xf numFmtId="0" fontId="6" fillId="5" borderId="12" xfId="0" applyFont="1" applyFill="1" applyBorder="1" applyAlignment="1">
      <alignment horizontal="left" vertical="center" wrapText="1"/>
    </xf>
    <xf numFmtId="43" fontId="4" fillId="5" borderId="1" xfId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7" borderId="1" xfId="3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vertical="center" wrapText="1"/>
    </xf>
    <xf numFmtId="43" fontId="9" fillId="7" borderId="1" xfId="1" applyFont="1" applyFill="1" applyBorder="1" applyAlignment="1">
      <alignment horizontal="center" vertical="center" wrapText="1"/>
    </xf>
    <xf numFmtId="43" fontId="4" fillId="7" borderId="1" xfId="1" applyFont="1" applyFill="1" applyBorder="1" applyAlignment="1">
      <alignment vertical="center"/>
    </xf>
    <xf numFmtId="43" fontId="4" fillId="7" borderId="1" xfId="1" applyFont="1" applyFill="1" applyBorder="1" applyAlignment="1">
      <alignment horizontal="center" vertical="center" wrapText="1"/>
    </xf>
    <xf numFmtId="49" fontId="12" fillId="5" borderId="1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vertical="center"/>
    </xf>
    <xf numFmtId="43" fontId="12" fillId="5" borderId="1" xfId="1" applyFont="1" applyFill="1" applyBorder="1" applyAlignment="1">
      <alignment horizontal="center"/>
    </xf>
    <xf numFmtId="43" fontId="12" fillId="5" borderId="1" xfId="1" applyFont="1" applyFill="1" applyBorder="1" applyAlignment="1">
      <alignment vertical="center"/>
    </xf>
    <xf numFmtId="43" fontId="12" fillId="5" borderId="1" xfId="1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0" fontId="7" fillId="5" borderId="0" xfId="0" applyFont="1" applyFill="1"/>
    <xf numFmtId="0" fontId="0" fillId="5" borderId="0" xfId="0" applyFill="1"/>
    <xf numFmtId="43" fontId="4" fillId="5" borderId="1" xfId="1" applyFont="1" applyFill="1" applyBorder="1" applyAlignment="1">
      <alignment horizontal="center"/>
    </xf>
    <xf numFmtId="43" fontId="5" fillId="7" borderId="1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3" fontId="5" fillId="7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" fontId="5" fillId="7" borderId="1" xfId="0" applyNumberFormat="1" applyFont="1" applyFill="1" applyBorder="1" applyAlignment="1">
      <alignment vertical="center" wrapText="1"/>
    </xf>
    <xf numFmtId="0" fontId="5" fillId="5" borderId="12" xfId="3" applyFont="1" applyFill="1" applyBorder="1" applyAlignment="1">
      <alignment horizontal="left" vertical="center" wrapText="1"/>
    </xf>
    <xf numFmtId="0" fontId="5" fillId="5" borderId="1" xfId="2" applyFont="1" applyFill="1" applyBorder="1" applyAlignment="1">
      <alignment horizontal="center" vertical="center" wrapText="1"/>
    </xf>
    <xf numFmtId="167" fontId="4" fillId="5" borderId="1" xfId="1" applyNumberFormat="1" applyFont="1" applyFill="1" applyBorder="1" applyAlignment="1">
      <alignment vertical="center"/>
    </xf>
    <xf numFmtId="43" fontId="5" fillId="7" borderId="1" xfId="1" applyFont="1" applyFill="1" applyBorder="1" applyAlignment="1">
      <alignment vertical="center" wrapText="1"/>
    </xf>
    <xf numFmtId="165" fontId="4" fillId="5" borderId="1" xfId="1" applyNumberFormat="1" applyFont="1" applyFill="1" applyBorder="1" applyAlignment="1">
      <alignment vertical="center"/>
    </xf>
    <xf numFmtId="0" fontId="5" fillId="7" borderId="12" xfId="3" applyFont="1" applyFill="1" applyBorder="1" applyAlignment="1">
      <alignment horizontal="left" vertical="center" wrapText="1"/>
    </xf>
    <xf numFmtId="165" fontId="4" fillId="7" borderId="1" xfId="1" applyNumberFormat="1" applyFont="1" applyFill="1" applyBorder="1" applyAlignment="1">
      <alignment vertical="center"/>
    </xf>
    <xf numFmtId="0" fontId="5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167" fontId="5" fillId="7" borderId="1" xfId="1" applyNumberFormat="1" applyFont="1" applyFill="1" applyBorder="1" applyAlignment="1">
      <alignment horizontal="right" vertical="center"/>
    </xf>
    <xf numFmtId="43" fontId="5" fillId="5" borderId="1" xfId="1" applyFont="1" applyFill="1" applyBorder="1" applyAlignment="1">
      <alignment horizontal="right" vertical="center"/>
    </xf>
    <xf numFmtId="43" fontId="5" fillId="7" borderId="1" xfId="1" applyFont="1" applyFill="1" applyBorder="1" applyAlignment="1">
      <alignment horizontal="right" vertical="center"/>
    </xf>
    <xf numFmtId="165" fontId="5" fillId="7" borderId="1" xfId="1" applyNumberFormat="1" applyFont="1" applyFill="1" applyBorder="1" applyAlignment="1">
      <alignment horizontal="right" vertical="center"/>
    </xf>
    <xf numFmtId="167" fontId="5" fillId="7" borderId="1" xfId="1" applyNumberFormat="1" applyFont="1" applyFill="1" applyBorder="1" applyAlignment="1">
      <alignment vertical="center" wrapText="1"/>
    </xf>
    <xf numFmtId="165" fontId="5" fillId="7" borderId="1" xfId="1" applyNumberFormat="1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43" fontId="15" fillId="0" borderId="1" xfId="1" applyFont="1" applyBorder="1"/>
    <xf numFmtId="165" fontId="16" fillId="0" borderId="0" xfId="1" applyNumberFormat="1" applyFont="1"/>
    <xf numFmtId="0" fontId="17" fillId="0" borderId="0" xfId="0" applyFont="1"/>
    <xf numFmtId="0" fontId="16" fillId="0" borderId="0" xfId="0" applyFont="1"/>
    <xf numFmtId="43" fontId="0" fillId="0" borderId="0" xfId="1" applyFont="1"/>
    <xf numFmtId="165" fontId="0" fillId="0" borderId="0" xfId="1" applyNumberFormat="1" applyFont="1"/>
    <xf numFmtId="0" fontId="5" fillId="7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0" fontId="2" fillId="6" borderId="0" xfId="0" applyFont="1" applyFill="1" applyAlignment="1">
      <alignment vertical="center"/>
    </xf>
    <xf numFmtId="0" fontId="6" fillId="5" borderId="12" xfId="3" applyFont="1" applyFill="1" applyBorder="1" applyAlignment="1">
      <alignment horizontal="left" vertical="center" wrapText="1"/>
    </xf>
    <xf numFmtId="43" fontId="4" fillId="7" borderId="1" xfId="1" applyFont="1" applyFill="1" applyBorder="1" applyAlignment="1">
      <alignment horizontal="center"/>
    </xf>
    <xf numFmtId="165" fontId="5" fillId="5" borderId="1" xfId="1" applyNumberFormat="1" applyFont="1" applyFill="1" applyBorder="1" applyAlignment="1">
      <alignment vertical="center" wrapText="1"/>
    </xf>
    <xf numFmtId="43" fontId="4" fillId="7" borderId="1" xfId="1" applyFont="1" applyFill="1" applyBorder="1" applyAlignment="1">
      <alignment horizontal="center" vertical="center"/>
    </xf>
    <xf numFmtId="43" fontId="15" fillId="0" borderId="1" xfId="1" applyFont="1" applyBorder="1" applyAlignment="1">
      <alignment horizontal="center"/>
    </xf>
    <xf numFmtId="165" fontId="16" fillId="0" borderId="0" xfId="1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5" borderId="12" xfId="3" applyFont="1" applyFill="1" applyBorder="1" applyAlignment="1">
      <alignment horizontal="left" vertical="center" wrapText="1"/>
    </xf>
    <xf numFmtId="43" fontId="19" fillId="5" borderId="1" xfId="1" applyFont="1" applyFill="1" applyBorder="1" applyAlignment="1">
      <alignment horizontal="center" vertical="center" wrapText="1"/>
    </xf>
    <xf numFmtId="168" fontId="5" fillId="7" borderId="1" xfId="0" applyNumberFormat="1" applyFont="1" applyFill="1" applyBorder="1" applyAlignment="1">
      <alignment vertical="center" wrapText="1"/>
    </xf>
    <xf numFmtId="0" fontId="6" fillId="5" borderId="1" xfId="3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lef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5" fillId="7" borderId="1" xfId="0" applyNumberFormat="1" applyFont="1" applyFill="1" applyBorder="1" applyAlignment="1">
      <alignment horizontal="right" vertical="center" wrapText="1"/>
    </xf>
    <xf numFmtId="43" fontId="15" fillId="0" borderId="1" xfId="1" applyFont="1" applyBorder="1" applyAlignment="1">
      <alignment vertical="center"/>
    </xf>
    <xf numFmtId="165" fontId="0" fillId="0" borderId="0" xfId="1" applyNumberFormat="1" applyFont="1" applyAlignment="1">
      <alignment vertical="center"/>
    </xf>
    <xf numFmtId="0" fontId="21" fillId="0" borderId="0" xfId="0" applyFont="1"/>
    <xf numFmtId="0" fontId="6" fillId="0" borderId="1" xfId="3" applyFont="1" applyBorder="1" applyAlignment="1">
      <alignment horizontal="left" vertical="center" wrapText="1"/>
    </xf>
    <xf numFmtId="165" fontId="16" fillId="0" borderId="0" xfId="1" applyNumberFormat="1" applyFont="1" applyAlignment="1">
      <alignment vertical="center"/>
    </xf>
    <xf numFmtId="43" fontId="5" fillId="0" borderId="1" xfId="1" applyFont="1" applyFill="1" applyBorder="1" applyAlignment="1">
      <alignment horizontal="center" vertical="center" wrapText="1"/>
    </xf>
    <xf numFmtId="164" fontId="7" fillId="0" borderId="0" xfId="0" applyNumberFormat="1" applyFont="1"/>
    <xf numFmtId="0" fontId="0" fillId="0" borderId="0" xfId="0" applyFont="1"/>
    <xf numFmtId="43" fontId="18" fillId="5" borderId="1" xfId="1" applyFont="1" applyFill="1" applyBorder="1" applyAlignment="1">
      <alignment horizontal="center" vertical="center" wrapText="1"/>
    </xf>
    <xf numFmtId="169" fontId="5" fillId="7" borderId="1" xfId="0" applyNumberFormat="1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43" fontId="5" fillId="6" borderId="1" xfId="1" applyFont="1" applyFill="1" applyBorder="1" applyAlignment="1">
      <alignment vertical="center"/>
    </xf>
    <xf numFmtId="43" fontId="4" fillId="6" borderId="1" xfId="1" applyFont="1" applyFill="1" applyBorder="1" applyAlignment="1">
      <alignment vertical="center"/>
    </xf>
    <xf numFmtId="43" fontId="5" fillId="6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5" fillId="8" borderId="1" xfId="3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vertical="center" wrapText="1"/>
    </xf>
    <xf numFmtId="43" fontId="5" fillId="8" borderId="1" xfId="1" applyFont="1" applyFill="1" applyBorder="1" applyAlignment="1">
      <alignment vertical="center"/>
    </xf>
    <xf numFmtId="43" fontId="4" fillId="8" borderId="1" xfId="1" applyFont="1" applyFill="1" applyBorder="1" applyAlignment="1">
      <alignment vertical="center"/>
    </xf>
    <xf numFmtId="43" fontId="5" fillId="8" borderId="1" xfId="1" applyFont="1" applyFill="1" applyBorder="1" applyAlignment="1">
      <alignment horizontal="center" vertical="center" wrapText="1"/>
    </xf>
    <xf numFmtId="43" fontId="4" fillId="8" borderId="1" xfId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vertical="center" wrapText="1"/>
    </xf>
    <xf numFmtId="43" fontId="12" fillId="6" borderId="1" xfId="1" applyFont="1" applyFill="1" applyBorder="1" applyAlignment="1">
      <alignment horizontal="center"/>
    </xf>
    <xf numFmtId="43" fontId="12" fillId="6" borderId="1" xfId="1" applyFont="1" applyFill="1" applyBorder="1" applyAlignment="1">
      <alignment vertical="center"/>
    </xf>
    <xf numFmtId="0" fontId="5" fillId="6" borderId="12" xfId="3" applyFont="1" applyFill="1" applyBorder="1" applyAlignment="1">
      <alignment horizontal="left" vertical="center" wrapText="1"/>
    </xf>
    <xf numFmtId="43" fontId="5" fillId="6" borderId="1" xfId="1" applyFont="1" applyFill="1" applyBorder="1" applyAlignment="1">
      <alignment vertical="center" wrapText="1"/>
    </xf>
    <xf numFmtId="1" fontId="5" fillId="8" borderId="1" xfId="0" applyNumberFormat="1" applyFont="1" applyFill="1" applyBorder="1" applyAlignment="1">
      <alignment vertical="center" wrapText="1"/>
    </xf>
    <xf numFmtId="43" fontId="12" fillId="8" borderId="1" xfId="1" applyFont="1" applyFill="1" applyBorder="1" applyAlignment="1">
      <alignment horizontal="center"/>
    </xf>
    <xf numFmtId="43" fontId="12" fillId="8" borderId="1" xfId="1" applyFont="1" applyFill="1" applyBorder="1" applyAlignment="1">
      <alignment vertical="center"/>
    </xf>
    <xf numFmtId="0" fontId="5" fillId="8" borderId="12" xfId="3" applyFont="1" applyFill="1" applyBorder="1" applyAlignment="1">
      <alignment horizontal="left" vertical="center" wrapText="1"/>
    </xf>
    <xf numFmtId="43" fontId="5" fillId="8" borderId="1" xfId="1" applyFont="1" applyFill="1" applyBorder="1" applyAlignment="1">
      <alignment vertical="center" wrapText="1"/>
    </xf>
    <xf numFmtId="43" fontId="4" fillId="6" borderId="1" xfId="1" applyFont="1" applyFill="1" applyBorder="1" applyAlignment="1">
      <alignment horizontal="center"/>
    </xf>
    <xf numFmtId="1" fontId="5" fillId="6" borderId="1" xfId="0" applyNumberFormat="1" applyFont="1" applyFill="1" applyBorder="1" applyAlignment="1">
      <alignment vertical="center" wrapText="1"/>
    </xf>
    <xf numFmtId="165" fontId="4" fillId="6" borderId="1" xfId="1" applyNumberFormat="1" applyFont="1" applyFill="1" applyBorder="1" applyAlignment="1">
      <alignment vertical="center"/>
    </xf>
    <xf numFmtId="165" fontId="4" fillId="8" borderId="1" xfId="1" applyNumberFormat="1" applyFont="1" applyFill="1" applyBorder="1" applyAlignment="1">
      <alignment vertical="center"/>
    </xf>
    <xf numFmtId="0" fontId="5" fillId="8" borderId="12" xfId="0" applyFont="1" applyFill="1" applyBorder="1" applyAlignment="1">
      <alignment horizontal="left" vertical="center" wrapText="1"/>
    </xf>
    <xf numFmtId="4" fontId="4" fillId="8" borderId="1" xfId="0" applyNumberFormat="1" applyFont="1" applyFill="1" applyBorder="1" applyAlignment="1">
      <alignment vertical="center" wrapText="1"/>
    </xf>
    <xf numFmtId="43" fontId="9" fillId="8" borderId="1" xfId="1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167" fontId="4" fillId="6" borderId="1" xfId="1" applyNumberFormat="1" applyFont="1" applyFill="1" applyBorder="1" applyAlignment="1">
      <alignment vertical="center"/>
    </xf>
    <xf numFmtId="43" fontId="9" fillId="6" borderId="1" xfId="1" applyFont="1" applyFill="1" applyBorder="1" applyAlignment="1">
      <alignment horizontal="center" vertical="center" wrapText="1"/>
    </xf>
    <xf numFmtId="43" fontId="4" fillId="8" borderId="1" xfId="1" applyFont="1" applyFill="1" applyBorder="1" applyAlignment="1">
      <alignment horizontal="center"/>
    </xf>
    <xf numFmtId="167" fontId="5" fillId="7" borderId="1" xfId="1" applyNumberFormat="1" applyFont="1" applyFill="1" applyBorder="1" applyAlignment="1">
      <alignment vertical="center"/>
    </xf>
    <xf numFmtId="43" fontId="18" fillId="7" borderId="1" xfId="1" applyFont="1" applyFill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horizontal="right" vertical="center" wrapText="1"/>
    </xf>
    <xf numFmtId="168" fontId="5" fillId="8" borderId="1" xfId="0" applyNumberFormat="1" applyFont="1" applyFill="1" applyBorder="1" applyAlignment="1">
      <alignment vertical="center" wrapText="1"/>
    </xf>
    <xf numFmtId="168" fontId="5" fillId="6" borderId="1" xfId="0" applyNumberFormat="1" applyFont="1" applyFill="1" applyBorder="1" applyAlignment="1">
      <alignment vertical="center" wrapText="1"/>
    </xf>
    <xf numFmtId="1" fontId="5" fillId="8" borderId="1" xfId="0" applyNumberFormat="1" applyFont="1" applyFill="1" applyBorder="1" applyAlignment="1">
      <alignment horizontal="right" vertical="center" wrapText="1"/>
    </xf>
    <xf numFmtId="49" fontId="5" fillId="8" borderId="1" xfId="0" applyNumberFormat="1" applyFont="1" applyFill="1" applyBorder="1" applyAlignment="1">
      <alignment horizontal="center" vertical="center" wrapText="1"/>
    </xf>
    <xf numFmtId="168" fontId="5" fillId="8" borderId="1" xfId="0" applyNumberFormat="1" applyFont="1" applyFill="1" applyBorder="1" applyAlignment="1">
      <alignment horizontal="right" vertical="center" wrapText="1"/>
    </xf>
    <xf numFmtId="0" fontId="4" fillId="6" borderId="1" xfId="0" applyFont="1" applyFill="1" applyBorder="1" applyAlignment="1">
      <alignment horizontal="center" vertical="center"/>
    </xf>
    <xf numFmtId="2" fontId="5" fillId="6" borderId="2" xfId="0" applyNumberFormat="1" applyFont="1" applyFill="1" applyBorder="1" applyAlignment="1">
      <alignment vertical="center" wrapText="1"/>
    </xf>
    <xf numFmtId="165" fontId="5" fillId="8" borderId="1" xfId="1" applyNumberFormat="1" applyFont="1" applyFill="1" applyBorder="1" applyAlignment="1">
      <alignment vertical="center" wrapText="1"/>
    </xf>
    <xf numFmtId="169" fontId="5" fillId="6" borderId="1" xfId="0" applyNumberFormat="1" applyFont="1" applyFill="1" applyBorder="1" applyAlignment="1">
      <alignment vertical="center" wrapText="1"/>
    </xf>
    <xf numFmtId="43" fontId="4" fillId="6" borderId="1" xfId="1" applyFont="1" applyFill="1" applyBorder="1" applyAlignment="1">
      <alignment horizontal="center" vertical="center"/>
    </xf>
    <xf numFmtId="43" fontId="11" fillId="6" borderId="1" xfId="1" applyFont="1" applyFill="1" applyBorder="1" applyAlignment="1">
      <alignment horizontal="center" vertical="center" wrapText="1"/>
    </xf>
    <xf numFmtId="0" fontId="5" fillId="8" borderId="1" xfId="2" applyFont="1" applyFill="1" applyBorder="1" applyAlignment="1">
      <alignment horizontal="center" vertical="center" wrapText="1"/>
    </xf>
    <xf numFmtId="167" fontId="4" fillId="8" borderId="1" xfId="1" applyNumberFormat="1" applyFont="1" applyFill="1" applyBorder="1" applyAlignment="1">
      <alignment vertical="center"/>
    </xf>
    <xf numFmtId="0" fontId="5" fillId="6" borderId="1" xfId="0" applyNumberFormat="1" applyFont="1" applyFill="1" applyBorder="1" applyAlignment="1">
      <alignment horizontal="center" vertical="center" wrapText="1"/>
    </xf>
    <xf numFmtId="43" fontId="5" fillId="8" borderId="1" xfId="1" applyFont="1" applyFill="1" applyBorder="1" applyAlignment="1">
      <alignment horizontal="center"/>
    </xf>
    <xf numFmtId="0" fontId="7" fillId="6" borderId="0" xfId="0" applyFont="1" applyFill="1"/>
    <xf numFmtId="0" fontId="7" fillId="8" borderId="0" xfId="0" applyFont="1" applyFill="1"/>
    <xf numFmtId="0" fontId="4" fillId="8" borderId="1" xfId="0" applyFont="1" applyFill="1" applyBorder="1" applyAlignment="1">
      <alignment vertical="center" wrapText="1"/>
    </xf>
    <xf numFmtId="167" fontId="5" fillId="8" borderId="1" xfId="1" applyNumberFormat="1" applyFont="1" applyFill="1" applyBorder="1" applyAlignment="1">
      <alignment horizontal="right" vertical="center"/>
    </xf>
    <xf numFmtId="43" fontId="5" fillId="8" borderId="1" xfId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vertical="center" wrapText="1"/>
    </xf>
    <xf numFmtId="0" fontId="5" fillId="6" borderId="1" xfId="2" applyFont="1" applyFill="1" applyBorder="1" applyAlignment="1">
      <alignment horizontal="left" vertical="center" wrapText="1"/>
    </xf>
    <xf numFmtId="43" fontId="5" fillId="6" borderId="1" xfId="1" applyFont="1" applyFill="1" applyBorder="1" applyAlignment="1">
      <alignment horizontal="right" vertical="center"/>
    </xf>
    <xf numFmtId="165" fontId="5" fillId="6" borderId="1" xfId="1" applyNumberFormat="1" applyFont="1" applyFill="1" applyBorder="1" applyAlignment="1">
      <alignment vertical="center" wrapText="1"/>
    </xf>
    <xf numFmtId="167" fontId="4" fillId="7" borderId="1" xfId="1" applyNumberFormat="1" applyFont="1" applyFill="1" applyBorder="1" applyAlignment="1">
      <alignment vertical="center"/>
    </xf>
    <xf numFmtId="0" fontId="5" fillId="8" borderId="1" xfId="0" applyNumberFormat="1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left" vertical="center" wrapText="1"/>
    </xf>
    <xf numFmtId="4" fontId="4" fillId="6" borderId="1" xfId="0" applyNumberFormat="1" applyFont="1" applyFill="1" applyBorder="1" applyAlignment="1">
      <alignment vertical="center" wrapText="1"/>
    </xf>
    <xf numFmtId="43" fontId="4" fillId="8" borderId="1" xfId="1" applyFont="1" applyFill="1" applyBorder="1" applyAlignment="1">
      <alignment horizontal="right" vertical="center" wrapText="1"/>
    </xf>
    <xf numFmtId="0" fontId="14" fillId="0" borderId="0" xfId="3" applyFont="1" applyBorder="1" applyAlignment="1">
      <alignment horizontal="right" wrapText="1"/>
    </xf>
    <xf numFmtId="43" fontId="15" fillId="0" borderId="0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3" fontId="5" fillId="8" borderId="3" xfId="1" applyFont="1" applyFill="1" applyBorder="1" applyAlignment="1">
      <alignment horizontal="center" vertical="center" wrapText="1"/>
    </xf>
    <xf numFmtId="43" fontId="5" fillId="8" borderId="6" xfId="1" applyFont="1" applyFill="1" applyBorder="1" applyAlignment="1">
      <alignment horizontal="center" vertical="center" wrapText="1"/>
    </xf>
    <xf numFmtId="0" fontId="20" fillId="0" borderId="12" xfId="3" applyFont="1" applyBorder="1" applyAlignment="1">
      <alignment horizontal="right" vertical="center" wrapText="1"/>
    </xf>
    <xf numFmtId="0" fontId="20" fillId="0" borderId="13" xfId="3" applyFont="1" applyBorder="1" applyAlignment="1">
      <alignment horizontal="right" vertical="center" wrapText="1"/>
    </xf>
    <xf numFmtId="0" fontId="20" fillId="0" borderId="2" xfId="3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4" fillId="0" borderId="12" xfId="3" applyFont="1" applyBorder="1" applyAlignment="1">
      <alignment horizontal="right" wrapText="1"/>
    </xf>
    <xf numFmtId="0" fontId="14" fillId="0" borderId="13" xfId="3" applyFont="1" applyBorder="1" applyAlignment="1">
      <alignment horizontal="right" wrapText="1"/>
    </xf>
    <xf numFmtId="0" fontId="14" fillId="0" borderId="2" xfId="3" applyFont="1" applyBorder="1" applyAlignment="1">
      <alignment horizontal="right" wrapText="1"/>
    </xf>
    <xf numFmtId="0" fontId="13" fillId="5" borderId="12" xfId="2" applyFont="1" applyFill="1" applyBorder="1" applyAlignment="1">
      <alignment horizontal="left" vertical="center" wrapText="1"/>
    </xf>
    <xf numFmtId="0" fontId="13" fillId="5" borderId="2" xfId="2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43" fontId="5" fillId="7" borderId="1" xfId="1" applyFont="1" applyFill="1" applyBorder="1" applyAlignment="1">
      <alignment horizontal="center"/>
    </xf>
    <xf numFmtId="43" fontId="5" fillId="7" borderId="1" xfId="1" applyFont="1" applyFill="1" applyBorder="1" applyAlignment="1">
      <alignment horizontal="center" vertical="center"/>
    </xf>
    <xf numFmtId="43" fontId="5" fillId="6" borderId="1" xfId="1" applyFont="1" applyFill="1" applyBorder="1" applyAlignment="1">
      <alignment horizontal="center"/>
    </xf>
    <xf numFmtId="43" fontId="5" fillId="5" borderId="1" xfId="1" applyFont="1" applyFill="1" applyBorder="1" applyAlignment="1">
      <alignment horizontal="center"/>
    </xf>
  </cellXfs>
  <cellStyles count="4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view="pageBreakPreview" zoomScaleNormal="100" zoomScaleSheetLayoutView="100" workbookViewId="0">
      <selection activeCell="E13" sqref="E13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11" x14ac:dyDescent="0.25">
      <c r="A1" s="190" t="s">
        <v>0</v>
      </c>
      <c r="B1" s="190" t="s">
        <v>1</v>
      </c>
      <c r="C1" s="191" t="s">
        <v>2</v>
      </c>
      <c r="D1" s="191"/>
      <c r="E1" s="191"/>
      <c r="F1" s="192" t="s">
        <v>3</v>
      </c>
      <c r="G1" s="192"/>
      <c r="H1" s="192"/>
    </row>
    <row r="2" spans="1:11" ht="28.5" x14ac:dyDescent="0.25">
      <c r="A2" s="190"/>
      <c r="B2" s="190"/>
      <c r="C2" s="1" t="s">
        <v>4</v>
      </c>
      <c r="D2" s="2" t="s">
        <v>5</v>
      </c>
      <c r="E2" s="2" t="s">
        <v>6</v>
      </c>
      <c r="F2" s="3" t="s">
        <v>4</v>
      </c>
      <c r="G2" s="4" t="s">
        <v>5</v>
      </c>
      <c r="H2" s="4" t="s">
        <v>6</v>
      </c>
    </row>
    <row r="3" spans="1:11" x14ac:dyDescent="0.25">
      <c r="A3" s="5">
        <v>1</v>
      </c>
      <c r="B3" s="6" t="s">
        <v>453</v>
      </c>
      <c r="C3" s="7">
        <f>'В1-3А, В1-4'!F157</f>
        <v>917814.98999999953</v>
      </c>
      <c r="D3" s="8">
        <f>'В1-3А, В1-4'!I157</f>
        <v>870933.77999999968</v>
      </c>
      <c r="E3" s="9">
        <f>C3+D3</f>
        <v>1788748.7699999991</v>
      </c>
      <c r="F3" s="10">
        <f>'В1-3А, В1-4'!G157</f>
        <v>1101377.99</v>
      </c>
      <c r="G3" s="11">
        <f>'В1-3А, В1-4'!J157</f>
        <v>1045120.54</v>
      </c>
      <c r="H3" s="12">
        <f>F3+G3</f>
        <v>2146498.5300000003</v>
      </c>
      <c r="I3" s="13"/>
    </row>
    <row r="4" spans="1:11" x14ac:dyDescent="0.25">
      <c r="A4" s="5">
        <f>A3+1</f>
        <v>2</v>
      </c>
      <c r="B4" s="6" t="s">
        <v>440</v>
      </c>
      <c r="C4" s="7">
        <f>'В1-4-до Уг.1'!F37</f>
        <v>1104105.2999999996</v>
      </c>
      <c r="D4" s="8">
        <f>'В1-4-до Уг.1'!I37</f>
        <v>820042.34000000008</v>
      </c>
      <c r="E4" s="9">
        <f>C4+D4</f>
        <v>1924147.6399999997</v>
      </c>
      <c r="F4" s="10">
        <f>'В1-4-до Уг.1'!G37</f>
        <v>1324926.3600000001</v>
      </c>
      <c r="G4" s="11">
        <f>'В1-4-до Уг.1'!J37</f>
        <v>984050.81</v>
      </c>
      <c r="H4" s="12">
        <f>F4+G4</f>
        <v>2308977.17</v>
      </c>
      <c r="I4" s="13"/>
    </row>
    <row r="5" spans="1:11" x14ac:dyDescent="0.25">
      <c r="A5" s="5">
        <f>A4+1</f>
        <v>3</v>
      </c>
      <c r="B5" s="6" t="s">
        <v>439</v>
      </c>
      <c r="C5" s="7">
        <f>'Уг.1-до Уг.2'!F58</f>
        <v>403093.04000000004</v>
      </c>
      <c r="D5" s="8">
        <f>'Уг.1-до Уг.2'!I58</f>
        <v>393260.72000000003</v>
      </c>
      <c r="E5" s="9">
        <f t="shared" ref="E5:E13" si="0">C5+D5</f>
        <v>796353.76</v>
      </c>
      <c r="F5" s="10">
        <f>'Уг.1-до Уг.2'!G58</f>
        <v>483711.65</v>
      </c>
      <c r="G5" s="11">
        <f>'Уг.1-до Уг.2'!J58</f>
        <v>471912.86</v>
      </c>
      <c r="H5" s="12">
        <f t="shared" ref="H5:H13" si="1">F5+G5</f>
        <v>955624.51</v>
      </c>
      <c r="I5" s="14"/>
    </row>
    <row r="6" spans="1:11" x14ac:dyDescent="0.25">
      <c r="A6" s="5">
        <f>A5+1</f>
        <v>4</v>
      </c>
      <c r="B6" s="6" t="s">
        <v>450</v>
      </c>
      <c r="C6" s="7">
        <f>'Уг.2-до В1нов'!F28</f>
        <v>444754.94000000006</v>
      </c>
      <c r="D6" s="8">
        <f>'Уг.2-до В1нов'!I28</f>
        <v>155237.75</v>
      </c>
      <c r="E6" s="9">
        <f t="shared" si="0"/>
        <v>599992.69000000006</v>
      </c>
      <c r="F6" s="10">
        <f>'Уг.2-до В1нов'!G28</f>
        <v>533705.93000000005</v>
      </c>
      <c r="G6" s="11">
        <f>'Уг.2-до В1нов'!J28</f>
        <v>186285.3</v>
      </c>
      <c r="H6" s="12">
        <f t="shared" si="1"/>
        <v>719991.23</v>
      </c>
      <c r="I6" s="14"/>
    </row>
    <row r="7" spans="1:11" x14ac:dyDescent="0.25">
      <c r="A7" s="5">
        <f>A6+1</f>
        <v>5</v>
      </c>
      <c r="B7" s="6" t="s">
        <v>452</v>
      </c>
      <c r="C7" s="7">
        <f>'В1-30-В1-31'!F115</f>
        <v>1692260.1599999995</v>
      </c>
      <c r="D7" s="8">
        <f>'В1-30-В1-31'!I115</f>
        <v>1600168.7000000002</v>
      </c>
      <c r="E7" s="9">
        <f t="shared" si="0"/>
        <v>3292428.8599999994</v>
      </c>
      <c r="F7" s="10">
        <f>'В1-30-В1-31'!G115</f>
        <v>2030712.19</v>
      </c>
      <c r="G7" s="11">
        <f>'В1-30-В1-31'!J115</f>
        <v>1920202.44</v>
      </c>
      <c r="H7" s="12">
        <f t="shared" si="1"/>
        <v>3950914.63</v>
      </c>
      <c r="I7" s="14"/>
    </row>
    <row r="8" spans="1:11" x14ac:dyDescent="0.25">
      <c r="A8" s="5">
        <f t="shared" ref="A8:A13" si="2">A7+1</f>
        <v>6</v>
      </c>
      <c r="B8" s="15" t="s">
        <v>441</v>
      </c>
      <c r="C8" s="7">
        <f>'В1-1-В1-1А'!F95</f>
        <v>3259504.76</v>
      </c>
      <c r="D8" s="8">
        <f>'В1-1-В1-1А'!I95</f>
        <v>1444212.4999999995</v>
      </c>
      <c r="E8" s="9">
        <f t="shared" si="0"/>
        <v>4703717.26</v>
      </c>
      <c r="F8" s="10">
        <f>'В1-1-В1-1А'!G95</f>
        <v>3911405.71</v>
      </c>
      <c r="G8" s="11">
        <f>'В1-1-В1-1А'!J95</f>
        <v>1733055</v>
      </c>
      <c r="H8" s="12">
        <f t="shared" si="1"/>
        <v>5644460.71</v>
      </c>
      <c r="I8" s="14"/>
      <c r="J8" s="13"/>
      <c r="K8" s="13"/>
    </row>
    <row r="9" spans="1:11" x14ac:dyDescent="0.25">
      <c r="A9" s="5">
        <f t="shared" si="2"/>
        <v>7</v>
      </c>
      <c r="B9" s="15" t="s">
        <v>454</v>
      </c>
      <c r="C9" s="7">
        <f>'В1-2-В1-2А'!F108</f>
        <v>924105.26</v>
      </c>
      <c r="D9" s="8">
        <f>'В1-2-В1-2А'!I108</f>
        <v>1024703.3999999999</v>
      </c>
      <c r="E9" s="9">
        <f t="shared" si="0"/>
        <v>1948808.66</v>
      </c>
      <c r="F9" s="10">
        <f>'В1-2-В1-2А'!G108</f>
        <v>1108926.31</v>
      </c>
      <c r="G9" s="11">
        <f>'В1-2-В1-2А'!J108</f>
        <v>1229644.08</v>
      </c>
      <c r="H9" s="12">
        <f t="shared" si="1"/>
        <v>2338570.39</v>
      </c>
      <c r="I9" s="14"/>
      <c r="J9" s="13"/>
      <c r="K9" s="13"/>
    </row>
    <row r="10" spans="1:11" x14ac:dyDescent="0.25">
      <c r="A10" s="5">
        <f t="shared" si="2"/>
        <v>8</v>
      </c>
      <c r="B10" s="15" t="s">
        <v>456</v>
      </c>
      <c r="C10" s="7">
        <f>'В1нов1-В15'!F118</f>
        <v>470971.42</v>
      </c>
      <c r="D10" s="8">
        <f>'В1нов1-В15'!I118</f>
        <v>528634.78999999992</v>
      </c>
      <c r="E10" s="9">
        <f t="shared" si="0"/>
        <v>999606.21</v>
      </c>
      <c r="F10" s="10">
        <f>'В1нов1-В15'!G118</f>
        <v>565165.69999999995</v>
      </c>
      <c r="G10" s="11">
        <f>'В1нов1-В15'!J118</f>
        <v>634361.75</v>
      </c>
      <c r="H10" s="12">
        <f t="shared" si="1"/>
        <v>1199527.45</v>
      </c>
      <c r="I10" s="14"/>
      <c r="J10" s="13"/>
      <c r="K10" s="13"/>
    </row>
    <row r="11" spans="1:11" x14ac:dyDescent="0.25">
      <c r="A11" s="5">
        <f t="shared" si="2"/>
        <v>9</v>
      </c>
      <c r="B11" s="15" t="s">
        <v>508</v>
      </c>
      <c r="C11" s="7">
        <f>'В1нов1-цех121'!F30</f>
        <v>90065.61</v>
      </c>
      <c r="D11" s="8">
        <f>'В1нов1-цех121'!I30</f>
        <v>42359.63</v>
      </c>
      <c r="E11" s="9">
        <f t="shared" si="0"/>
        <v>132425.24</v>
      </c>
      <c r="F11" s="10">
        <f>'В1нов1-цех121'!G30</f>
        <v>108078.73</v>
      </c>
      <c r="G11" s="11">
        <f>'В1нов1-цех121'!J30</f>
        <v>50831.56</v>
      </c>
      <c r="H11" s="12">
        <f t="shared" si="1"/>
        <v>158910.28999999998</v>
      </c>
      <c r="I11" s="14"/>
      <c r="J11" s="13"/>
      <c r="K11" s="13"/>
    </row>
    <row r="12" spans="1:11" x14ac:dyDescent="0.25">
      <c r="A12" s="5">
        <f t="shared" si="2"/>
        <v>10</v>
      </c>
      <c r="B12" s="15" t="s">
        <v>515</v>
      </c>
      <c r="C12" s="7">
        <f>'В1нов1-В17'!F49</f>
        <v>1057403.6800000002</v>
      </c>
      <c r="D12" s="8">
        <f>'В1нов1-В17'!I49</f>
        <v>658579.62</v>
      </c>
      <c r="E12" s="9">
        <f t="shared" si="0"/>
        <v>1715983.3000000003</v>
      </c>
      <c r="F12" s="10">
        <f>'В1нов1-В17'!G49</f>
        <v>1268884.42</v>
      </c>
      <c r="G12" s="11">
        <f>'В1нов1-В17'!J49</f>
        <v>790295.54</v>
      </c>
      <c r="H12" s="12">
        <f t="shared" si="1"/>
        <v>2059179.96</v>
      </c>
      <c r="I12" s="14"/>
      <c r="J12" s="13"/>
      <c r="K12" s="13"/>
    </row>
    <row r="13" spans="1:11" x14ac:dyDescent="0.25">
      <c r="A13" s="5">
        <f t="shared" si="2"/>
        <v>11</v>
      </c>
      <c r="B13" s="6" t="s">
        <v>525</v>
      </c>
      <c r="C13" s="7">
        <f>'В1-7-В1-8'!F28</f>
        <v>426153.15999999992</v>
      </c>
      <c r="D13" s="8">
        <f>'В1-7-В1-8'!I28</f>
        <v>428747.86</v>
      </c>
      <c r="E13" s="9">
        <f t="shared" si="0"/>
        <v>854901.0199999999</v>
      </c>
      <c r="F13" s="10">
        <f>'В1-7-В1-8'!G28</f>
        <v>511383.79</v>
      </c>
      <c r="G13" s="11">
        <f>'В1-7-В1-8'!J28</f>
        <v>514497.43</v>
      </c>
      <c r="H13" s="12">
        <f t="shared" si="1"/>
        <v>1025881.22</v>
      </c>
      <c r="I13" s="13"/>
    </row>
    <row r="14" spans="1:11" x14ac:dyDescent="0.25">
      <c r="A14" s="16"/>
      <c r="B14" s="17" t="s">
        <v>7</v>
      </c>
      <c r="C14" s="18">
        <f t="shared" ref="C14:H14" si="3">SUM(C3:C13)</f>
        <v>10790232.319999998</v>
      </c>
      <c r="D14" s="18">
        <f t="shared" si="3"/>
        <v>7966881.0899999999</v>
      </c>
      <c r="E14" s="18">
        <f t="shared" si="3"/>
        <v>18757113.409999996</v>
      </c>
      <c r="F14" s="19">
        <f t="shared" si="3"/>
        <v>12948278.779999999</v>
      </c>
      <c r="G14" s="19">
        <f t="shared" si="3"/>
        <v>9560257.3099999987</v>
      </c>
      <c r="H14" s="19">
        <f t="shared" si="3"/>
        <v>22508536.09</v>
      </c>
      <c r="I14" s="13"/>
    </row>
    <row r="15" spans="1:11" x14ac:dyDescent="0.25">
      <c r="A15" s="20"/>
      <c r="B15" s="20"/>
      <c r="C15" s="20"/>
      <c r="D15" s="20"/>
      <c r="E15" s="20"/>
      <c r="I15" s="13"/>
    </row>
    <row r="16" spans="1:11" x14ac:dyDescent="0.25">
      <c r="A16" s="20"/>
      <c r="B16" s="20"/>
      <c r="C16" s="20"/>
      <c r="D16" s="20"/>
      <c r="E16" s="20"/>
    </row>
    <row r="17" spans="1:5" x14ac:dyDescent="0.25">
      <c r="A17" s="20"/>
      <c r="B17" s="20"/>
      <c r="C17" s="20"/>
      <c r="D17" s="20"/>
      <c r="E17" s="20"/>
    </row>
    <row r="18" spans="1:5" x14ac:dyDescent="0.25">
      <c r="A18" s="20"/>
      <c r="B18" s="20"/>
      <c r="C18" s="20"/>
      <c r="D18" s="20"/>
      <c r="E18" s="20"/>
    </row>
    <row r="19" spans="1:5" x14ac:dyDescent="0.25">
      <c r="A19" s="20"/>
      <c r="B19" s="20"/>
      <c r="C19" s="20"/>
      <c r="D19" s="20"/>
      <c r="E19" s="20"/>
    </row>
    <row r="20" spans="1:5" x14ac:dyDescent="0.25">
      <c r="A20" s="20"/>
      <c r="B20" s="20"/>
      <c r="C20" s="20"/>
      <c r="D20" s="20"/>
      <c r="E20" s="20"/>
    </row>
    <row r="21" spans="1:5" x14ac:dyDescent="0.25">
      <c r="A21" s="20"/>
      <c r="B21" s="20"/>
      <c r="C21" s="20"/>
      <c r="D21" s="20"/>
      <c r="E21" s="20"/>
    </row>
    <row r="22" spans="1:5" x14ac:dyDescent="0.25">
      <c r="A22" s="20"/>
      <c r="B22" s="20"/>
      <c r="C22" s="20"/>
      <c r="D22" s="20"/>
      <c r="E22" s="20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79998168889431442"/>
  </sheetPr>
  <dimension ref="A1:M33"/>
  <sheetViews>
    <sheetView view="pageBreakPreview" zoomScale="80" zoomScaleNormal="100" zoomScaleSheetLayoutView="80" workbookViewId="0">
      <selection activeCell="H29" sqref="H29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style="116" customWidth="1"/>
    <col min="6" max="6" width="16" customWidth="1"/>
    <col min="7" max="7" width="17.140625" style="89" customWidth="1"/>
    <col min="8" max="8" width="16.140625" style="89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194" t="s">
        <v>0</v>
      </c>
      <c r="B1" s="197" t="s">
        <v>8</v>
      </c>
      <c r="C1" s="200" t="s">
        <v>9</v>
      </c>
      <c r="D1" s="200" t="s">
        <v>10</v>
      </c>
      <c r="E1" s="206" t="s">
        <v>11</v>
      </c>
      <c r="F1" s="207"/>
      <c r="G1" s="207"/>
      <c r="H1" s="207"/>
      <c r="I1" s="207"/>
      <c r="J1" s="207"/>
      <c r="K1" s="207"/>
      <c r="L1" s="207"/>
    </row>
    <row r="2" spans="1:13" ht="14.45" customHeight="1" x14ac:dyDescent="0.25">
      <c r="A2" s="195"/>
      <c r="B2" s="198"/>
      <c r="C2" s="200"/>
      <c r="D2" s="200"/>
      <c r="E2" s="208"/>
      <c r="F2" s="209"/>
      <c r="G2" s="209"/>
      <c r="H2" s="209"/>
      <c r="I2" s="209"/>
      <c r="J2" s="209"/>
      <c r="K2" s="209"/>
      <c r="L2" s="209"/>
    </row>
    <row r="3" spans="1:13" ht="27.75" customHeight="1" x14ac:dyDescent="0.25">
      <c r="A3" s="195"/>
      <c r="B3" s="198"/>
      <c r="C3" s="200"/>
      <c r="D3" s="200"/>
      <c r="E3" s="200" t="s">
        <v>12</v>
      </c>
      <c r="F3" s="200"/>
      <c r="G3" s="200"/>
      <c r="H3" s="200" t="s">
        <v>13</v>
      </c>
      <c r="I3" s="200"/>
      <c r="J3" s="200"/>
      <c r="K3" s="190" t="s">
        <v>14</v>
      </c>
      <c r="L3" s="190"/>
    </row>
    <row r="4" spans="1:13" ht="56.1" customHeight="1" x14ac:dyDescent="0.25">
      <c r="A4" s="196"/>
      <c r="B4" s="199"/>
      <c r="C4" s="200"/>
      <c r="D4" s="200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30" customHeight="1" x14ac:dyDescent="0.25">
      <c r="A6" s="26"/>
      <c r="B6" s="217" t="s">
        <v>507</v>
      </c>
      <c r="C6" s="218"/>
      <c r="D6" s="218"/>
      <c r="E6" s="27"/>
      <c r="F6" s="28"/>
      <c r="G6" s="29"/>
      <c r="H6" s="29"/>
      <c r="I6" s="29"/>
      <c r="J6" s="29"/>
      <c r="K6" s="29"/>
      <c r="L6" s="29"/>
      <c r="M6" s="111" t="s">
        <v>432</v>
      </c>
    </row>
    <row r="7" spans="1:13" ht="20.25" customHeight="1" x14ac:dyDescent="0.25">
      <c r="A7" s="51"/>
      <c r="B7" s="42" t="s">
        <v>335</v>
      </c>
      <c r="C7" s="38"/>
      <c r="D7" s="52"/>
      <c r="E7" s="53"/>
      <c r="F7" s="54"/>
      <c r="G7" s="55"/>
      <c r="H7" s="56"/>
      <c r="I7" s="57"/>
      <c r="J7" s="57"/>
      <c r="K7" s="58"/>
      <c r="L7" s="57"/>
    </row>
    <row r="8" spans="1:13" ht="24" customHeight="1" x14ac:dyDescent="0.25">
      <c r="A8" s="119">
        <f>A7+1</f>
        <v>1</v>
      </c>
      <c r="B8" s="120" t="s">
        <v>509</v>
      </c>
      <c r="C8" s="121" t="s">
        <v>24</v>
      </c>
      <c r="D8" s="135">
        <v>3.79</v>
      </c>
      <c r="E8" s="125">
        <v>1688.15</v>
      </c>
      <c r="F8" s="124">
        <f t="shared" ref="F8" si="0">ROUND(E8*D8,2)</f>
        <v>6398.09</v>
      </c>
      <c r="G8" s="124">
        <f t="shared" ref="G8" si="1">ROUND(F8*1.2,2)</f>
        <v>7677.71</v>
      </c>
      <c r="H8" s="136"/>
      <c r="I8" s="137"/>
      <c r="J8" s="137"/>
      <c r="K8" s="125">
        <f t="shared" ref="K8" si="2">F8+I8</f>
        <v>6398.09</v>
      </c>
      <c r="L8" s="123">
        <f t="shared" ref="L8" si="3">G8+J8</f>
        <v>7677.71</v>
      </c>
    </row>
    <row r="9" spans="1:13" ht="24" customHeight="1" x14ac:dyDescent="0.25">
      <c r="A9" s="119">
        <f>A8+1</f>
        <v>2</v>
      </c>
      <c r="B9" s="120" t="s">
        <v>44</v>
      </c>
      <c r="C9" s="121" t="s">
        <v>24</v>
      </c>
      <c r="D9" s="135">
        <v>32.799999999999997</v>
      </c>
      <c r="E9" s="125">
        <v>308.75</v>
      </c>
      <c r="F9" s="124">
        <f t="shared" ref="F9:F13" si="4">ROUND(E9*D9,2)</f>
        <v>10127</v>
      </c>
      <c r="G9" s="124">
        <f t="shared" ref="G9:G13" si="5">ROUND(F9*1.2,2)</f>
        <v>12152.4</v>
      </c>
      <c r="H9" s="136"/>
      <c r="I9" s="137"/>
      <c r="J9" s="137"/>
      <c r="K9" s="125">
        <f t="shared" ref="K9:L17" si="6">F9+I9</f>
        <v>10127</v>
      </c>
      <c r="L9" s="123">
        <f t="shared" si="6"/>
        <v>12152.4</v>
      </c>
    </row>
    <row r="10" spans="1:13" ht="24" customHeight="1" x14ac:dyDescent="0.25">
      <c r="A10" s="119">
        <f>A9+1</f>
        <v>3</v>
      </c>
      <c r="B10" s="120" t="s">
        <v>45</v>
      </c>
      <c r="C10" s="121" t="s">
        <v>24</v>
      </c>
      <c r="D10" s="135">
        <v>1.01</v>
      </c>
      <c r="E10" s="125">
        <v>1688.15</v>
      </c>
      <c r="F10" s="124">
        <f t="shared" si="4"/>
        <v>1705.03</v>
      </c>
      <c r="G10" s="124">
        <f t="shared" si="5"/>
        <v>2046.04</v>
      </c>
      <c r="H10" s="136"/>
      <c r="I10" s="137"/>
      <c r="J10" s="137"/>
      <c r="K10" s="125">
        <f t="shared" si="6"/>
        <v>1705.03</v>
      </c>
      <c r="L10" s="123">
        <f t="shared" si="6"/>
        <v>2046.04</v>
      </c>
    </row>
    <row r="11" spans="1:13" ht="20.25" customHeight="1" x14ac:dyDescent="0.25">
      <c r="A11" s="119">
        <f>A10+1</f>
        <v>4</v>
      </c>
      <c r="B11" s="120" t="s">
        <v>46</v>
      </c>
      <c r="C11" s="121" t="s">
        <v>24</v>
      </c>
      <c r="D11" s="135">
        <v>1.27</v>
      </c>
      <c r="E11" s="125">
        <v>1310.05</v>
      </c>
      <c r="F11" s="124">
        <f t="shared" si="4"/>
        <v>1663.76</v>
      </c>
      <c r="G11" s="124">
        <f t="shared" si="5"/>
        <v>1996.51</v>
      </c>
      <c r="H11" s="136"/>
      <c r="I11" s="137"/>
      <c r="J11" s="137"/>
      <c r="K11" s="125">
        <f t="shared" si="6"/>
        <v>1663.76</v>
      </c>
      <c r="L11" s="123">
        <f t="shared" si="6"/>
        <v>1996.51</v>
      </c>
    </row>
    <row r="12" spans="1:13" ht="20.25" customHeight="1" x14ac:dyDescent="0.25">
      <c r="A12" s="44" t="s">
        <v>510</v>
      </c>
      <c r="B12" s="45" t="s">
        <v>48</v>
      </c>
      <c r="C12" s="46" t="s">
        <v>24</v>
      </c>
      <c r="D12" s="47">
        <f>D11*1.1</f>
        <v>1.3970000000000002</v>
      </c>
      <c r="E12" s="65"/>
      <c r="F12" s="49"/>
      <c r="G12" s="49"/>
      <c r="H12" s="49">
        <v>1191.3</v>
      </c>
      <c r="I12" s="49">
        <f>ROUND(H12*D12,2)</f>
        <v>1664.25</v>
      </c>
      <c r="J12" s="49">
        <f>ROUND(I12*1.2,2)</f>
        <v>1997.1</v>
      </c>
      <c r="K12" s="50">
        <f t="shared" si="6"/>
        <v>1664.25</v>
      </c>
      <c r="L12" s="49">
        <f t="shared" si="6"/>
        <v>1997.1</v>
      </c>
    </row>
    <row r="13" spans="1:13" ht="24" customHeight="1" x14ac:dyDescent="0.25">
      <c r="A13" s="119">
        <f>A11+1</f>
        <v>5</v>
      </c>
      <c r="B13" s="138" t="s">
        <v>460</v>
      </c>
      <c r="C13" s="121" t="s">
        <v>24</v>
      </c>
      <c r="D13" s="135">
        <v>14.38</v>
      </c>
      <c r="E13" s="125">
        <v>1310.05</v>
      </c>
      <c r="F13" s="124">
        <f t="shared" si="4"/>
        <v>18838.52</v>
      </c>
      <c r="G13" s="124">
        <f t="shared" si="5"/>
        <v>22606.22</v>
      </c>
      <c r="H13" s="124"/>
      <c r="I13" s="124"/>
      <c r="J13" s="124"/>
      <c r="K13" s="126">
        <f t="shared" si="6"/>
        <v>18838.52</v>
      </c>
      <c r="L13" s="124">
        <f t="shared" si="6"/>
        <v>22606.22</v>
      </c>
    </row>
    <row r="14" spans="1:13" ht="20.25" customHeight="1" x14ac:dyDescent="0.25">
      <c r="A14" s="44" t="s">
        <v>31</v>
      </c>
      <c r="B14" s="45" t="s">
        <v>48</v>
      </c>
      <c r="C14" s="46" t="s">
        <v>24</v>
      </c>
      <c r="D14" s="47">
        <f>D13*1.1</f>
        <v>15.818000000000001</v>
      </c>
      <c r="E14" s="65"/>
      <c r="F14" s="49"/>
      <c r="G14" s="49"/>
      <c r="H14" s="49">
        <v>1191.3</v>
      </c>
      <c r="I14" s="49">
        <f>ROUND(H14*D14,2)</f>
        <v>18843.98</v>
      </c>
      <c r="J14" s="49">
        <f>ROUND(I14*1.2,2)</f>
        <v>22612.78</v>
      </c>
      <c r="K14" s="50">
        <f t="shared" si="6"/>
        <v>18843.98</v>
      </c>
      <c r="L14" s="49">
        <f t="shared" si="6"/>
        <v>22612.78</v>
      </c>
    </row>
    <row r="15" spans="1:13" s="61" customFormat="1" ht="22.5" customHeight="1" x14ac:dyDescent="0.25">
      <c r="A15" s="121">
        <f>A13+1</f>
        <v>6</v>
      </c>
      <c r="B15" s="120" t="s">
        <v>148</v>
      </c>
      <c r="C15" s="121" t="s">
        <v>24</v>
      </c>
      <c r="D15" s="135">
        <v>27.02</v>
      </c>
      <c r="E15" s="125">
        <v>118.75</v>
      </c>
      <c r="F15" s="124">
        <f t="shared" ref="F15:F16" si="7">ROUND(E15*D15,2)</f>
        <v>3208.63</v>
      </c>
      <c r="G15" s="124">
        <f t="shared" ref="G15:G17" si="8">ROUND(F15*1.2,2)</f>
        <v>3850.36</v>
      </c>
      <c r="H15" s="136"/>
      <c r="I15" s="137"/>
      <c r="J15" s="137"/>
      <c r="K15" s="125">
        <f t="shared" si="6"/>
        <v>3208.63</v>
      </c>
      <c r="L15" s="123">
        <f t="shared" si="6"/>
        <v>3850.36</v>
      </c>
      <c r="M15" s="60"/>
    </row>
    <row r="16" spans="1:13" ht="22.5" customHeight="1" x14ac:dyDescent="0.25">
      <c r="A16" s="119">
        <f>A15+1</f>
        <v>7</v>
      </c>
      <c r="B16" s="120" t="s">
        <v>575</v>
      </c>
      <c r="C16" s="121" t="s">
        <v>24</v>
      </c>
      <c r="D16" s="135">
        <v>41.4</v>
      </c>
      <c r="E16" s="125">
        <v>188.1</v>
      </c>
      <c r="F16" s="124">
        <f t="shared" si="7"/>
        <v>7787.34</v>
      </c>
      <c r="G16" s="124">
        <f t="shared" si="8"/>
        <v>9344.81</v>
      </c>
      <c r="H16" s="125"/>
      <c r="I16" s="124"/>
      <c r="J16" s="124"/>
      <c r="K16" s="125">
        <f t="shared" si="6"/>
        <v>7787.34</v>
      </c>
      <c r="L16" s="123">
        <f t="shared" si="6"/>
        <v>9344.81</v>
      </c>
    </row>
    <row r="17" spans="1:13" ht="18.75" customHeight="1" x14ac:dyDescent="0.25">
      <c r="A17" s="119">
        <f>A16+1</f>
        <v>8</v>
      </c>
      <c r="B17" s="120" t="s">
        <v>51</v>
      </c>
      <c r="C17" s="121" t="s">
        <v>37</v>
      </c>
      <c r="D17" s="135">
        <v>2.85</v>
      </c>
      <c r="E17" s="125">
        <v>308.75</v>
      </c>
      <c r="F17" s="124">
        <f>ROUND(E17*D17,2)</f>
        <v>879.94</v>
      </c>
      <c r="G17" s="124">
        <f t="shared" si="8"/>
        <v>1055.93</v>
      </c>
      <c r="H17" s="125"/>
      <c r="I17" s="124"/>
      <c r="J17" s="124"/>
      <c r="K17" s="125">
        <f t="shared" si="6"/>
        <v>879.94</v>
      </c>
      <c r="L17" s="123">
        <f t="shared" si="6"/>
        <v>1055.93</v>
      </c>
    </row>
    <row r="18" spans="1:13" ht="22.5" customHeight="1" x14ac:dyDescent="0.25">
      <c r="A18" s="44"/>
      <c r="B18" s="42" t="s">
        <v>52</v>
      </c>
      <c r="C18" s="38"/>
      <c r="D18" s="52"/>
      <c r="E18" s="53"/>
      <c r="F18" s="54"/>
      <c r="G18" s="55"/>
      <c r="H18" s="62"/>
      <c r="I18" s="35"/>
      <c r="J18" s="35"/>
      <c r="K18" s="32"/>
      <c r="L18" s="35"/>
    </row>
    <row r="19" spans="1:13" ht="29.25" customHeight="1" x14ac:dyDescent="0.25">
      <c r="A19" s="129">
        <f>A17+1</f>
        <v>9</v>
      </c>
      <c r="B19" s="149" t="s">
        <v>511</v>
      </c>
      <c r="C19" s="129" t="s">
        <v>63</v>
      </c>
      <c r="D19" s="140">
        <v>1</v>
      </c>
      <c r="E19" s="187">
        <v>2740</v>
      </c>
      <c r="F19" s="131">
        <f t="shared" ref="F19" si="9">ROUND(E19*D19,2)</f>
        <v>2740</v>
      </c>
      <c r="G19" s="131">
        <f t="shared" ref="G19" si="10">ROUND(F19*1.2,2)</f>
        <v>3288</v>
      </c>
      <c r="H19" s="151"/>
      <c r="I19" s="131"/>
      <c r="J19" s="131"/>
      <c r="K19" s="133">
        <f t="shared" ref="K19:L19" si="11">F19+I19</f>
        <v>2740</v>
      </c>
      <c r="L19" s="131">
        <f t="shared" si="11"/>
        <v>3288</v>
      </c>
    </row>
    <row r="20" spans="1:13" ht="29.25" customHeight="1" x14ac:dyDescent="0.25">
      <c r="A20" s="129">
        <f>A19+1</f>
        <v>10</v>
      </c>
      <c r="B20" s="149" t="s">
        <v>533</v>
      </c>
      <c r="C20" s="129" t="s">
        <v>63</v>
      </c>
      <c r="D20" s="140">
        <v>1</v>
      </c>
      <c r="E20" s="133">
        <v>1989.85</v>
      </c>
      <c r="F20" s="131">
        <f t="shared" ref="F20" si="12">ROUND(E20*D20,2)</f>
        <v>1989.85</v>
      </c>
      <c r="G20" s="131">
        <f t="shared" ref="G20" si="13">ROUND(F20*1.2,2)</f>
        <v>2387.8200000000002</v>
      </c>
      <c r="H20" s="151"/>
      <c r="I20" s="131"/>
      <c r="J20" s="131"/>
      <c r="K20" s="133">
        <f t="shared" ref="K20:K21" si="14">F20+I20</f>
        <v>1989.85</v>
      </c>
      <c r="L20" s="131">
        <f t="shared" ref="L20:L21" si="15">G20+J20</f>
        <v>2387.8200000000002</v>
      </c>
    </row>
    <row r="21" spans="1:13" ht="23.25" customHeight="1" x14ac:dyDescent="0.25">
      <c r="A21" s="44" t="s">
        <v>398</v>
      </c>
      <c r="B21" s="45" t="s">
        <v>531</v>
      </c>
      <c r="C21" s="46" t="s">
        <v>22</v>
      </c>
      <c r="D21" s="104">
        <v>0.5</v>
      </c>
      <c r="E21" s="65"/>
      <c r="F21" s="63"/>
      <c r="G21" s="63"/>
      <c r="H21" s="63">
        <v>4422.5</v>
      </c>
      <c r="I21" s="63">
        <f>ROUND(H21*D21,2)</f>
        <v>2211.25</v>
      </c>
      <c r="J21" s="63">
        <f>ROUND(I21*1.2,2)</f>
        <v>2653.5</v>
      </c>
      <c r="K21" s="65">
        <f t="shared" si="14"/>
        <v>2211.25</v>
      </c>
      <c r="L21" s="63">
        <f t="shared" si="15"/>
        <v>2653.5</v>
      </c>
      <c r="M21" s="21" t="s">
        <v>155</v>
      </c>
    </row>
    <row r="22" spans="1:13" ht="27" customHeight="1" x14ac:dyDescent="0.25">
      <c r="A22" s="119">
        <f>A20+1</f>
        <v>11</v>
      </c>
      <c r="B22" s="120" t="s">
        <v>481</v>
      </c>
      <c r="C22" s="121" t="s">
        <v>22</v>
      </c>
      <c r="D22" s="135">
        <v>11.39</v>
      </c>
      <c r="E22" s="125">
        <v>1149.5</v>
      </c>
      <c r="F22" s="124">
        <f t="shared" ref="F22" si="16">ROUND(E22*D22,2)</f>
        <v>13092.81</v>
      </c>
      <c r="G22" s="124">
        <f t="shared" ref="G22" si="17">ROUND(F22*1.2,2)</f>
        <v>15711.37</v>
      </c>
      <c r="H22" s="145"/>
      <c r="I22" s="124"/>
      <c r="J22" s="124"/>
      <c r="K22" s="125">
        <f t="shared" ref="K22:L24" si="18">F22+I22</f>
        <v>13092.81</v>
      </c>
      <c r="L22" s="123">
        <f t="shared" si="18"/>
        <v>15711.37</v>
      </c>
      <c r="M22" s="66"/>
    </row>
    <row r="23" spans="1:13" ht="21" customHeight="1" x14ac:dyDescent="0.25">
      <c r="A23" s="44" t="s">
        <v>47</v>
      </c>
      <c r="B23" s="45" t="s">
        <v>479</v>
      </c>
      <c r="C23" s="46" t="s">
        <v>22</v>
      </c>
      <c r="D23" s="47">
        <f>D22*1.02</f>
        <v>11.617800000000001</v>
      </c>
      <c r="E23" s="65"/>
      <c r="F23" s="49"/>
      <c r="G23" s="49"/>
      <c r="H23" s="49">
        <v>783.75</v>
      </c>
      <c r="I23" s="49">
        <f>ROUND(H23*D23,2)</f>
        <v>9105.4500000000007</v>
      </c>
      <c r="J23" s="49">
        <f>ROUND(I23*1.2,2)</f>
        <v>10926.54</v>
      </c>
      <c r="K23" s="50">
        <f t="shared" si="18"/>
        <v>9105.4500000000007</v>
      </c>
      <c r="L23" s="49">
        <f t="shared" si="18"/>
        <v>10926.54</v>
      </c>
    </row>
    <row r="24" spans="1:13" ht="21" customHeight="1" x14ac:dyDescent="0.25">
      <c r="A24" s="121">
        <f>A22+1</f>
        <v>12</v>
      </c>
      <c r="B24" s="120" t="s">
        <v>512</v>
      </c>
      <c r="C24" s="121" t="s">
        <v>63</v>
      </c>
      <c r="D24" s="146">
        <v>3</v>
      </c>
      <c r="E24" s="154">
        <v>4704.3999999999996</v>
      </c>
      <c r="F24" s="123">
        <f t="shared" ref="F24" si="19">ROUND(E24*D24,2)</f>
        <v>14113.2</v>
      </c>
      <c r="G24" s="123">
        <f t="shared" ref="G24" si="20">ROUND(F24*1.2,2)</f>
        <v>16935.84</v>
      </c>
      <c r="H24" s="154"/>
      <c r="I24" s="123"/>
      <c r="J24" s="123"/>
      <c r="K24" s="125">
        <f t="shared" si="18"/>
        <v>14113.2</v>
      </c>
      <c r="L24" s="123">
        <f t="shared" si="18"/>
        <v>16935.84</v>
      </c>
      <c r="M24" s="21" t="s">
        <v>583</v>
      </c>
    </row>
    <row r="25" spans="1:13" ht="21" customHeight="1" x14ac:dyDescent="0.25">
      <c r="A25" s="44" t="s">
        <v>50</v>
      </c>
      <c r="B25" s="45" t="s">
        <v>513</v>
      </c>
      <c r="C25" s="46" t="s">
        <v>63</v>
      </c>
      <c r="D25" s="67">
        <v>3</v>
      </c>
      <c r="E25" s="65"/>
      <c r="F25" s="63"/>
      <c r="G25" s="63"/>
      <c r="H25" s="63">
        <v>2870</v>
      </c>
      <c r="I25" s="63">
        <f>ROUND(H25*D25,2)</f>
        <v>8610</v>
      </c>
      <c r="J25" s="63">
        <f>ROUND(I25*1.2,2)</f>
        <v>10332</v>
      </c>
      <c r="K25" s="65">
        <f t="shared" ref="K25:L29" si="21">F25+I25</f>
        <v>8610</v>
      </c>
      <c r="L25" s="63">
        <f t="shared" ref="L25" si="22">G25+J25</f>
        <v>10332</v>
      </c>
      <c r="M25" s="21" t="s">
        <v>155</v>
      </c>
    </row>
    <row r="26" spans="1:13" ht="18" customHeight="1" x14ac:dyDescent="0.25">
      <c r="A26" s="121">
        <f>A24+1</f>
        <v>13</v>
      </c>
      <c r="B26" s="138" t="s">
        <v>376</v>
      </c>
      <c r="C26" s="121" t="s">
        <v>63</v>
      </c>
      <c r="D26" s="147">
        <v>1</v>
      </c>
      <c r="E26" s="125">
        <v>1389.85</v>
      </c>
      <c r="F26" s="124">
        <f t="shared" ref="F26" si="23">ROUND(E26*D26,2)</f>
        <v>1389.85</v>
      </c>
      <c r="G26" s="124">
        <f t="shared" ref="G26" si="24">ROUND(F26*1.2,2)</f>
        <v>1667.82</v>
      </c>
      <c r="H26" s="125"/>
      <c r="I26" s="124"/>
      <c r="J26" s="124"/>
      <c r="K26" s="125">
        <f t="shared" si="21"/>
        <v>1389.85</v>
      </c>
      <c r="L26" s="123">
        <f t="shared" si="21"/>
        <v>1667.82</v>
      </c>
      <c r="M26" s="66"/>
    </row>
    <row r="27" spans="1:13" ht="18" customHeight="1" x14ac:dyDescent="0.25">
      <c r="A27" s="44" t="s">
        <v>157</v>
      </c>
      <c r="B27" s="73" t="s">
        <v>377</v>
      </c>
      <c r="C27" s="46" t="s">
        <v>63</v>
      </c>
      <c r="D27" s="74">
        <v>1</v>
      </c>
      <c r="E27" s="65"/>
      <c r="F27" s="49"/>
      <c r="G27" s="49"/>
      <c r="H27" s="65">
        <v>471.2</v>
      </c>
      <c r="I27" s="49">
        <f>ROUND(H27*D27,2)</f>
        <v>471.2</v>
      </c>
      <c r="J27" s="49">
        <f>ROUND(I27*1.2,2)</f>
        <v>565.44000000000005</v>
      </c>
      <c r="K27" s="50">
        <f t="shared" si="21"/>
        <v>471.2</v>
      </c>
      <c r="L27" s="49">
        <f t="shared" si="21"/>
        <v>565.44000000000005</v>
      </c>
      <c r="M27" s="66"/>
    </row>
    <row r="28" spans="1:13" ht="27.75" customHeight="1" x14ac:dyDescent="0.25">
      <c r="A28" s="121">
        <f>A26+1</f>
        <v>14</v>
      </c>
      <c r="B28" s="138" t="s">
        <v>373</v>
      </c>
      <c r="C28" s="121" t="s">
        <v>63</v>
      </c>
      <c r="D28" s="147">
        <v>1</v>
      </c>
      <c r="E28" s="125">
        <v>6131.59</v>
      </c>
      <c r="F28" s="124">
        <f t="shared" ref="F28" si="25">ROUND(E28*D28,2)</f>
        <v>6131.59</v>
      </c>
      <c r="G28" s="124">
        <f t="shared" ref="G28" si="26">ROUND(F28*1.2,2)</f>
        <v>7357.91</v>
      </c>
      <c r="H28" s="125"/>
      <c r="I28" s="124"/>
      <c r="J28" s="124"/>
      <c r="K28" s="125">
        <f t="shared" si="21"/>
        <v>6131.59</v>
      </c>
      <c r="L28" s="123">
        <f t="shared" si="21"/>
        <v>7357.91</v>
      </c>
      <c r="M28" s="66"/>
    </row>
    <row r="29" spans="1:13" ht="18" customHeight="1" x14ac:dyDescent="0.25">
      <c r="A29" s="44" t="s">
        <v>443</v>
      </c>
      <c r="B29" s="73" t="s">
        <v>374</v>
      </c>
      <c r="C29" s="46" t="s">
        <v>63</v>
      </c>
      <c r="D29" s="74">
        <v>1</v>
      </c>
      <c r="E29" s="65"/>
      <c r="F29" s="49"/>
      <c r="G29" s="49"/>
      <c r="H29" s="49">
        <v>1453.5</v>
      </c>
      <c r="I29" s="49">
        <f>ROUND(H29*D29,2)</f>
        <v>1453.5</v>
      </c>
      <c r="J29" s="49">
        <f>ROUND(I29*1.2,2)</f>
        <v>1744.2</v>
      </c>
      <c r="K29" s="50">
        <f t="shared" si="21"/>
        <v>1453.5</v>
      </c>
      <c r="L29" s="49">
        <f t="shared" si="21"/>
        <v>1744.2</v>
      </c>
      <c r="M29" s="66"/>
    </row>
    <row r="30" spans="1:13" s="87" customFormat="1" ht="24" customHeight="1" x14ac:dyDescent="0.3">
      <c r="A30" s="212" t="s">
        <v>144</v>
      </c>
      <c r="B30" s="213"/>
      <c r="C30" s="213"/>
      <c r="D30" s="213"/>
      <c r="E30" s="214"/>
      <c r="F30" s="109">
        <f>SUM(F7:F29)</f>
        <v>90065.61</v>
      </c>
      <c r="G30" s="109">
        <f>ROUND(F30*1.2,2)</f>
        <v>108078.73</v>
      </c>
      <c r="H30" s="113"/>
      <c r="I30" s="109">
        <f>SUM(I7:I29)</f>
        <v>42359.63</v>
      </c>
      <c r="J30" s="109">
        <f>ROUND(I30*1.2,2)</f>
        <v>50831.56</v>
      </c>
      <c r="K30" s="109">
        <f>SUM(K7:K29)</f>
        <v>132425.24</v>
      </c>
      <c r="L30" s="109">
        <f>ROUND(K30*1.2,2)</f>
        <v>158910.29</v>
      </c>
      <c r="M30" s="86"/>
    </row>
    <row r="32" spans="1:13" x14ac:dyDescent="0.25">
      <c r="B32" s="174" t="s">
        <v>586</v>
      </c>
      <c r="K32" s="88"/>
    </row>
    <row r="33" spans="2:2" x14ac:dyDescent="0.25">
      <c r="B33" s="175" t="s">
        <v>587</v>
      </c>
    </row>
  </sheetData>
  <mergeCells count="10">
    <mergeCell ref="B6:D6"/>
    <mergeCell ref="A30:E3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79998168889431442"/>
  </sheetPr>
  <dimension ref="A1:M52"/>
  <sheetViews>
    <sheetView view="pageBreakPreview" topLeftCell="A28" zoomScaleNormal="100" zoomScaleSheetLayoutView="100" workbookViewId="0">
      <selection activeCell="M48" sqref="M48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style="116" customWidth="1"/>
    <col min="6" max="6" width="16" customWidth="1"/>
    <col min="7" max="7" width="17.140625" style="89" customWidth="1"/>
    <col min="8" max="8" width="16.140625" style="89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194" t="s">
        <v>0</v>
      </c>
      <c r="B1" s="197" t="s">
        <v>8</v>
      </c>
      <c r="C1" s="200" t="s">
        <v>9</v>
      </c>
      <c r="D1" s="200" t="s">
        <v>10</v>
      </c>
      <c r="E1" s="206" t="s">
        <v>11</v>
      </c>
      <c r="F1" s="207"/>
      <c r="G1" s="207"/>
      <c r="H1" s="207"/>
      <c r="I1" s="207"/>
      <c r="J1" s="207"/>
      <c r="K1" s="207"/>
      <c r="L1" s="207"/>
    </row>
    <row r="2" spans="1:13" ht="14.45" customHeight="1" x14ac:dyDescent="0.25">
      <c r="A2" s="195"/>
      <c r="B2" s="198"/>
      <c r="C2" s="200"/>
      <c r="D2" s="200"/>
      <c r="E2" s="208"/>
      <c r="F2" s="209"/>
      <c r="G2" s="209"/>
      <c r="H2" s="209"/>
      <c r="I2" s="209"/>
      <c r="J2" s="209"/>
      <c r="K2" s="209"/>
      <c r="L2" s="209"/>
    </row>
    <row r="3" spans="1:13" ht="27.75" customHeight="1" x14ac:dyDescent="0.25">
      <c r="A3" s="195"/>
      <c r="B3" s="198"/>
      <c r="C3" s="200"/>
      <c r="D3" s="200"/>
      <c r="E3" s="200" t="s">
        <v>12</v>
      </c>
      <c r="F3" s="200"/>
      <c r="G3" s="200"/>
      <c r="H3" s="200" t="s">
        <v>13</v>
      </c>
      <c r="I3" s="200"/>
      <c r="J3" s="200"/>
      <c r="K3" s="190" t="s">
        <v>14</v>
      </c>
      <c r="L3" s="190"/>
    </row>
    <row r="4" spans="1:13" ht="56.1" customHeight="1" x14ac:dyDescent="0.25">
      <c r="A4" s="196"/>
      <c r="B4" s="199"/>
      <c r="C4" s="200"/>
      <c r="D4" s="200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31.5" customHeight="1" x14ac:dyDescent="0.25">
      <c r="A6" s="26"/>
      <c r="B6" s="217" t="s">
        <v>514</v>
      </c>
      <c r="C6" s="218"/>
      <c r="D6" s="218"/>
      <c r="E6" s="27"/>
      <c r="F6" s="28"/>
      <c r="G6" s="29"/>
      <c r="H6" s="29"/>
      <c r="I6" s="29"/>
      <c r="J6" s="29"/>
      <c r="K6" s="29"/>
      <c r="L6" s="29"/>
      <c r="M6" s="111" t="s">
        <v>432</v>
      </c>
    </row>
    <row r="7" spans="1:13" ht="18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22.5" customHeight="1" x14ac:dyDescent="0.25">
      <c r="A8" s="119">
        <v>1</v>
      </c>
      <c r="B8" s="120" t="s">
        <v>395</v>
      </c>
      <c r="C8" s="164" t="s">
        <v>63</v>
      </c>
      <c r="D8" s="146">
        <v>31</v>
      </c>
      <c r="E8" s="123">
        <v>1055.02</v>
      </c>
      <c r="F8" s="124">
        <f t="shared" ref="F8:F11" si="0">ROUND(E8*D8,2)</f>
        <v>32705.62</v>
      </c>
      <c r="G8" s="124">
        <f t="shared" ref="G8:G11" si="1">ROUND(F8*1.2,2)</f>
        <v>39246.74</v>
      </c>
      <c r="H8" s="154"/>
      <c r="I8" s="124"/>
      <c r="J8" s="124"/>
      <c r="K8" s="126">
        <f t="shared" ref="K8:L11" si="2">F8+I8</f>
        <v>32705.62</v>
      </c>
      <c r="L8" s="124">
        <f t="shared" si="2"/>
        <v>39246.74</v>
      </c>
      <c r="M8" s="66" t="s">
        <v>25</v>
      </c>
    </row>
    <row r="9" spans="1:13" ht="22.5" customHeight="1" x14ac:dyDescent="0.25">
      <c r="A9" s="127">
        <f>A8+1</f>
        <v>2</v>
      </c>
      <c r="B9" s="128" t="s">
        <v>21</v>
      </c>
      <c r="C9" s="129" t="s">
        <v>22</v>
      </c>
      <c r="D9" s="130">
        <v>89.5</v>
      </c>
      <c r="E9" s="131">
        <v>3500</v>
      </c>
      <c r="F9" s="132">
        <f t="shared" si="0"/>
        <v>313250</v>
      </c>
      <c r="G9" s="132">
        <f t="shared" si="1"/>
        <v>375900</v>
      </c>
      <c r="H9" s="151"/>
      <c r="I9" s="132"/>
      <c r="J9" s="132"/>
      <c r="K9" s="134">
        <f t="shared" si="2"/>
        <v>313250</v>
      </c>
      <c r="L9" s="132">
        <f t="shared" si="2"/>
        <v>375900</v>
      </c>
      <c r="M9" s="40" t="s">
        <v>609</v>
      </c>
    </row>
    <row r="10" spans="1:13" ht="22.5" customHeight="1" x14ac:dyDescent="0.25">
      <c r="A10" s="119">
        <f>A9+1</f>
        <v>3</v>
      </c>
      <c r="B10" s="120" t="s">
        <v>23</v>
      </c>
      <c r="C10" s="121" t="s">
        <v>24</v>
      </c>
      <c r="D10" s="135">
        <v>29.75</v>
      </c>
      <c r="E10" s="123">
        <f>ROUND(65055.24/(297.03*0.05),2)</f>
        <v>4380.38</v>
      </c>
      <c r="F10" s="124">
        <f t="shared" si="0"/>
        <v>130316.31</v>
      </c>
      <c r="G10" s="124">
        <f t="shared" si="1"/>
        <v>156379.57</v>
      </c>
      <c r="H10" s="154"/>
      <c r="I10" s="124"/>
      <c r="J10" s="124"/>
      <c r="K10" s="126">
        <f t="shared" si="2"/>
        <v>130316.31</v>
      </c>
      <c r="L10" s="124">
        <f t="shared" si="2"/>
        <v>156379.57</v>
      </c>
      <c r="M10" s="21" t="s">
        <v>25</v>
      </c>
    </row>
    <row r="11" spans="1:13" ht="22.5" customHeight="1" x14ac:dyDescent="0.25">
      <c r="A11" s="119">
        <f t="shared" ref="A11" si="3">A10+1</f>
        <v>4</v>
      </c>
      <c r="B11" s="120" t="s">
        <v>26</v>
      </c>
      <c r="C11" s="121" t="s">
        <v>24</v>
      </c>
      <c r="D11" s="135">
        <v>46.99</v>
      </c>
      <c r="E11" s="125">
        <v>304</v>
      </c>
      <c r="F11" s="124">
        <f t="shared" si="0"/>
        <v>14284.96</v>
      </c>
      <c r="G11" s="124">
        <f t="shared" si="1"/>
        <v>17141.95</v>
      </c>
      <c r="H11" s="124"/>
      <c r="I11" s="124"/>
      <c r="J11" s="124"/>
      <c r="K11" s="126">
        <f t="shared" si="2"/>
        <v>14284.96</v>
      </c>
      <c r="L11" s="124">
        <f t="shared" si="2"/>
        <v>17141.95</v>
      </c>
      <c r="M11" s="21" t="s">
        <v>25</v>
      </c>
    </row>
    <row r="12" spans="1:13" ht="20.25" customHeight="1" x14ac:dyDescent="0.25">
      <c r="A12" s="30"/>
      <c r="B12" s="102" t="s">
        <v>227</v>
      </c>
      <c r="C12" s="38"/>
      <c r="D12" s="39"/>
      <c r="E12" s="117"/>
      <c r="F12" s="35"/>
      <c r="G12" s="35"/>
      <c r="H12" s="35"/>
      <c r="I12" s="35"/>
      <c r="J12" s="35"/>
      <c r="K12" s="32"/>
      <c r="L12" s="35"/>
      <c r="M12" s="66"/>
    </row>
    <row r="13" spans="1:13" ht="24" customHeight="1" x14ac:dyDescent="0.25">
      <c r="A13" s="119">
        <f>A11+1</f>
        <v>5</v>
      </c>
      <c r="B13" s="138" t="s">
        <v>27</v>
      </c>
      <c r="C13" s="121" t="s">
        <v>37</v>
      </c>
      <c r="D13" s="135">
        <v>122.44</v>
      </c>
      <c r="E13" s="123">
        <v>431.37</v>
      </c>
      <c r="F13" s="124">
        <f t="shared" ref="F13" si="4">ROUND(E13*D13,2)</f>
        <v>52816.94</v>
      </c>
      <c r="G13" s="124">
        <f t="shared" ref="G13" si="5">ROUND(F13*1.2,2)</f>
        <v>63380.33</v>
      </c>
      <c r="H13" s="154"/>
      <c r="I13" s="124"/>
      <c r="J13" s="124"/>
      <c r="K13" s="126">
        <f t="shared" ref="K13:L13" si="6">F13+I13</f>
        <v>52816.94</v>
      </c>
      <c r="L13" s="124">
        <f t="shared" si="6"/>
        <v>63380.33</v>
      </c>
      <c r="M13" s="66" t="s">
        <v>153</v>
      </c>
    </row>
    <row r="14" spans="1:13" ht="20.25" customHeight="1" x14ac:dyDescent="0.25">
      <c r="A14" s="51"/>
      <c r="B14" s="42" t="s">
        <v>43</v>
      </c>
      <c r="C14" s="38"/>
      <c r="D14" s="52"/>
      <c r="E14" s="53"/>
      <c r="F14" s="54"/>
      <c r="G14" s="55"/>
      <c r="H14" s="56"/>
      <c r="I14" s="57"/>
      <c r="J14" s="57"/>
      <c r="K14" s="58"/>
      <c r="L14" s="57"/>
    </row>
    <row r="15" spans="1:13" ht="24" customHeight="1" x14ac:dyDescent="0.25">
      <c r="A15" s="119">
        <f>A13+1</f>
        <v>6</v>
      </c>
      <c r="B15" s="120" t="s">
        <v>509</v>
      </c>
      <c r="C15" s="121" t="s">
        <v>24</v>
      </c>
      <c r="D15" s="135">
        <v>17.600000000000001</v>
      </c>
      <c r="E15" s="125">
        <v>1688.15</v>
      </c>
      <c r="F15" s="124">
        <f t="shared" ref="F15" si="7">ROUND(E15*D15,2)</f>
        <v>29711.439999999999</v>
      </c>
      <c r="G15" s="124">
        <f t="shared" ref="G15" si="8">ROUND(F15*1.2,2)</f>
        <v>35653.730000000003</v>
      </c>
      <c r="H15" s="136"/>
      <c r="I15" s="137"/>
      <c r="J15" s="137"/>
      <c r="K15" s="125">
        <f t="shared" ref="K15" si="9">F15+I15</f>
        <v>29711.439999999999</v>
      </c>
      <c r="L15" s="123">
        <f t="shared" ref="L15" si="10">G15+J15</f>
        <v>35653.730000000003</v>
      </c>
    </row>
    <row r="16" spans="1:13" ht="24" customHeight="1" x14ac:dyDescent="0.25">
      <c r="A16" s="119">
        <f>A15+1</f>
        <v>7</v>
      </c>
      <c r="B16" s="120" t="s">
        <v>44</v>
      </c>
      <c r="C16" s="121" t="s">
        <v>24</v>
      </c>
      <c r="D16" s="135">
        <v>129.4</v>
      </c>
      <c r="E16" s="125">
        <v>308.75</v>
      </c>
      <c r="F16" s="124">
        <f t="shared" ref="F16:F22" si="11">ROUND(E16*D16,2)</f>
        <v>39952.25</v>
      </c>
      <c r="G16" s="124">
        <f t="shared" ref="G16:G23" si="12">ROUND(F16*1.2,2)</f>
        <v>47942.7</v>
      </c>
      <c r="H16" s="136"/>
      <c r="I16" s="137"/>
      <c r="J16" s="137"/>
      <c r="K16" s="125">
        <f t="shared" ref="K16:L23" si="13">F16+I16</f>
        <v>39952.25</v>
      </c>
      <c r="L16" s="123">
        <f t="shared" si="13"/>
        <v>47942.7</v>
      </c>
    </row>
    <row r="17" spans="1:13" ht="20.25" customHeight="1" x14ac:dyDescent="0.25">
      <c r="A17" s="119">
        <f>A16+1</f>
        <v>8</v>
      </c>
      <c r="B17" s="120" t="s">
        <v>451</v>
      </c>
      <c r="C17" s="121" t="s">
        <v>331</v>
      </c>
      <c r="D17" s="135">
        <v>4.12</v>
      </c>
      <c r="E17" s="125">
        <v>1310.05</v>
      </c>
      <c r="F17" s="123">
        <f>ROUND(E17*D17,2)</f>
        <v>5397.41</v>
      </c>
      <c r="G17" s="123">
        <f t="shared" si="12"/>
        <v>6476.89</v>
      </c>
      <c r="H17" s="154"/>
      <c r="I17" s="123"/>
      <c r="J17" s="123"/>
      <c r="K17" s="125">
        <f t="shared" si="13"/>
        <v>5397.41</v>
      </c>
      <c r="L17" s="123">
        <f t="shared" si="13"/>
        <v>6476.89</v>
      </c>
      <c r="M17" s="66"/>
    </row>
    <row r="18" spans="1:13" ht="20.25" customHeight="1" x14ac:dyDescent="0.25">
      <c r="A18" s="44" t="s">
        <v>42</v>
      </c>
      <c r="B18" s="45" t="s">
        <v>48</v>
      </c>
      <c r="C18" s="46" t="s">
        <v>24</v>
      </c>
      <c r="D18" s="47">
        <f>D17*1.1</f>
        <v>4.5320000000000009</v>
      </c>
      <c r="E18" s="65"/>
      <c r="F18" s="63"/>
      <c r="G18" s="63"/>
      <c r="H18" s="49">
        <v>1191.3</v>
      </c>
      <c r="I18" s="49">
        <f>ROUND(H18*D18,2)</f>
        <v>5398.97</v>
      </c>
      <c r="J18" s="49">
        <f>ROUND(I18*1.2,2)</f>
        <v>6478.76</v>
      </c>
      <c r="K18" s="50">
        <f t="shared" si="13"/>
        <v>5398.97</v>
      </c>
      <c r="L18" s="49">
        <f t="shared" si="13"/>
        <v>6478.76</v>
      </c>
      <c r="M18" s="64"/>
    </row>
    <row r="19" spans="1:13" ht="24" customHeight="1" x14ac:dyDescent="0.25">
      <c r="A19" s="119">
        <f>A17+1</f>
        <v>9</v>
      </c>
      <c r="B19" s="138" t="s">
        <v>336</v>
      </c>
      <c r="C19" s="121" t="s">
        <v>24</v>
      </c>
      <c r="D19" s="135">
        <v>74.91</v>
      </c>
      <c r="E19" s="125">
        <v>1310.05</v>
      </c>
      <c r="F19" s="124">
        <f t="shared" si="11"/>
        <v>98135.85</v>
      </c>
      <c r="G19" s="124">
        <f t="shared" si="12"/>
        <v>117763.02</v>
      </c>
      <c r="H19" s="124"/>
      <c r="I19" s="124"/>
      <c r="J19" s="124"/>
      <c r="K19" s="126">
        <f t="shared" si="13"/>
        <v>98135.85</v>
      </c>
      <c r="L19" s="124">
        <f t="shared" si="13"/>
        <v>117763.02</v>
      </c>
    </row>
    <row r="20" spans="1:13" ht="20.25" customHeight="1" x14ac:dyDescent="0.25">
      <c r="A20" s="44" t="s">
        <v>442</v>
      </c>
      <c r="B20" s="45" t="s">
        <v>48</v>
      </c>
      <c r="C20" s="46" t="s">
        <v>24</v>
      </c>
      <c r="D20" s="47">
        <f>D19*1.1</f>
        <v>82.400999999999996</v>
      </c>
      <c r="E20" s="65"/>
      <c r="F20" s="49"/>
      <c r="G20" s="49"/>
      <c r="H20" s="49">
        <v>1191.3</v>
      </c>
      <c r="I20" s="49">
        <f>ROUND(H20*D20,2)</f>
        <v>98164.31</v>
      </c>
      <c r="J20" s="49">
        <f>ROUND(I20*1.2,2)</f>
        <v>117797.17</v>
      </c>
      <c r="K20" s="50">
        <f t="shared" si="13"/>
        <v>98164.31</v>
      </c>
      <c r="L20" s="49">
        <f t="shared" si="13"/>
        <v>117797.17</v>
      </c>
    </row>
    <row r="21" spans="1:13" s="61" customFormat="1" ht="22.5" customHeight="1" x14ac:dyDescent="0.25">
      <c r="A21" s="121">
        <f>A19+1</f>
        <v>10</v>
      </c>
      <c r="B21" s="120" t="s">
        <v>148</v>
      </c>
      <c r="C21" s="121" t="s">
        <v>24</v>
      </c>
      <c r="D21" s="135">
        <v>138.07</v>
      </c>
      <c r="E21" s="125">
        <v>118.75</v>
      </c>
      <c r="F21" s="124">
        <f t="shared" si="11"/>
        <v>16395.810000000001</v>
      </c>
      <c r="G21" s="124">
        <f t="shared" si="12"/>
        <v>19674.97</v>
      </c>
      <c r="H21" s="136"/>
      <c r="I21" s="137"/>
      <c r="J21" s="137"/>
      <c r="K21" s="125">
        <f t="shared" si="13"/>
        <v>16395.810000000001</v>
      </c>
      <c r="L21" s="123">
        <f t="shared" si="13"/>
        <v>19674.97</v>
      </c>
      <c r="M21" s="60"/>
    </row>
    <row r="22" spans="1:13" ht="22.5" customHeight="1" x14ac:dyDescent="0.25">
      <c r="A22" s="119">
        <f>A21+1</f>
        <v>11</v>
      </c>
      <c r="B22" s="120" t="s">
        <v>574</v>
      </c>
      <c r="C22" s="121" t="s">
        <v>24</v>
      </c>
      <c r="D22" s="135">
        <v>212.98</v>
      </c>
      <c r="E22" s="125">
        <v>188.1</v>
      </c>
      <c r="F22" s="124">
        <f t="shared" si="11"/>
        <v>40061.54</v>
      </c>
      <c r="G22" s="124">
        <f t="shared" si="12"/>
        <v>48073.85</v>
      </c>
      <c r="H22" s="125"/>
      <c r="I22" s="124"/>
      <c r="J22" s="124"/>
      <c r="K22" s="125">
        <f t="shared" si="13"/>
        <v>40061.54</v>
      </c>
      <c r="L22" s="123">
        <f t="shared" si="13"/>
        <v>48073.85</v>
      </c>
    </row>
    <row r="23" spans="1:13" ht="18.75" customHeight="1" x14ac:dyDescent="0.25">
      <c r="A23" s="119">
        <f>A22+1</f>
        <v>12</v>
      </c>
      <c r="B23" s="120" t="s">
        <v>51</v>
      </c>
      <c r="C23" s="121" t="s">
        <v>37</v>
      </c>
      <c r="D23" s="135">
        <v>16.97</v>
      </c>
      <c r="E23" s="125">
        <v>308.75</v>
      </c>
      <c r="F23" s="124">
        <f>ROUND(E23*D23,2)</f>
        <v>5239.49</v>
      </c>
      <c r="G23" s="124">
        <f t="shared" si="12"/>
        <v>6287.39</v>
      </c>
      <c r="H23" s="125"/>
      <c r="I23" s="124"/>
      <c r="J23" s="124"/>
      <c r="K23" s="125">
        <f t="shared" si="13"/>
        <v>5239.49</v>
      </c>
      <c r="L23" s="123">
        <f t="shared" si="13"/>
        <v>6287.39</v>
      </c>
    </row>
    <row r="24" spans="1:13" ht="18" customHeight="1" x14ac:dyDescent="0.25">
      <c r="A24" s="44"/>
      <c r="B24" s="42" t="s">
        <v>52</v>
      </c>
      <c r="C24" s="38"/>
      <c r="D24" s="52"/>
      <c r="E24" s="53"/>
      <c r="F24" s="54"/>
      <c r="G24" s="55"/>
      <c r="H24" s="62"/>
      <c r="I24" s="35"/>
      <c r="J24" s="35"/>
      <c r="K24" s="32"/>
      <c r="L24" s="35"/>
    </row>
    <row r="25" spans="1:13" ht="37.5" customHeight="1" x14ac:dyDescent="0.25">
      <c r="A25" s="119">
        <f>A23+1</f>
        <v>13</v>
      </c>
      <c r="B25" s="120" t="s">
        <v>163</v>
      </c>
      <c r="C25" s="121" t="s">
        <v>22</v>
      </c>
      <c r="D25" s="135">
        <v>19.64</v>
      </c>
      <c r="E25" s="125">
        <v>5316.2</v>
      </c>
      <c r="F25" s="124">
        <f t="shared" ref="F25" si="14">ROUND(E25*D25,2)</f>
        <v>104410.17</v>
      </c>
      <c r="G25" s="124">
        <f t="shared" ref="G25" si="15">ROUND(F25*1.2,2)</f>
        <v>125292.2</v>
      </c>
      <c r="H25" s="145"/>
      <c r="I25" s="124"/>
      <c r="J25" s="124"/>
      <c r="K25" s="125">
        <f t="shared" ref="K25:L42" si="16">F25+I25</f>
        <v>104410.17</v>
      </c>
      <c r="L25" s="123">
        <f t="shared" si="16"/>
        <v>125292.2</v>
      </c>
    </row>
    <row r="26" spans="1:13" ht="27.75" customHeight="1" x14ac:dyDescent="0.25">
      <c r="A26" s="44" t="s">
        <v>157</v>
      </c>
      <c r="B26" s="45" t="s">
        <v>399</v>
      </c>
      <c r="C26" s="46" t="s">
        <v>22</v>
      </c>
      <c r="D26" s="47">
        <f>D25*1.02</f>
        <v>20.032800000000002</v>
      </c>
      <c r="E26" s="65"/>
      <c r="F26" s="63"/>
      <c r="G26" s="63"/>
      <c r="H26" s="63">
        <v>13103.35</v>
      </c>
      <c r="I26" s="63">
        <f>ROUND(H26*D26,2)</f>
        <v>262496.78999999998</v>
      </c>
      <c r="J26" s="63">
        <f>ROUND(I26*1.2,2)</f>
        <v>314996.15000000002</v>
      </c>
      <c r="K26" s="65">
        <f t="shared" si="16"/>
        <v>262496.78999999998</v>
      </c>
      <c r="L26" s="63">
        <f t="shared" si="16"/>
        <v>314996.15000000002</v>
      </c>
    </row>
    <row r="27" spans="1:13" ht="36.75" customHeight="1" x14ac:dyDescent="0.25">
      <c r="A27" s="127">
        <f>A25+1</f>
        <v>14</v>
      </c>
      <c r="B27" s="128" t="s">
        <v>165</v>
      </c>
      <c r="C27" s="129" t="s">
        <v>22</v>
      </c>
      <c r="D27" s="130">
        <v>19.64</v>
      </c>
      <c r="E27" s="133">
        <f>ROUND(1572.68*1.33,2)</f>
        <v>2091.66</v>
      </c>
      <c r="F27" s="132">
        <f t="shared" ref="F27" si="17">ROUND(E27*D27,2)</f>
        <v>41080.199999999997</v>
      </c>
      <c r="G27" s="132">
        <f t="shared" ref="G27" si="18">ROUND(F27*1.2,2)</f>
        <v>49296.24</v>
      </c>
      <c r="H27" s="155"/>
      <c r="I27" s="132"/>
      <c r="J27" s="132"/>
      <c r="K27" s="133">
        <f t="shared" si="16"/>
        <v>41080.199999999997</v>
      </c>
      <c r="L27" s="131">
        <f t="shared" si="16"/>
        <v>49296.24</v>
      </c>
      <c r="M27" s="66" t="s">
        <v>71</v>
      </c>
    </row>
    <row r="28" spans="1:13" ht="21" customHeight="1" x14ac:dyDescent="0.25">
      <c r="A28" s="44" t="s">
        <v>443</v>
      </c>
      <c r="B28" s="45" t="s">
        <v>166</v>
      </c>
      <c r="C28" s="46" t="s">
        <v>22</v>
      </c>
      <c r="D28" s="47">
        <f>D27*1.02</f>
        <v>20.032800000000002</v>
      </c>
      <c r="E28" s="65"/>
      <c r="F28" s="49"/>
      <c r="G28" s="49"/>
      <c r="H28" s="49">
        <v>3479.85</v>
      </c>
      <c r="I28" s="49">
        <f>ROUND(H28*D28,2)</f>
        <v>69711.14</v>
      </c>
      <c r="J28" s="49">
        <f>ROUND(I28*1.2,2)</f>
        <v>83653.37</v>
      </c>
      <c r="K28" s="50">
        <f t="shared" si="16"/>
        <v>69711.14</v>
      </c>
      <c r="L28" s="49">
        <f t="shared" si="16"/>
        <v>83653.37</v>
      </c>
    </row>
    <row r="29" spans="1:13" ht="24.75" customHeight="1" x14ac:dyDescent="0.25">
      <c r="A29" s="44" t="s">
        <v>444</v>
      </c>
      <c r="B29" s="45" t="s">
        <v>168</v>
      </c>
      <c r="C29" s="46" t="s">
        <v>63</v>
      </c>
      <c r="D29" s="67">
        <v>9</v>
      </c>
      <c r="E29" s="65"/>
      <c r="F29" s="49"/>
      <c r="G29" s="49"/>
      <c r="H29" s="49">
        <v>917.7</v>
      </c>
      <c r="I29" s="49">
        <f>ROUND(H29*D29,2)</f>
        <v>8259.2999999999993</v>
      </c>
      <c r="J29" s="49">
        <f>ROUND(I29*1.2,2)</f>
        <v>9911.16</v>
      </c>
      <c r="K29" s="50">
        <f t="shared" si="16"/>
        <v>8259.2999999999993</v>
      </c>
      <c r="L29" s="49">
        <f t="shared" si="16"/>
        <v>9911.16</v>
      </c>
    </row>
    <row r="30" spans="1:13" ht="49.5" customHeight="1" x14ac:dyDescent="0.25">
      <c r="A30" s="119">
        <f>A27+1</f>
        <v>15</v>
      </c>
      <c r="B30" s="120" t="s">
        <v>400</v>
      </c>
      <c r="C30" s="121" t="s">
        <v>63</v>
      </c>
      <c r="D30" s="146">
        <v>3</v>
      </c>
      <c r="E30" s="125">
        <v>4670.4399999999996</v>
      </c>
      <c r="F30" s="124">
        <f t="shared" ref="F30" si="19">ROUND(E30*D30,2)</f>
        <v>14011.32</v>
      </c>
      <c r="G30" s="124">
        <f t="shared" ref="G30" si="20">ROUND(F30*1.2,2)</f>
        <v>16813.580000000002</v>
      </c>
      <c r="H30" s="145"/>
      <c r="I30" s="124"/>
      <c r="J30" s="124"/>
      <c r="K30" s="125">
        <f t="shared" ref="K30:K34" si="21">F30+I30</f>
        <v>14011.32</v>
      </c>
      <c r="L30" s="123">
        <f t="shared" ref="L30:L34" si="22">G30+J30</f>
        <v>16813.580000000002</v>
      </c>
    </row>
    <row r="31" spans="1:13" ht="30" x14ac:dyDescent="0.25">
      <c r="A31" s="44" t="s">
        <v>54</v>
      </c>
      <c r="B31" s="45" t="s">
        <v>401</v>
      </c>
      <c r="C31" s="46" t="s">
        <v>63</v>
      </c>
      <c r="D31" s="67">
        <v>3</v>
      </c>
      <c r="E31" s="65"/>
      <c r="F31" s="49"/>
      <c r="G31" s="49"/>
      <c r="H31" s="49">
        <v>3239.5</v>
      </c>
      <c r="I31" s="49">
        <f>ROUND(H31*D31,2)</f>
        <v>9718.5</v>
      </c>
      <c r="J31" s="49">
        <f>ROUND(I31*1.2,2)</f>
        <v>11662.2</v>
      </c>
      <c r="K31" s="50">
        <f t="shared" si="21"/>
        <v>9718.5</v>
      </c>
      <c r="L31" s="49">
        <f t="shared" si="22"/>
        <v>11662.2</v>
      </c>
    </row>
    <row r="32" spans="1:13" ht="27" customHeight="1" x14ac:dyDescent="0.25">
      <c r="A32" s="121">
        <f>A30+1</f>
        <v>16</v>
      </c>
      <c r="B32" s="138" t="s">
        <v>343</v>
      </c>
      <c r="C32" s="121" t="s">
        <v>331</v>
      </c>
      <c r="D32" s="139">
        <v>2.5499999999999998</v>
      </c>
      <c r="E32" s="125">
        <v>8327.42</v>
      </c>
      <c r="F32" s="124">
        <f t="shared" ref="F32" si="23">ROUND(E32*D32,2)</f>
        <v>21234.92</v>
      </c>
      <c r="G32" s="124">
        <f t="shared" ref="G32" si="24">ROUND(F32*1.2,2)</f>
        <v>25481.9</v>
      </c>
      <c r="H32" s="145"/>
      <c r="I32" s="124"/>
      <c r="J32" s="124"/>
      <c r="K32" s="125">
        <f t="shared" si="21"/>
        <v>21234.92</v>
      </c>
      <c r="L32" s="123">
        <f t="shared" si="22"/>
        <v>25481.9</v>
      </c>
      <c r="M32" s="66"/>
    </row>
    <row r="33" spans="1:13" x14ac:dyDescent="0.25">
      <c r="A33" s="44" t="s">
        <v>57</v>
      </c>
      <c r="B33" s="73" t="s">
        <v>68</v>
      </c>
      <c r="C33" s="46" t="s">
        <v>24</v>
      </c>
      <c r="D33" s="71">
        <f>D32*1.02</f>
        <v>2.601</v>
      </c>
      <c r="E33" s="65"/>
      <c r="F33" s="49"/>
      <c r="G33" s="49"/>
      <c r="H33" s="49">
        <v>5322.58</v>
      </c>
      <c r="I33" s="49">
        <f t="shared" ref="I33" si="25">ROUND(H33*D33,2)</f>
        <v>13844.03</v>
      </c>
      <c r="J33" s="49">
        <f t="shared" ref="J33" si="26">ROUND(I33*1.2,2)</f>
        <v>16612.84</v>
      </c>
      <c r="K33" s="50">
        <f t="shared" si="21"/>
        <v>13844.03</v>
      </c>
      <c r="L33" s="49">
        <f t="shared" si="22"/>
        <v>16612.84</v>
      </c>
      <c r="M33" s="64"/>
    </row>
    <row r="34" spans="1:13" ht="18" customHeight="1" x14ac:dyDescent="0.25">
      <c r="A34" s="129">
        <f>A32+1</f>
        <v>17</v>
      </c>
      <c r="B34" s="149" t="s">
        <v>516</v>
      </c>
      <c r="C34" s="129" t="s">
        <v>63</v>
      </c>
      <c r="D34" s="140">
        <v>1</v>
      </c>
      <c r="E34" s="150">
        <v>4628.22</v>
      </c>
      <c r="F34" s="131">
        <f t="shared" ref="F34" si="27">ROUND(E34*D34,2)</f>
        <v>4628.22</v>
      </c>
      <c r="G34" s="131">
        <f t="shared" ref="G34" si="28">ROUND(F34*1.2,2)</f>
        <v>5553.86</v>
      </c>
      <c r="H34" s="151"/>
      <c r="I34" s="131"/>
      <c r="J34" s="131"/>
      <c r="K34" s="133">
        <f t="shared" si="21"/>
        <v>4628.22</v>
      </c>
      <c r="L34" s="131">
        <f t="shared" si="22"/>
        <v>5553.86</v>
      </c>
    </row>
    <row r="35" spans="1:13" ht="18" customHeight="1" x14ac:dyDescent="0.25">
      <c r="A35" s="129">
        <f>A34+1</f>
        <v>18</v>
      </c>
      <c r="B35" s="149" t="s">
        <v>517</v>
      </c>
      <c r="C35" s="129" t="s">
        <v>63</v>
      </c>
      <c r="D35" s="140">
        <v>1</v>
      </c>
      <c r="E35" s="150">
        <f>1989.85*1.3</f>
        <v>2586.8049999999998</v>
      </c>
      <c r="F35" s="131">
        <f t="shared" ref="F35" si="29">ROUND(E35*D35,2)</f>
        <v>2586.81</v>
      </c>
      <c r="G35" s="131">
        <f t="shared" ref="G35" si="30">ROUND(F35*1.2,2)</f>
        <v>3104.17</v>
      </c>
      <c r="H35" s="151"/>
      <c r="I35" s="131"/>
      <c r="J35" s="131"/>
      <c r="K35" s="133">
        <f t="shared" ref="K35:K36" si="31">F35+I35</f>
        <v>2586.81</v>
      </c>
      <c r="L35" s="131">
        <f t="shared" ref="L35:L36" si="32">G35+J35</f>
        <v>3104.17</v>
      </c>
      <c r="M35" s="21" t="s">
        <v>535</v>
      </c>
    </row>
    <row r="36" spans="1:13" ht="28.5" customHeight="1" x14ac:dyDescent="0.25">
      <c r="A36" s="44" t="s">
        <v>65</v>
      </c>
      <c r="B36" s="45" t="s">
        <v>399</v>
      </c>
      <c r="C36" s="46" t="s">
        <v>22</v>
      </c>
      <c r="D36" s="47">
        <v>0.3</v>
      </c>
      <c r="E36" s="65"/>
      <c r="F36" s="49"/>
      <c r="G36" s="49"/>
      <c r="H36" s="63">
        <v>12001.35</v>
      </c>
      <c r="I36" s="49">
        <f>ROUND(H36*D36,2)</f>
        <v>3600.41</v>
      </c>
      <c r="J36" s="49">
        <f>ROUND(I36*1.2,2)</f>
        <v>4320.49</v>
      </c>
      <c r="K36" s="50">
        <f t="shared" si="31"/>
        <v>3600.41</v>
      </c>
      <c r="L36" s="49">
        <f t="shared" si="32"/>
        <v>4320.49</v>
      </c>
    </row>
    <row r="37" spans="1:13" ht="28.5" customHeight="1" x14ac:dyDescent="0.25">
      <c r="A37" s="119">
        <f>A35+1</f>
        <v>19</v>
      </c>
      <c r="B37" s="120" t="s">
        <v>430</v>
      </c>
      <c r="C37" s="121" t="s">
        <v>22</v>
      </c>
      <c r="D37" s="135">
        <v>49</v>
      </c>
      <c r="E37" s="125">
        <v>1419.5</v>
      </c>
      <c r="F37" s="124">
        <f t="shared" ref="F37" si="33">ROUND(E37*D37,2)</f>
        <v>69555.5</v>
      </c>
      <c r="G37" s="124">
        <f t="shared" ref="G37" si="34">ROUND(F37*1.2,2)</f>
        <v>83466.600000000006</v>
      </c>
      <c r="H37" s="145"/>
      <c r="I37" s="124"/>
      <c r="J37" s="124"/>
      <c r="K37" s="125">
        <f t="shared" si="16"/>
        <v>69555.5</v>
      </c>
      <c r="L37" s="123">
        <f t="shared" si="16"/>
        <v>83466.600000000006</v>
      </c>
      <c r="M37" s="66" t="s">
        <v>71</v>
      </c>
    </row>
    <row r="38" spans="1:13" ht="21" customHeight="1" x14ac:dyDescent="0.25">
      <c r="A38" s="44" t="s">
        <v>67</v>
      </c>
      <c r="B38" s="45" t="s">
        <v>166</v>
      </c>
      <c r="C38" s="46" t="s">
        <v>22</v>
      </c>
      <c r="D38" s="47">
        <f>D37*1.02</f>
        <v>49.980000000000004</v>
      </c>
      <c r="E38" s="65"/>
      <c r="F38" s="49"/>
      <c r="G38" s="49"/>
      <c r="H38" s="49">
        <v>3124.17</v>
      </c>
      <c r="I38" s="49">
        <f>ROUND(H38*D38,2)</f>
        <v>156146.01999999999</v>
      </c>
      <c r="J38" s="49">
        <f>ROUND(I38*1.2,2)</f>
        <v>187375.22</v>
      </c>
      <c r="K38" s="50">
        <f t="shared" si="16"/>
        <v>156146.01999999999</v>
      </c>
      <c r="L38" s="49">
        <f t="shared" si="16"/>
        <v>187375.22</v>
      </c>
    </row>
    <row r="39" spans="1:13" ht="21" customHeight="1" x14ac:dyDescent="0.25">
      <c r="A39" s="121">
        <f>A37+1</f>
        <v>20</v>
      </c>
      <c r="B39" s="138" t="s">
        <v>298</v>
      </c>
      <c r="C39" s="121" t="s">
        <v>63</v>
      </c>
      <c r="D39" s="147">
        <v>1</v>
      </c>
      <c r="E39" s="125">
        <v>6039.48</v>
      </c>
      <c r="F39" s="124">
        <f t="shared" ref="F39" si="35">ROUND(E39*D39,2)</f>
        <v>6039.48</v>
      </c>
      <c r="G39" s="124">
        <f t="shared" ref="G39" si="36">ROUND(F39*1.2,2)</f>
        <v>7247.38</v>
      </c>
      <c r="H39" s="125"/>
      <c r="I39" s="124"/>
      <c r="J39" s="124"/>
      <c r="K39" s="125">
        <f t="shared" si="16"/>
        <v>6039.48</v>
      </c>
      <c r="L39" s="123">
        <f t="shared" si="16"/>
        <v>7247.38</v>
      </c>
      <c r="M39" s="66"/>
    </row>
    <row r="40" spans="1:13" ht="21" customHeight="1" x14ac:dyDescent="0.25">
      <c r="A40" s="44" t="s">
        <v>72</v>
      </c>
      <c r="B40" s="73" t="s">
        <v>372</v>
      </c>
      <c r="C40" s="46" t="s">
        <v>63</v>
      </c>
      <c r="D40" s="74">
        <v>1</v>
      </c>
      <c r="E40" s="65"/>
      <c r="F40" s="49"/>
      <c r="G40" s="49"/>
      <c r="H40" s="49">
        <v>2638.15</v>
      </c>
      <c r="I40" s="49">
        <f>ROUND(H40*D40,2)</f>
        <v>2638.15</v>
      </c>
      <c r="J40" s="49">
        <f>ROUND(I40*1.2,2)</f>
        <v>3165.78</v>
      </c>
      <c r="K40" s="50">
        <f t="shared" si="16"/>
        <v>2638.15</v>
      </c>
      <c r="L40" s="49">
        <f t="shared" si="16"/>
        <v>3165.78</v>
      </c>
      <c r="M40" s="66"/>
    </row>
    <row r="41" spans="1:13" ht="36.75" customHeight="1" x14ac:dyDescent="0.25">
      <c r="A41" s="121">
        <f>A39+1</f>
        <v>21</v>
      </c>
      <c r="B41" s="138" t="s">
        <v>368</v>
      </c>
      <c r="C41" s="121" t="s">
        <v>63</v>
      </c>
      <c r="D41" s="147">
        <v>1</v>
      </c>
      <c r="E41" s="125">
        <v>6891.24</v>
      </c>
      <c r="F41" s="124">
        <f t="shared" ref="F41" si="37">ROUND(E41*D41,2)</f>
        <v>6891.24</v>
      </c>
      <c r="G41" s="124">
        <f t="shared" ref="G41" si="38">ROUND(F41*1.2,2)</f>
        <v>8269.49</v>
      </c>
      <c r="H41" s="125"/>
      <c r="I41" s="124"/>
      <c r="J41" s="124"/>
      <c r="K41" s="125">
        <f t="shared" si="16"/>
        <v>6891.24</v>
      </c>
      <c r="L41" s="123">
        <f t="shared" si="16"/>
        <v>8269.49</v>
      </c>
      <c r="M41" s="66"/>
    </row>
    <row r="42" spans="1:13" ht="18" customHeight="1" x14ac:dyDescent="0.25">
      <c r="A42" s="44" t="s">
        <v>74</v>
      </c>
      <c r="B42" s="73" t="s">
        <v>190</v>
      </c>
      <c r="C42" s="46" t="s">
        <v>63</v>
      </c>
      <c r="D42" s="74">
        <v>1</v>
      </c>
      <c r="E42" s="65"/>
      <c r="F42" s="49"/>
      <c r="G42" s="49"/>
      <c r="H42" s="65">
        <v>2793</v>
      </c>
      <c r="I42" s="49">
        <f>ROUND(H42*D42,2)</f>
        <v>2793</v>
      </c>
      <c r="J42" s="49">
        <f>ROUND(I42*1.2,2)</f>
        <v>3351.6</v>
      </c>
      <c r="K42" s="50">
        <f t="shared" si="16"/>
        <v>2793</v>
      </c>
      <c r="L42" s="49">
        <f t="shared" si="16"/>
        <v>3351.6</v>
      </c>
      <c r="M42" s="66"/>
    </row>
    <row r="43" spans="1:13" ht="23.25" customHeight="1" x14ac:dyDescent="0.25">
      <c r="A43" s="121">
        <f>A41+1</f>
        <v>22</v>
      </c>
      <c r="B43" s="138" t="s">
        <v>518</v>
      </c>
      <c r="C43" s="121" t="s">
        <v>63</v>
      </c>
      <c r="D43" s="147">
        <v>3</v>
      </c>
      <c r="E43" s="125">
        <v>1449.7</v>
      </c>
      <c r="F43" s="124">
        <f t="shared" ref="F43" si="39">ROUND(E43*D43,2)</f>
        <v>4349.1000000000004</v>
      </c>
      <c r="G43" s="124">
        <f t="shared" ref="G43" si="40">ROUND(F43*1.2,2)</f>
        <v>5218.92</v>
      </c>
      <c r="H43" s="125"/>
      <c r="I43" s="124"/>
      <c r="J43" s="124"/>
      <c r="K43" s="125">
        <f t="shared" ref="K43:K44" si="41">F43+I43</f>
        <v>4349.1000000000004</v>
      </c>
      <c r="L43" s="123">
        <f t="shared" ref="L43:L44" si="42">G43+J43</f>
        <v>5218.92</v>
      </c>
      <c r="M43" s="66" t="s">
        <v>385</v>
      </c>
    </row>
    <row r="44" spans="1:13" ht="18" customHeight="1" x14ac:dyDescent="0.25">
      <c r="A44" s="44" t="s">
        <v>78</v>
      </c>
      <c r="B44" s="73" t="s">
        <v>519</v>
      </c>
      <c r="C44" s="46" t="s">
        <v>63</v>
      </c>
      <c r="D44" s="74">
        <v>3</v>
      </c>
      <c r="E44" s="65"/>
      <c r="F44" s="49"/>
      <c r="G44" s="49"/>
      <c r="H44" s="65">
        <v>4788</v>
      </c>
      <c r="I44" s="49">
        <f>ROUND(H44*D44,2)</f>
        <v>14364</v>
      </c>
      <c r="J44" s="49">
        <f>ROUND(I44*1.2,2)</f>
        <v>17236.8</v>
      </c>
      <c r="K44" s="50">
        <f t="shared" si="41"/>
        <v>14364</v>
      </c>
      <c r="L44" s="49">
        <f t="shared" si="42"/>
        <v>17236.8</v>
      </c>
      <c r="M44" s="66" t="s">
        <v>385</v>
      </c>
    </row>
    <row r="45" spans="1:13" ht="23.25" customHeight="1" x14ac:dyDescent="0.25">
      <c r="A45" s="121">
        <f>A43+1</f>
        <v>23</v>
      </c>
      <c r="B45" s="138" t="s">
        <v>520</v>
      </c>
      <c r="C45" s="121" t="s">
        <v>63</v>
      </c>
      <c r="D45" s="147">
        <v>1</v>
      </c>
      <c r="E45" s="125">
        <v>1449.7</v>
      </c>
      <c r="F45" s="124">
        <f t="shared" ref="F45" si="43">ROUND(E45*D45,2)</f>
        <v>1449.7</v>
      </c>
      <c r="G45" s="124">
        <f t="shared" ref="G45" si="44">ROUND(F45*1.2,2)</f>
        <v>1739.64</v>
      </c>
      <c r="H45" s="125"/>
      <c r="I45" s="124"/>
      <c r="J45" s="124"/>
      <c r="K45" s="125">
        <f t="shared" ref="K45:K46" si="45">F45+I45</f>
        <v>1449.7</v>
      </c>
      <c r="L45" s="123">
        <f t="shared" ref="L45:L46" si="46">G45+J45</f>
        <v>1739.64</v>
      </c>
      <c r="M45" s="66" t="s">
        <v>385</v>
      </c>
    </row>
    <row r="46" spans="1:13" ht="18" customHeight="1" x14ac:dyDescent="0.25">
      <c r="A46" s="44" t="s">
        <v>81</v>
      </c>
      <c r="B46" s="73" t="s">
        <v>521</v>
      </c>
      <c r="C46" s="46" t="s">
        <v>63</v>
      </c>
      <c r="D46" s="74">
        <v>1</v>
      </c>
      <c r="E46" s="65"/>
      <c r="F46" s="49"/>
      <c r="G46" s="49"/>
      <c r="H46" s="65">
        <v>3815</v>
      </c>
      <c r="I46" s="49">
        <f>ROUND(H46*D46,2)</f>
        <v>3815</v>
      </c>
      <c r="J46" s="49">
        <f>ROUND(I46*1.2,2)</f>
        <v>4578</v>
      </c>
      <c r="K46" s="50">
        <f t="shared" si="45"/>
        <v>3815</v>
      </c>
      <c r="L46" s="49">
        <f t="shared" si="46"/>
        <v>4578</v>
      </c>
      <c r="M46" s="21" t="s">
        <v>155</v>
      </c>
    </row>
    <row r="47" spans="1:13" ht="23.25" customHeight="1" x14ac:dyDescent="0.25">
      <c r="A47" s="121">
        <f>A45+1</f>
        <v>24</v>
      </c>
      <c r="B47" s="138" t="s">
        <v>522</v>
      </c>
      <c r="C47" s="121" t="s">
        <v>63</v>
      </c>
      <c r="D47" s="147">
        <v>2</v>
      </c>
      <c r="E47" s="125">
        <v>1449.7</v>
      </c>
      <c r="F47" s="124">
        <f t="shared" ref="F47" si="47">ROUND(E47*D47,2)</f>
        <v>2899.4</v>
      </c>
      <c r="G47" s="124">
        <f t="shared" ref="G47" si="48">ROUND(F47*1.2,2)</f>
        <v>3479.28</v>
      </c>
      <c r="H47" s="125"/>
      <c r="I47" s="124"/>
      <c r="J47" s="124"/>
      <c r="K47" s="125">
        <f t="shared" ref="K47:K48" si="49">F47+I47</f>
        <v>2899.4</v>
      </c>
      <c r="L47" s="123">
        <f t="shared" ref="L47:L48" si="50">G47+J47</f>
        <v>3479.28</v>
      </c>
      <c r="M47" s="66" t="s">
        <v>385</v>
      </c>
    </row>
    <row r="48" spans="1:13" ht="18" customHeight="1" x14ac:dyDescent="0.25">
      <c r="A48" s="44" t="s">
        <v>84</v>
      </c>
      <c r="B48" s="73" t="s">
        <v>523</v>
      </c>
      <c r="C48" s="46" t="s">
        <v>63</v>
      </c>
      <c r="D48" s="74">
        <v>2</v>
      </c>
      <c r="E48" s="65"/>
      <c r="F48" s="49"/>
      <c r="G48" s="49"/>
      <c r="H48" s="63">
        <v>3815</v>
      </c>
      <c r="I48" s="49">
        <f>ROUND(H48*D48,2)</f>
        <v>7630</v>
      </c>
      <c r="J48" s="49">
        <f>ROUND(I48*1.2,2)</f>
        <v>9156</v>
      </c>
      <c r="K48" s="50">
        <f t="shared" si="49"/>
        <v>7630</v>
      </c>
      <c r="L48" s="49">
        <f t="shared" si="50"/>
        <v>9156</v>
      </c>
      <c r="M48" s="21" t="s">
        <v>155</v>
      </c>
    </row>
    <row r="49" spans="1:13" s="87" customFormat="1" ht="24" customHeight="1" x14ac:dyDescent="0.3">
      <c r="A49" s="212" t="s">
        <v>144</v>
      </c>
      <c r="B49" s="213"/>
      <c r="C49" s="213"/>
      <c r="D49" s="213"/>
      <c r="E49" s="214"/>
      <c r="F49" s="109">
        <f>SUM(F7:F48)</f>
        <v>1057403.6800000002</v>
      </c>
      <c r="G49" s="109">
        <f>ROUND(F49*1.2,2)</f>
        <v>1268884.42</v>
      </c>
      <c r="H49" s="113"/>
      <c r="I49" s="109">
        <f>SUM(I7:I48)</f>
        <v>658579.62</v>
      </c>
      <c r="J49" s="109">
        <f>ROUND(I49*1.2,2)</f>
        <v>790295.54</v>
      </c>
      <c r="K49" s="109">
        <f>SUM(K7:K48)</f>
        <v>1715983.2999999998</v>
      </c>
      <c r="L49" s="109">
        <f>ROUND(K49*1.2,2)</f>
        <v>2059179.96</v>
      </c>
      <c r="M49" s="86"/>
    </row>
    <row r="51" spans="1:13" x14ac:dyDescent="0.25">
      <c r="B51" s="174" t="s">
        <v>586</v>
      </c>
      <c r="K51" s="88"/>
    </row>
    <row r="52" spans="1:13" x14ac:dyDescent="0.25">
      <c r="B52" s="175" t="s">
        <v>587</v>
      </c>
    </row>
  </sheetData>
  <mergeCells count="10">
    <mergeCell ref="B6:D6"/>
    <mergeCell ref="A49:E49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79998168889431442"/>
  </sheetPr>
  <dimension ref="A1:M31"/>
  <sheetViews>
    <sheetView view="pageBreakPreview" zoomScale="80" zoomScaleNormal="100" zoomScaleSheetLayoutView="80" workbookViewId="0">
      <selection activeCell="H23" sqref="H23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style="116" customWidth="1"/>
    <col min="6" max="6" width="16" customWidth="1"/>
    <col min="7" max="7" width="17.140625" style="89" customWidth="1"/>
    <col min="8" max="8" width="16.140625" style="89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194" t="s">
        <v>0</v>
      </c>
      <c r="B1" s="197" t="s">
        <v>8</v>
      </c>
      <c r="C1" s="200" t="s">
        <v>9</v>
      </c>
      <c r="D1" s="200" t="s">
        <v>10</v>
      </c>
      <c r="E1" s="206" t="s">
        <v>11</v>
      </c>
      <c r="F1" s="207"/>
      <c r="G1" s="207"/>
      <c r="H1" s="207"/>
      <c r="I1" s="207"/>
      <c r="J1" s="207"/>
      <c r="K1" s="207"/>
      <c r="L1" s="207"/>
    </row>
    <row r="2" spans="1:13" ht="14.45" customHeight="1" x14ac:dyDescent="0.25">
      <c r="A2" s="195"/>
      <c r="B2" s="198"/>
      <c r="C2" s="200"/>
      <c r="D2" s="200"/>
      <c r="E2" s="208"/>
      <c r="F2" s="209"/>
      <c r="G2" s="209"/>
      <c r="H2" s="209"/>
      <c r="I2" s="209"/>
      <c r="J2" s="209"/>
      <c r="K2" s="209"/>
      <c r="L2" s="209"/>
    </row>
    <row r="3" spans="1:13" ht="27.75" customHeight="1" x14ac:dyDescent="0.25">
      <c r="A3" s="195"/>
      <c r="B3" s="198"/>
      <c r="C3" s="200"/>
      <c r="D3" s="200"/>
      <c r="E3" s="200" t="s">
        <v>12</v>
      </c>
      <c r="F3" s="200"/>
      <c r="G3" s="200"/>
      <c r="H3" s="200" t="s">
        <v>13</v>
      </c>
      <c r="I3" s="200"/>
      <c r="J3" s="200"/>
      <c r="K3" s="190" t="s">
        <v>14</v>
      </c>
      <c r="L3" s="190"/>
    </row>
    <row r="4" spans="1:13" ht="56.1" customHeight="1" x14ac:dyDescent="0.25">
      <c r="A4" s="196"/>
      <c r="B4" s="199"/>
      <c r="C4" s="200"/>
      <c r="D4" s="200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31.5" customHeight="1" x14ac:dyDescent="0.25">
      <c r="A6" s="26"/>
      <c r="B6" s="217" t="s">
        <v>524</v>
      </c>
      <c r="C6" s="218"/>
      <c r="D6" s="218"/>
      <c r="E6" s="27"/>
      <c r="F6" s="28"/>
      <c r="G6" s="29"/>
      <c r="H6" s="29"/>
      <c r="I6" s="29"/>
      <c r="J6" s="29"/>
      <c r="K6" s="29"/>
      <c r="L6" s="29"/>
      <c r="M6" s="111" t="s">
        <v>432</v>
      </c>
    </row>
    <row r="7" spans="1:13" ht="18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22.5" customHeight="1" x14ac:dyDescent="0.25">
      <c r="A8" s="119">
        <v>1</v>
      </c>
      <c r="B8" s="120" t="s">
        <v>23</v>
      </c>
      <c r="C8" s="121" t="s">
        <v>24</v>
      </c>
      <c r="D8" s="135">
        <v>6.68</v>
      </c>
      <c r="E8" s="123">
        <f>ROUND(65055.24/(297.03*0.05),2)</f>
        <v>4380.38</v>
      </c>
      <c r="F8" s="124">
        <f t="shared" ref="F8:F9" si="0">ROUND(E8*D8,2)</f>
        <v>29260.94</v>
      </c>
      <c r="G8" s="124">
        <f t="shared" ref="G8:G9" si="1">ROUND(F8*1.2,2)</f>
        <v>35113.129999999997</v>
      </c>
      <c r="H8" s="154"/>
      <c r="I8" s="124"/>
      <c r="J8" s="124"/>
      <c r="K8" s="126">
        <f t="shared" ref="K8:L9" si="2">F8+I8</f>
        <v>29260.94</v>
      </c>
      <c r="L8" s="124">
        <f t="shared" si="2"/>
        <v>35113.129999999997</v>
      </c>
      <c r="M8" s="21" t="s">
        <v>25</v>
      </c>
    </row>
    <row r="9" spans="1:13" ht="22.5" customHeight="1" x14ac:dyDescent="0.25">
      <c r="A9" s="119">
        <f t="shared" ref="A9" si="3">A8+1</f>
        <v>2</v>
      </c>
      <c r="B9" s="120" t="s">
        <v>26</v>
      </c>
      <c r="C9" s="121" t="s">
        <v>24</v>
      </c>
      <c r="D9" s="135">
        <v>10.55</v>
      </c>
      <c r="E9" s="125">
        <v>304</v>
      </c>
      <c r="F9" s="124">
        <f t="shared" si="0"/>
        <v>3207.2</v>
      </c>
      <c r="G9" s="124">
        <f t="shared" si="1"/>
        <v>3848.64</v>
      </c>
      <c r="H9" s="124"/>
      <c r="I9" s="124"/>
      <c r="J9" s="124"/>
      <c r="K9" s="126">
        <f t="shared" si="2"/>
        <v>3207.2</v>
      </c>
      <c r="L9" s="124">
        <f t="shared" si="2"/>
        <v>3848.64</v>
      </c>
      <c r="M9" s="21" t="s">
        <v>25</v>
      </c>
    </row>
    <row r="10" spans="1:13" ht="20.25" customHeight="1" x14ac:dyDescent="0.25">
      <c r="A10" s="30"/>
      <c r="B10" s="102" t="s">
        <v>227</v>
      </c>
      <c r="C10" s="38"/>
      <c r="D10" s="39"/>
      <c r="E10" s="117"/>
      <c r="F10" s="35"/>
      <c r="G10" s="35"/>
      <c r="H10" s="35"/>
      <c r="I10" s="35"/>
      <c r="J10" s="35"/>
      <c r="K10" s="32"/>
      <c r="L10" s="35"/>
      <c r="M10" s="66"/>
    </row>
    <row r="11" spans="1:13" ht="24" customHeight="1" x14ac:dyDescent="0.25">
      <c r="A11" s="119">
        <f>A9+1</f>
        <v>3</v>
      </c>
      <c r="B11" s="138" t="s">
        <v>27</v>
      </c>
      <c r="C11" s="121" t="s">
        <v>37</v>
      </c>
      <c r="D11" s="135">
        <v>26.79</v>
      </c>
      <c r="E11" s="123">
        <v>431.37</v>
      </c>
      <c r="F11" s="124">
        <f t="shared" ref="F11" si="4">ROUND(E11*D11,2)</f>
        <v>11556.4</v>
      </c>
      <c r="G11" s="124">
        <f t="shared" ref="G11" si="5">ROUND(F11*1.2,2)</f>
        <v>13867.68</v>
      </c>
      <c r="H11" s="154"/>
      <c r="I11" s="124"/>
      <c r="J11" s="124"/>
      <c r="K11" s="126">
        <f t="shared" ref="K11:L11" si="6">F11+I11</f>
        <v>11556.4</v>
      </c>
      <c r="L11" s="124">
        <f t="shared" si="6"/>
        <v>13867.68</v>
      </c>
      <c r="M11" s="66" t="s">
        <v>153</v>
      </c>
    </row>
    <row r="12" spans="1:13" ht="20.25" customHeight="1" x14ac:dyDescent="0.25">
      <c r="A12" s="51"/>
      <c r="B12" s="42" t="s">
        <v>43</v>
      </c>
      <c r="C12" s="38"/>
      <c r="D12" s="52"/>
      <c r="E12" s="53"/>
      <c r="F12" s="54"/>
      <c r="G12" s="55"/>
      <c r="H12" s="56"/>
      <c r="I12" s="57"/>
      <c r="J12" s="57"/>
      <c r="K12" s="58"/>
      <c r="L12" s="57"/>
    </row>
    <row r="13" spans="1:13" ht="24" customHeight="1" x14ac:dyDescent="0.25">
      <c r="A13" s="119">
        <f>A11+1</f>
        <v>4</v>
      </c>
      <c r="B13" s="120" t="s">
        <v>44</v>
      </c>
      <c r="C13" s="121" t="s">
        <v>24</v>
      </c>
      <c r="D13" s="135">
        <v>91.02</v>
      </c>
      <c r="E13" s="125">
        <v>308.75</v>
      </c>
      <c r="F13" s="124">
        <f t="shared" ref="F13:F17" si="7">ROUND(E13*D13,2)</f>
        <v>28102.43</v>
      </c>
      <c r="G13" s="124">
        <f t="shared" ref="G13:G20" si="8">ROUND(F13*1.2,2)</f>
        <v>33722.92</v>
      </c>
      <c r="H13" s="136"/>
      <c r="I13" s="137"/>
      <c r="J13" s="137"/>
      <c r="K13" s="125">
        <f t="shared" ref="K13:L20" si="9">F13+I13</f>
        <v>28102.43</v>
      </c>
      <c r="L13" s="123">
        <f t="shared" si="9"/>
        <v>33722.92</v>
      </c>
    </row>
    <row r="14" spans="1:13" ht="24" customHeight="1" x14ac:dyDescent="0.25">
      <c r="A14" s="119">
        <f>A13+1</f>
        <v>5</v>
      </c>
      <c r="B14" s="120" t="s">
        <v>45</v>
      </c>
      <c r="C14" s="121" t="s">
        <v>24</v>
      </c>
      <c r="D14" s="135">
        <v>1.85</v>
      </c>
      <c r="E14" s="125">
        <v>1688.15</v>
      </c>
      <c r="F14" s="124">
        <f t="shared" si="7"/>
        <v>3123.08</v>
      </c>
      <c r="G14" s="124">
        <f t="shared" si="8"/>
        <v>3747.7</v>
      </c>
      <c r="H14" s="136"/>
      <c r="I14" s="137"/>
      <c r="J14" s="137"/>
      <c r="K14" s="125">
        <f t="shared" si="9"/>
        <v>3123.08</v>
      </c>
      <c r="L14" s="123">
        <f t="shared" si="9"/>
        <v>3747.7</v>
      </c>
    </row>
    <row r="15" spans="1:13" ht="20.25" customHeight="1" x14ac:dyDescent="0.25">
      <c r="A15" s="119">
        <f>A14+1</f>
        <v>6</v>
      </c>
      <c r="B15" s="120" t="s">
        <v>451</v>
      </c>
      <c r="C15" s="121" t="s">
        <v>331</v>
      </c>
      <c r="D15" s="135">
        <v>6.4</v>
      </c>
      <c r="E15" s="125">
        <v>1310.05</v>
      </c>
      <c r="F15" s="123">
        <f>ROUND(E15*D15,2)</f>
        <v>8384.32</v>
      </c>
      <c r="G15" s="123">
        <f t="shared" si="8"/>
        <v>10061.18</v>
      </c>
      <c r="H15" s="154"/>
      <c r="I15" s="123"/>
      <c r="J15" s="123"/>
      <c r="K15" s="125">
        <f t="shared" si="9"/>
        <v>8384.32</v>
      </c>
      <c r="L15" s="123">
        <f t="shared" si="9"/>
        <v>10061.18</v>
      </c>
      <c r="M15" s="66"/>
    </row>
    <row r="16" spans="1:13" ht="20.25" customHeight="1" x14ac:dyDescent="0.25">
      <c r="A16" s="44" t="s">
        <v>35</v>
      </c>
      <c r="B16" s="45" t="s">
        <v>48</v>
      </c>
      <c r="C16" s="46" t="s">
        <v>24</v>
      </c>
      <c r="D16" s="47">
        <f>D15*1.1</f>
        <v>7.0400000000000009</v>
      </c>
      <c r="E16" s="65"/>
      <c r="F16" s="63"/>
      <c r="G16" s="63"/>
      <c r="H16" s="49">
        <v>1191.3</v>
      </c>
      <c r="I16" s="49">
        <f>ROUND(H16*D16,2)</f>
        <v>8386.75</v>
      </c>
      <c r="J16" s="49">
        <f>ROUND(I16*1.2,2)</f>
        <v>10064.1</v>
      </c>
      <c r="K16" s="50">
        <f t="shared" si="9"/>
        <v>8386.75</v>
      </c>
      <c r="L16" s="49">
        <f t="shared" si="9"/>
        <v>10064.1</v>
      </c>
      <c r="M16" s="64"/>
    </row>
    <row r="17" spans="1:13" ht="24" customHeight="1" x14ac:dyDescent="0.25">
      <c r="A17" s="119">
        <f>A15+1</f>
        <v>7</v>
      </c>
      <c r="B17" s="138" t="s">
        <v>526</v>
      </c>
      <c r="C17" s="121" t="s">
        <v>24</v>
      </c>
      <c r="D17" s="135">
        <v>94.77</v>
      </c>
      <c r="E17" s="125">
        <v>1310.05</v>
      </c>
      <c r="F17" s="124">
        <f t="shared" si="7"/>
        <v>124153.44</v>
      </c>
      <c r="G17" s="124">
        <f t="shared" si="8"/>
        <v>148984.13</v>
      </c>
      <c r="H17" s="124"/>
      <c r="I17" s="124"/>
      <c r="J17" s="124"/>
      <c r="K17" s="126">
        <f t="shared" si="9"/>
        <v>124153.44</v>
      </c>
      <c r="L17" s="124">
        <f t="shared" si="9"/>
        <v>148984.13</v>
      </c>
    </row>
    <row r="18" spans="1:13" ht="20.25" customHeight="1" x14ac:dyDescent="0.25">
      <c r="A18" s="44" t="s">
        <v>39</v>
      </c>
      <c r="B18" s="45" t="s">
        <v>48</v>
      </c>
      <c r="C18" s="46" t="s">
        <v>24</v>
      </c>
      <c r="D18" s="47">
        <f>D17*1.1</f>
        <v>104.247</v>
      </c>
      <c r="E18" s="65"/>
      <c r="F18" s="49"/>
      <c r="G18" s="49"/>
      <c r="H18" s="49">
        <v>1191.3</v>
      </c>
      <c r="I18" s="49">
        <f>ROUND(H18*D18,2)</f>
        <v>124189.45</v>
      </c>
      <c r="J18" s="49">
        <f>ROUND(I18*1.2,2)</f>
        <v>149027.34</v>
      </c>
      <c r="K18" s="50">
        <f t="shared" si="9"/>
        <v>124189.45</v>
      </c>
      <c r="L18" s="49">
        <f t="shared" si="9"/>
        <v>149027.34</v>
      </c>
    </row>
    <row r="19" spans="1:13" ht="22.5" customHeight="1" x14ac:dyDescent="0.25">
      <c r="A19" s="121">
        <f>A17+1</f>
        <v>8</v>
      </c>
      <c r="B19" s="120" t="s">
        <v>574</v>
      </c>
      <c r="C19" s="121" t="s">
        <v>24</v>
      </c>
      <c r="D19" s="135">
        <v>94.77</v>
      </c>
      <c r="E19" s="125">
        <v>188.1</v>
      </c>
      <c r="F19" s="123">
        <f t="shared" ref="F19" si="10">ROUND(E19*D19,2)</f>
        <v>17826.240000000002</v>
      </c>
      <c r="G19" s="123">
        <f t="shared" ref="G19" si="11">ROUND(F19*1.2,2)</f>
        <v>21391.49</v>
      </c>
      <c r="H19" s="125"/>
      <c r="I19" s="123"/>
      <c r="J19" s="123"/>
      <c r="K19" s="125">
        <f t="shared" si="9"/>
        <v>17826.240000000002</v>
      </c>
      <c r="L19" s="123">
        <f t="shared" si="9"/>
        <v>21391.49</v>
      </c>
    </row>
    <row r="20" spans="1:13" ht="18.75" customHeight="1" x14ac:dyDescent="0.25">
      <c r="A20" s="121">
        <f>A19+1</f>
        <v>9</v>
      </c>
      <c r="B20" s="120" t="s">
        <v>51</v>
      </c>
      <c r="C20" s="121" t="s">
        <v>37</v>
      </c>
      <c r="D20" s="135">
        <f>(D13+D14)*1.9</f>
        <v>176.45299999999997</v>
      </c>
      <c r="E20" s="125">
        <v>308.75</v>
      </c>
      <c r="F20" s="123">
        <f>ROUND(E20*D20,2)</f>
        <v>54479.86</v>
      </c>
      <c r="G20" s="123">
        <f t="shared" si="8"/>
        <v>65375.83</v>
      </c>
      <c r="H20" s="125"/>
      <c r="I20" s="123"/>
      <c r="J20" s="123"/>
      <c r="K20" s="125">
        <f t="shared" si="9"/>
        <v>54479.86</v>
      </c>
      <c r="L20" s="123">
        <f t="shared" si="9"/>
        <v>65375.83</v>
      </c>
    </row>
    <row r="21" spans="1:13" ht="18" customHeight="1" x14ac:dyDescent="0.25">
      <c r="A21" s="44"/>
      <c r="B21" s="42" t="s">
        <v>527</v>
      </c>
      <c r="C21" s="38"/>
      <c r="D21" s="52"/>
      <c r="E21" s="53"/>
      <c r="F21" s="54"/>
      <c r="G21" s="55"/>
      <c r="H21" s="62"/>
      <c r="I21" s="35"/>
      <c r="J21" s="35"/>
      <c r="K21" s="32"/>
      <c r="L21" s="35"/>
    </row>
    <row r="22" spans="1:13" ht="21.75" customHeight="1" x14ac:dyDescent="0.25">
      <c r="A22" s="119">
        <f>A20+1</f>
        <v>10</v>
      </c>
      <c r="B22" s="120" t="s">
        <v>528</v>
      </c>
      <c r="C22" s="121" t="s">
        <v>24</v>
      </c>
      <c r="D22" s="135">
        <v>8.8800000000000008</v>
      </c>
      <c r="E22" s="125">
        <v>13357</v>
      </c>
      <c r="F22" s="124">
        <f t="shared" ref="F22" si="12">ROUND(E22*D22,2)</f>
        <v>118610.16</v>
      </c>
      <c r="G22" s="124">
        <f t="shared" ref="G22" si="13">ROUND(F22*1.2,2)</f>
        <v>142332.19</v>
      </c>
      <c r="H22" s="145"/>
      <c r="I22" s="124"/>
      <c r="J22" s="124"/>
      <c r="K22" s="125">
        <f t="shared" ref="K22:L27" si="14">F22+I22</f>
        <v>118610.16</v>
      </c>
      <c r="L22" s="123">
        <f t="shared" si="14"/>
        <v>142332.19</v>
      </c>
      <c r="M22" s="66" t="s">
        <v>530</v>
      </c>
    </row>
    <row r="23" spans="1:13" ht="22.5" customHeight="1" x14ac:dyDescent="0.25">
      <c r="A23" s="44" t="s">
        <v>398</v>
      </c>
      <c r="B23" s="45" t="s">
        <v>529</v>
      </c>
      <c r="C23" s="46" t="s">
        <v>63</v>
      </c>
      <c r="D23" s="67">
        <v>12</v>
      </c>
      <c r="E23" s="65"/>
      <c r="F23" s="63"/>
      <c r="G23" s="63"/>
      <c r="H23" s="63">
        <v>16590</v>
      </c>
      <c r="I23" s="63">
        <f>ROUND(H23*D23,2)</f>
        <v>199080</v>
      </c>
      <c r="J23" s="63">
        <f>ROUND(I23*1.2,2)</f>
        <v>238896</v>
      </c>
      <c r="K23" s="65">
        <f t="shared" si="14"/>
        <v>199080</v>
      </c>
      <c r="L23" s="63">
        <f t="shared" si="14"/>
        <v>238896</v>
      </c>
      <c r="M23" s="66" t="s">
        <v>155</v>
      </c>
    </row>
    <row r="24" spans="1:13" ht="24" customHeight="1" x14ac:dyDescent="0.25">
      <c r="A24" s="121">
        <f>A22+1</f>
        <v>11</v>
      </c>
      <c r="B24" s="120" t="s">
        <v>352</v>
      </c>
      <c r="C24" s="121" t="s">
        <v>34</v>
      </c>
      <c r="D24" s="122">
        <v>61.8</v>
      </c>
      <c r="E24" s="125">
        <v>144.4</v>
      </c>
      <c r="F24" s="124">
        <f>ROUND(E24*D24,2)</f>
        <v>8923.92</v>
      </c>
      <c r="G24" s="124">
        <f t="shared" ref="G24" si="15">ROUND(F24*1.2,2)</f>
        <v>10708.7</v>
      </c>
      <c r="H24" s="125"/>
      <c r="I24" s="124"/>
      <c r="J24" s="124"/>
      <c r="K24" s="125">
        <f t="shared" si="14"/>
        <v>8923.92</v>
      </c>
      <c r="L24" s="123">
        <f t="shared" si="14"/>
        <v>10708.7</v>
      </c>
      <c r="M24" s="66" t="s">
        <v>256</v>
      </c>
    </row>
    <row r="25" spans="1:13" ht="17.25" customHeight="1" x14ac:dyDescent="0.25">
      <c r="A25" s="44" t="s">
        <v>47</v>
      </c>
      <c r="B25" s="73" t="s">
        <v>353</v>
      </c>
      <c r="C25" s="46" t="s">
        <v>215</v>
      </c>
      <c r="D25" s="108">
        <f>D24*0.3*20/16</f>
        <v>23.174999999999997</v>
      </c>
      <c r="E25" s="65"/>
      <c r="F25" s="49"/>
      <c r="G25" s="49"/>
      <c r="H25" s="95">
        <v>237.5</v>
      </c>
      <c r="I25" s="49">
        <f>ROUND(H25*D25,2)</f>
        <v>5504.06</v>
      </c>
      <c r="J25" s="49">
        <f t="shared" ref="J25" si="16">ROUND(I25*1.2,2)</f>
        <v>6604.87</v>
      </c>
      <c r="K25" s="50">
        <f t="shared" si="14"/>
        <v>5504.06</v>
      </c>
      <c r="L25" s="49">
        <f t="shared" si="14"/>
        <v>6604.87</v>
      </c>
      <c r="M25" s="66"/>
    </row>
    <row r="26" spans="1:13" ht="25.5" customHeight="1" x14ac:dyDescent="0.25">
      <c r="A26" s="121">
        <f>A24+1</f>
        <v>12</v>
      </c>
      <c r="B26" s="120" t="s">
        <v>354</v>
      </c>
      <c r="C26" s="121" t="s">
        <v>34</v>
      </c>
      <c r="D26" s="122">
        <v>61.8</v>
      </c>
      <c r="E26" s="125">
        <v>299.76</v>
      </c>
      <c r="F26" s="124">
        <f>ROUND(E26*D26,2)</f>
        <v>18525.169999999998</v>
      </c>
      <c r="G26" s="124">
        <f t="shared" ref="G26" si="17">ROUND(F26*1.2,2)</f>
        <v>22230.2</v>
      </c>
      <c r="H26" s="125"/>
      <c r="I26" s="124"/>
      <c r="J26" s="124"/>
      <c r="K26" s="125">
        <f t="shared" si="14"/>
        <v>18525.169999999998</v>
      </c>
      <c r="L26" s="123">
        <f t="shared" si="14"/>
        <v>22230.2</v>
      </c>
      <c r="M26" s="66" t="s">
        <v>256</v>
      </c>
    </row>
    <row r="27" spans="1:13" x14ac:dyDescent="0.25">
      <c r="A27" s="44" t="s">
        <v>50</v>
      </c>
      <c r="B27" s="73" t="s">
        <v>355</v>
      </c>
      <c r="C27" s="46" t="s">
        <v>126</v>
      </c>
      <c r="D27" s="47">
        <f>D26*2.5*2</f>
        <v>309</v>
      </c>
      <c r="E27" s="65"/>
      <c r="F27" s="49"/>
      <c r="G27" s="49"/>
      <c r="H27" s="95">
        <v>296.39999999999998</v>
      </c>
      <c r="I27" s="49">
        <f t="shared" ref="I27" si="18">ROUND(H27*D27,2)</f>
        <v>91587.6</v>
      </c>
      <c r="J27" s="49">
        <f t="shared" ref="J27" si="19">ROUND(I27*1.2,2)</f>
        <v>109905.12</v>
      </c>
      <c r="K27" s="65">
        <f t="shared" si="14"/>
        <v>91587.6</v>
      </c>
      <c r="L27" s="63">
        <f t="shared" si="14"/>
        <v>109905.12</v>
      </c>
      <c r="M27" s="66"/>
    </row>
    <row r="28" spans="1:13" s="87" customFormat="1" ht="24" customHeight="1" x14ac:dyDescent="0.3">
      <c r="A28" s="212" t="s">
        <v>144</v>
      </c>
      <c r="B28" s="213"/>
      <c r="C28" s="213"/>
      <c r="D28" s="213"/>
      <c r="E28" s="214"/>
      <c r="F28" s="109">
        <f>SUM(F7:F27)</f>
        <v>426153.15999999992</v>
      </c>
      <c r="G28" s="109">
        <f>ROUND(F28*1.2,2)</f>
        <v>511383.79</v>
      </c>
      <c r="H28" s="113"/>
      <c r="I28" s="109">
        <f>SUM(I7:I27)</f>
        <v>428747.86</v>
      </c>
      <c r="J28" s="109">
        <f>ROUND(I28*1.2,2)</f>
        <v>514497.43</v>
      </c>
      <c r="K28" s="109">
        <f>SUM(K7:K27)</f>
        <v>854901.02000000014</v>
      </c>
      <c r="L28" s="109">
        <f>ROUND(K28*1.2,2)</f>
        <v>1025881.22</v>
      </c>
      <c r="M28" s="86"/>
    </row>
    <row r="30" spans="1:13" x14ac:dyDescent="0.25">
      <c r="B30" s="174" t="s">
        <v>586</v>
      </c>
      <c r="K30" s="88"/>
    </row>
    <row r="31" spans="1:13" x14ac:dyDescent="0.25">
      <c r="B31" s="175" t="s">
        <v>587</v>
      </c>
    </row>
  </sheetData>
  <mergeCells count="10">
    <mergeCell ref="B6:D6"/>
    <mergeCell ref="A28:E2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M160"/>
  <sheetViews>
    <sheetView view="pageBreakPreview" topLeftCell="A137" zoomScale="80" zoomScaleNormal="100" zoomScaleSheetLayoutView="80" workbookViewId="0">
      <selection activeCell="G145" sqref="G145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89" customWidth="1"/>
    <col min="8" max="8" width="16.140625" style="89" customWidth="1"/>
    <col min="9" max="12" width="16.140625" customWidth="1"/>
    <col min="13" max="13" width="55.42578125" style="66" customWidth="1"/>
  </cols>
  <sheetData>
    <row r="1" spans="1:13" ht="14.45" customHeight="1" x14ac:dyDescent="0.25">
      <c r="A1" s="194" t="s">
        <v>0</v>
      </c>
      <c r="B1" s="197" t="s">
        <v>8</v>
      </c>
      <c r="C1" s="200" t="s">
        <v>9</v>
      </c>
      <c r="D1" s="200" t="s">
        <v>10</v>
      </c>
      <c r="E1" s="206" t="s">
        <v>11</v>
      </c>
      <c r="F1" s="207"/>
      <c r="G1" s="207"/>
      <c r="H1" s="207"/>
      <c r="I1" s="207"/>
      <c r="J1" s="207"/>
      <c r="K1" s="207"/>
      <c r="L1" s="207"/>
    </row>
    <row r="2" spans="1:13" ht="14.45" customHeight="1" x14ac:dyDescent="0.25">
      <c r="A2" s="195"/>
      <c r="B2" s="198"/>
      <c r="C2" s="200"/>
      <c r="D2" s="200"/>
      <c r="E2" s="208"/>
      <c r="F2" s="209"/>
      <c r="G2" s="209"/>
      <c r="H2" s="209"/>
      <c r="I2" s="209"/>
      <c r="J2" s="209"/>
      <c r="K2" s="209"/>
      <c r="L2" s="209"/>
    </row>
    <row r="3" spans="1:13" ht="27.75" customHeight="1" x14ac:dyDescent="0.25">
      <c r="A3" s="195"/>
      <c r="B3" s="198"/>
      <c r="C3" s="200"/>
      <c r="D3" s="200"/>
      <c r="E3" s="200" t="s">
        <v>12</v>
      </c>
      <c r="F3" s="200"/>
      <c r="G3" s="200"/>
      <c r="H3" s="200" t="s">
        <v>13</v>
      </c>
      <c r="I3" s="200"/>
      <c r="J3" s="200"/>
      <c r="K3" s="190" t="s">
        <v>14</v>
      </c>
      <c r="L3" s="190"/>
    </row>
    <row r="4" spans="1:13" ht="56.1" customHeight="1" x14ac:dyDescent="0.25">
      <c r="A4" s="196"/>
      <c r="B4" s="199"/>
      <c r="C4" s="200"/>
      <c r="D4" s="200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210" t="s">
        <v>311</v>
      </c>
      <c r="C6" s="211"/>
      <c r="D6" s="211"/>
      <c r="E6" s="27"/>
      <c r="F6" s="28"/>
      <c r="G6" s="29"/>
      <c r="H6" s="29"/>
      <c r="I6" s="29"/>
      <c r="J6" s="29"/>
      <c r="K6" s="29"/>
      <c r="L6" s="29"/>
    </row>
    <row r="7" spans="1:13" ht="24" customHeight="1" x14ac:dyDescent="0.25">
      <c r="A7" s="30"/>
      <c r="B7" s="31" t="s">
        <v>312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18" customHeight="1" x14ac:dyDescent="0.25">
      <c r="A8" s="119">
        <v>1</v>
      </c>
      <c r="B8" s="120" t="s">
        <v>313</v>
      </c>
      <c r="C8" s="121" t="s">
        <v>63</v>
      </c>
      <c r="D8" s="122">
        <v>19</v>
      </c>
      <c r="E8" s="123">
        <v>1055.02</v>
      </c>
      <c r="F8" s="124">
        <f>ROUND(E8*19,2)</f>
        <v>20045.38</v>
      </c>
      <c r="G8" s="124">
        <f t="shared" ref="G8:G11" si="0">ROUND(F8*1.2,2)</f>
        <v>24054.46</v>
      </c>
      <c r="H8" s="125"/>
      <c r="I8" s="124"/>
      <c r="J8" s="124"/>
      <c r="K8" s="126">
        <f t="shared" ref="K8:L11" si="1">F8+I8</f>
        <v>20045.38</v>
      </c>
      <c r="L8" s="124">
        <f t="shared" si="1"/>
        <v>24054.46</v>
      </c>
      <c r="M8" s="66" t="s">
        <v>25</v>
      </c>
    </row>
    <row r="9" spans="1:13" ht="18" customHeight="1" x14ac:dyDescent="0.25">
      <c r="A9" s="127">
        <f>A8+1</f>
        <v>2</v>
      </c>
      <c r="B9" s="128" t="s">
        <v>21</v>
      </c>
      <c r="C9" s="129" t="s">
        <v>22</v>
      </c>
      <c r="D9" s="130">
        <v>26.48</v>
      </c>
      <c r="E9" s="131">
        <v>3500</v>
      </c>
      <c r="F9" s="131">
        <f t="shared" ref="F9" si="2">ROUND(E9*D9,2)</f>
        <v>92680</v>
      </c>
      <c r="G9" s="131">
        <f t="shared" si="0"/>
        <v>111216</v>
      </c>
      <c r="H9" s="133"/>
      <c r="I9" s="131"/>
      <c r="J9" s="131"/>
      <c r="K9" s="133">
        <f t="shared" si="1"/>
        <v>92680</v>
      </c>
      <c r="L9" s="131">
        <f t="shared" si="1"/>
        <v>111216</v>
      </c>
      <c r="M9" s="40" t="s">
        <v>609</v>
      </c>
    </row>
    <row r="10" spans="1:13" ht="18" customHeight="1" x14ac:dyDescent="0.25">
      <c r="A10" s="119">
        <f t="shared" ref="A10:A11" si="3">A9+1</f>
        <v>3</v>
      </c>
      <c r="B10" s="120" t="s">
        <v>314</v>
      </c>
      <c r="C10" s="121" t="s">
        <v>24</v>
      </c>
      <c r="D10" s="135">
        <v>15.01</v>
      </c>
      <c r="E10" s="123">
        <f>ROUND(65055.24/(297.03*0.05),2)</f>
        <v>4380.38</v>
      </c>
      <c r="F10" s="124">
        <f t="shared" ref="F10:F11" si="4">ROUND(E10*D10,2)</f>
        <v>65749.5</v>
      </c>
      <c r="G10" s="124">
        <f t="shared" si="0"/>
        <v>78899.399999999994</v>
      </c>
      <c r="H10" s="125"/>
      <c r="I10" s="124"/>
      <c r="J10" s="124"/>
      <c r="K10" s="126">
        <f t="shared" si="1"/>
        <v>65749.5</v>
      </c>
      <c r="L10" s="124">
        <f t="shared" si="1"/>
        <v>78899.399999999994</v>
      </c>
      <c r="M10" s="66" t="s">
        <v>25</v>
      </c>
    </row>
    <row r="11" spans="1:13" ht="20.25" customHeight="1" x14ac:dyDescent="0.25">
      <c r="A11" s="119">
        <f t="shared" si="3"/>
        <v>4</v>
      </c>
      <c r="B11" s="120" t="s">
        <v>315</v>
      </c>
      <c r="C11" s="121" t="s">
        <v>24</v>
      </c>
      <c r="D11" s="135">
        <v>23.7</v>
      </c>
      <c r="E11" s="125">
        <v>304</v>
      </c>
      <c r="F11" s="124">
        <f t="shared" si="4"/>
        <v>7204.8</v>
      </c>
      <c r="G11" s="124">
        <f t="shared" si="0"/>
        <v>8645.76</v>
      </c>
      <c r="H11" s="124"/>
      <c r="I11" s="124"/>
      <c r="J11" s="124"/>
      <c r="K11" s="126">
        <f t="shared" si="1"/>
        <v>7204.8</v>
      </c>
      <c r="L11" s="124">
        <f t="shared" si="1"/>
        <v>8645.76</v>
      </c>
      <c r="M11" s="66" t="s">
        <v>25</v>
      </c>
    </row>
    <row r="12" spans="1:13" ht="20.25" customHeight="1" x14ac:dyDescent="0.25">
      <c r="A12" s="51"/>
      <c r="B12" s="42" t="s">
        <v>227</v>
      </c>
      <c r="C12" s="38"/>
      <c r="D12" s="52"/>
      <c r="E12" s="53"/>
      <c r="F12" s="54"/>
      <c r="G12" s="55"/>
      <c r="H12" s="56"/>
      <c r="I12" s="57"/>
      <c r="J12" s="57"/>
      <c r="K12" s="58"/>
      <c r="L12" s="57"/>
    </row>
    <row r="13" spans="1:13" ht="20.25" customHeight="1" x14ac:dyDescent="0.25">
      <c r="A13" s="119">
        <f>A11+1</f>
        <v>5</v>
      </c>
      <c r="B13" s="138" t="s">
        <v>27</v>
      </c>
      <c r="C13" s="121" t="s">
        <v>37</v>
      </c>
      <c r="D13" s="122">
        <v>62.1</v>
      </c>
      <c r="E13" s="123">
        <v>431.37</v>
      </c>
      <c r="F13" s="124">
        <f>ROUND(E13*D13,2)</f>
        <v>26788.080000000002</v>
      </c>
      <c r="G13" s="124">
        <f t="shared" ref="G13" si="5">ROUND(F13*1.2,2)</f>
        <v>32145.7</v>
      </c>
      <c r="H13" s="124"/>
      <c r="I13" s="124"/>
      <c r="J13" s="124"/>
      <c r="K13" s="126">
        <f t="shared" ref="K13:L13" si="6">F13+I13</f>
        <v>26788.080000000002</v>
      </c>
      <c r="L13" s="124">
        <f t="shared" si="6"/>
        <v>32145.7</v>
      </c>
      <c r="M13" s="66" t="s">
        <v>153</v>
      </c>
    </row>
    <row r="14" spans="1:13" ht="21.75" customHeight="1" x14ac:dyDescent="0.25">
      <c r="A14" s="30"/>
      <c r="B14" s="42" t="s">
        <v>402</v>
      </c>
      <c r="C14" s="38"/>
      <c r="D14" s="107"/>
      <c r="E14" s="59"/>
      <c r="F14" s="33"/>
      <c r="G14" s="33"/>
      <c r="H14" s="56"/>
      <c r="I14" s="57"/>
      <c r="J14" s="57"/>
      <c r="K14" s="59"/>
      <c r="L14" s="41"/>
    </row>
    <row r="15" spans="1:13" ht="21.75" customHeight="1" x14ac:dyDescent="0.25">
      <c r="A15" s="127">
        <f>A13+1</f>
        <v>6</v>
      </c>
      <c r="B15" s="128" t="s">
        <v>317</v>
      </c>
      <c r="C15" s="129" t="s">
        <v>63</v>
      </c>
      <c r="D15" s="140">
        <v>1</v>
      </c>
      <c r="E15" s="133">
        <f>7035.89*0.8</f>
        <v>5628.7120000000004</v>
      </c>
      <c r="F15" s="132">
        <f t="shared" ref="F15:F16" si="7">ROUND(E15*D15,2)</f>
        <v>5628.71</v>
      </c>
      <c r="G15" s="132">
        <f t="shared" ref="G15:G16" si="8">ROUND(F15*1.2,2)</f>
        <v>6754.45</v>
      </c>
      <c r="H15" s="133"/>
      <c r="I15" s="132"/>
      <c r="J15" s="132"/>
      <c r="K15" s="133">
        <f t="shared" ref="K15:K16" si="9">F15+I15</f>
        <v>5628.71</v>
      </c>
      <c r="L15" s="131">
        <f t="shared" ref="L15:L16" si="10">G15+J15</f>
        <v>6754.45</v>
      </c>
      <c r="M15" s="66" t="s">
        <v>316</v>
      </c>
    </row>
    <row r="16" spans="1:13" ht="30.75" customHeight="1" x14ac:dyDescent="0.25">
      <c r="A16" s="127">
        <f>A15+1</f>
        <v>7</v>
      </c>
      <c r="B16" s="128" t="s">
        <v>410</v>
      </c>
      <c r="C16" s="129" t="s">
        <v>63</v>
      </c>
      <c r="D16" s="140">
        <v>1</v>
      </c>
      <c r="E16" s="133">
        <f>0.8*5650.6</f>
        <v>4520.4800000000005</v>
      </c>
      <c r="F16" s="132">
        <f t="shared" si="7"/>
        <v>4520.4799999999996</v>
      </c>
      <c r="G16" s="132">
        <f t="shared" si="8"/>
        <v>5424.58</v>
      </c>
      <c r="H16" s="132"/>
      <c r="I16" s="132"/>
      <c r="J16" s="132"/>
      <c r="K16" s="134">
        <f t="shared" si="9"/>
        <v>4520.4799999999996</v>
      </c>
      <c r="L16" s="132">
        <f t="shared" si="10"/>
        <v>5424.58</v>
      </c>
      <c r="M16" s="66" t="s">
        <v>316</v>
      </c>
    </row>
    <row r="17" spans="1:13" ht="19.5" customHeight="1" x14ac:dyDescent="0.25">
      <c r="A17" s="127">
        <f t="shared" ref="A17:A20" si="11">A16+1</f>
        <v>8</v>
      </c>
      <c r="B17" s="143" t="s">
        <v>403</v>
      </c>
      <c r="C17" s="129" t="s">
        <v>63</v>
      </c>
      <c r="D17" s="161">
        <v>1</v>
      </c>
      <c r="E17" s="133">
        <f>E18*0.8</f>
        <v>530.24000000000012</v>
      </c>
      <c r="F17" s="132">
        <f t="shared" ref="F17" si="12">ROUND(E17*D17,2)</f>
        <v>530.24</v>
      </c>
      <c r="G17" s="132">
        <f t="shared" ref="G17" si="13">ROUND(F17*1.2,2)</f>
        <v>636.29</v>
      </c>
      <c r="H17" s="133"/>
      <c r="I17" s="132"/>
      <c r="J17" s="132"/>
      <c r="K17" s="133">
        <f t="shared" ref="K17" si="14">F17+I17</f>
        <v>530.24</v>
      </c>
      <c r="L17" s="131">
        <f t="shared" ref="L17" si="15">G17+J17</f>
        <v>636.29</v>
      </c>
      <c r="M17" s="66" t="s">
        <v>580</v>
      </c>
    </row>
    <row r="18" spans="1:13" ht="19.5" customHeight="1" x14ac:dyDescent="0.25">
      <c r="A18" s="127">
        <f t="shared" si="11"/>
        <v>9</v>
      </c>
      <c r="B18" s="143" t="s">
        <v>404</v>
      </c>
      <c r="C18" s="129" t="s">
        <v>63</v>
      </c>
      <c r="D18" s="161">
        <v>2</v>
      </c>
      <c r="E18" s="133">
        <f>E19*0.8</f>
        <v>662.80000000000007</v>
      </c>
      <c r="F18" s="132">
        <f t="shared" ref="F18:F20" si="16">ROUND(E18*D18,2)</f>
        <v>1325.6</v>
      </c>
      <c r="G18" s="132">
        <f t="shared" ref="G18:G20" si="17">ROUND(F18*1.2,2)</f>
        <v>1590.72</v>
      </c>
      <c r="H18" s="133"/>
      <c r="I18" s="132"/>
      <c r="J18" s="132"/>
      <c r="K18" s="133">
        <f t="shared" ref="K18:K20" si="18">F18+I18</f>
        <v>1325.6</v>
      </c>
      <c r="L18" s="131">
        <f t="shared" ref="L18:L20" si="19">G18+J18</f>
        <v>1590.72</v>
      </c>
      <c r="M18" s="66" t="s">
        <v>579</v>
      </c>
    </row>
    <row r="19" spans="1:13" ht="19.5" customHeight="1" x14ac:dyDescent="0.25">
      <c r="A19" s="119">
        <f t="shared" si="11"/>
        <v>10</v>
      </c>
      <c r="B19" s="120" t="s">
        <v>408</v>
      </c>
      <c r="C19" s="121" t="s">
        <v>22</v>
      </c>
      <c r="D19" s="160">
        <v>1.5</v>
      </c>
      <c r="E19" s="125">
        <v>828.5</v>
      </c>
      <c r="F19" s="124">
        <f t="shared" si="16"/>
        <v>1242.75</v>
      </c>
      <c r="G19" s="124">
        <f t="shared" si="17"/>
        <v>1491.3</v>
      </c>
      <c r="H19" s="136"/>
      <c r="I19" s="137"/>
      <c r="J19" s="137"/>
      <c r="K19" s="125">
        <f t="shared" si="18"/>
        <v>1242.75</v>
      </c>
      <c r="L19" s="123">
        <f t="shared" si="19"/>
        <v>1491.3</v>
      </c>
      <c r="M19" s="40" t="s">
        <v>322</v>
      </c>
    </row>
    <row r="20" spans="1:13" ht="19.5" customHeight="1" x14ac:dyDescent="0.25">
      <c r="A20" s="127">
        <f t="shared" si="11"/>
        <v>11</v>
      </c>
      <c r="B20" s="128" t="s">
        <v>409</v>
      </c>
      <c r="C20" s="129" t="s">
        <v>22</v>
      </c>
      <c r="D20" s="140">
        <v>1</v>
      </c>
      <c r="E20" s="133">
        <f>E19*0.6</f>
        <v>497.09999999999997</v>
      </c>
      <c r="F20" s="132">
        <f t="shared" si="16"/>
        <v>497.1</v>
      </c>
      <c r="G20" s="132">
        <f t="shared" si="17"/>
        <v>596.52</v>
      </c>
      <c r="H20" s="141"/>
      <c r="I20" s="142"/>
      <c r="J20" s="142"/>
      <c r="K20" s="133">
        <f t="shared" si="18"/>
        <v>497.1</v>
      </c>
      <c r="L20" s="131">
        <f t="shared" si="19"/>
        <v>596.52</v>
      </c>
      <c r="M20" s="66" t="s">
        <v>578</v>
      </c>
    </row>
    <row r="21" spans="1:13" ht="21.75" customHeight="1" x14ac:dyDescent="0.25">
      <c r="A21" s="30"/>
      <c r="B21" s="105" t="s">
        <v>406</v>
      </c>
      <c r="C21" s="38"/>
      <c r="D21" s="39"/>
      <c r="E21" s="59"/>
      <c r="F21" s="35"/>
      <c r="G21" s="35"/>
      <c r="H21" s="62"/>
      <c r="I21" s="35"/>
      <c r="J21" s="35"/>
      <c r="K21" s="59"/>
      <c r="L21" s="41"/>
    </row>
    <row r="22" spans="1:13" ht="30" customHeight="1" x14ac:dyDescent="0.25">
      <c r="A22" s="127">
        <f>A20+1</f>
        <v>12</v>
      </c>
      <c r="B22" s="128" t="s">
        <v>324</v>
      </c>
      <c r="C22" s="129" t="s">
        <v>331</v>
      </c>
      <c r="D22" s="158">
        <f>4.39+0.49</f>
        <v>4.88</v>
      </c>
      <c r="E22" s="201">
        <f>14540/0.84*4.88</f>
        <v>84470.476190476184</v>
      </c>
      <c r="F22" s="201">
        <f>ROUND(E22*1,2)</f>
        <v>84470.48</v>
      </c>
      <c r="G22" s="201">
        <f t="shared" ref="G22:G25" si="20">ROUND(F22*1.2,2)</f>
        <v>101364.58</v>
      </c>
      <c r="H22" s="201"/>
      <c r="I22" s="201"/>
      <c r="J22" s="201"/>
      <c r="K22" s="201">
        <f t="shared" ref="K22:K25" si="21">F22+I22</f>
        <v>84470.48</v>
      </c>
      <c r="L22" s="201">
        <f t="shared" ref="L22:L25" si="22">G22+J22</f>
        <v>101364.58</v>
      </c>
      <c r="M22" s="193" t="s">
        <v>327</v>
      </c>
    </row>
    <row r="23" spans="1:13" ht="19.5" customHeight="1" x14ac:dyDescent="0.25">
      <c r="A23" s="162" t="s">
        <v>50</v>
      </c>
      <c r="B23" s="128" t="s">
        <v>328</v>
      </c>
      <c r="C23" s="129" t="s">
        <v>24</v>
      </c>
      <c r="D23" s="130">
        <v>4.3899999999999997</v>
      </c>
      <c r="E23" s="202"/>
      <c r="F23" s="202"/>
      <c r="G23" s="202"/>
      <c r="H23" s="202"/>
      <c r="I23" s="202"/>
      <c r="J23" s="202"/>
      <c r="K23" s="202"/>
      <c r="L23" s="202"/>
      <c r="M23" s="193"/>
    </row>
    <row r="24" spans="1:13" ht="19.5" customHeight="1" x14ac:dyDescent="0.25">
      <c r="A24" s="162" t="s">
        <v>592</v>
      </c>
      <c r="B24" s="128" t="s">
        <v>325</v>
      </c>
      <c r="C24" s="129" t="s">
        <v>63</v>
      </c>
      <c r="D24" s="140">
        <v>1</v>
      </c>
      <c r="E24" s="202"/>
      <c r="F24" s="202">
        <f t="shared" ref="F24:F25" si="23">ROUND(E24*D24,2)</f>
        <v>0</v>
      </c>
      <c r="G24" s="202">
        <f t="shared" si="20"/>
        <v>0</v>
      </c>
      <c r="H24" s="202"/>
      <c r="I24" s="202"/>
      <c r="J24" s="202"/>
      <c r="K24" s="202">
        <f t="shared" si="21"/>
        <v>0</v>
      </c>
      <c r="L24" s="202">
        <f t="shared" si="22"/>
        <v>0</v>
      </c>
      <c r="M24" s="193"/>
    </row>
    <row r="25" spans="1:13" ht="19.5" customHeight="1" x14ac:dyDescent="0.25">
      <c r="A25" s="162" t="s">
        <v>593</v>
      </c>
      <c r="B25" s="128" t="s">
        <v>405</v>
      </c>
      <c r="C25" s="129" t="s">
        <v>24</v>
      </c>
      <c r="D25" s="130">
        <v>0.49</v>
      </c>
      <c r="E25" s="202"/>
      <c r="F25" s="202">
        <f t="shared" si="23"/>
        <v>0</v>
      </c>
      <c r="G25" s="202">
        <f t="shared" si="20"/>
        <v>0</v>
      </c>
      <c r="H25" s="202"/>
      <c r="I25" s="202"/>
      <c r="J25" s="202"/>
      <c r="K25" s="202">
        <f t="shared" si="21"/>
        <v>0</v>
      </c>
      <c r="L25" s="202">
        <f t="shared" si="22"/>
        <v>0</v>
      </c>
      <c r="M25" s="193"/>
    </row>
    <row r="26" spans="1:13" ht="21.75" customHeight="1" x14ac:dyDescent="0.25">
      <c r="A26" s="30"/>
      <c r="B26" s="42" t="s">
        <v>407</v>
      </c>
      <c r="C26" s="38"/>
      <c r="D26" s="107"/>
      <c r="E26" s="59"/>
      <c r="F26" s="33"/>
      <c r="G26" s="33"/>
      <c r="H26" s="56"/>
      <c r="I26" s="57"/>
      <c r="J26" s="57"/>
      <c r="K26" s="59"/>
      <c r="L26" s="41"/>
    </row>
    <row r="27" spans="1:13" s="61" customFormat="1" ht="17.25" customHeight="1" x14ac:dyDescent="0.25">
      <c r="A27" s="129">
        <f>A22+1</f>
        <v>13</v>
      </c>
      <c r="B27" s="128" t="s">
        <v>320</v>
      </c>
      <c r="C27" s="129" t="s">
        <v>63</v>
      </c>
      <c r="D27" s="140">
        <v>1</v>
      </c>
      <c r="E27" s="133">
        <f>0.8*4741.45</f>
        <v>3793.16</v>
      </c>
      <c r="F27" s="132">
        <f t="shared" ref="F27:F33" si="24">ROUND(E27*D27,2)</f>
        <v>3793.16</v>
      </c>
      <c r="G27" s="132">
        <f t="shared" ref="G27:G33" si="25">ROUND(F27*1.2,2)</f>
        <v>4551.79</v>
      </c>
      <c r="H27" s="141"/>
      <c r="I27" s="142"/>
      <c r="J27" s="142"/>
      <c r="K27" s="133">
        <f t="shared" ref="K27:K33" si="26">F27+I27</f>
        <v>3793.16</v>
      </c>
      <c r="L27" s="131">
        <f t="shared" ref="L27:L33" si="27">G27+J27</f>
        <v>4551.79</v>
      </c>
      <c r="M27" s="66" t="s">
        <v>319</v>
      </c>
    </row>
    <row r="28" spans="1:13" ht="17.25" customHeight="1" x14ac:dyDescent="0.25">
      <c r="A28" s="129">
        <f>A27+1</f>
        <v>14</v>
      </c>
      <c r="B28" s="128" t="s">
        <v>318</v>
      </c>
      <c r="C28" s="129" t="s">
        <v>63</v>
      </c>
      <c r="D28" s="140">
        <v>2</v>
      </c>
      <c r="E28" s="133">
        <f>0.8*2337</f>
        <v>1869.6000000000001</v>
      </c>
      <c r="F28" s="132">
        <f t="shared" si="24"/>
        <v>3739.2</v>
      </c>
      <c r="G28" s="132">
        <f t="shared" si="25"/>
        <v>4487.04</v>
      </c>
      <c r="H28" s="132"/>
      <c r="I28" s="132"/>
      <c r="J28" s="132"/>
      <c r="K28" s="134">
        <f t="shared" si="26"/>
        <v>3739.2</v>
      </c>
      <c r="L28" s="132">
        <f t="shared" si="27"/>
        <v>4487.04</v>
      </c>
      <c r="M28" s="66" t="s">
        <v>319</v>
      </c>
    </row>
    <row r="29" spans="1:13" ht="19.5" customHeight="1" x14ac:dyDescent="0.25">
      <c r="A29" s="119">
        <f>A28+1</f>
        <v>15</v>
      </c>
      <c r="B29" s="120" t="s">
        <v>408</v>
      </c>
      <c r="C29" s="121" t="s">
        <v>22</v>
      </c>
      <c r="D29" s="160">
        <v>1.5</v>
      </c>
      <c r="E29" s="125">
        <v>828.5</v>
      </c>
      <c r="F29" s="124">
        <f t="shared" si="24"/>
        <v>1242.75</v>
      </c>
      <c r="G29" s="124">
        <f t="shared" si="25"/>
        <v>1491.3</v>
      </c>
      <c r="H29" s="136"/>
      <c r="I29" s="137"/>
      <c r="J29" s="137"/>
      <c r="K29" s="125">
        <f t="shared" si="26"/>
        <v>1242.75</v>
      </c>
      <c r="L29" s="123">
        <f t="shared" si="27"/>
        <v>1491.3</v>
      </c>
      <c r="M29" s="40" t="s">
        <v>322</v>
      </c>
    </row>
    <row r="30" spans="1:13" ht="19.5" customHeight="1" x14ac:dyDescent="0.25">
      <c r="A30" s="127">
        <f t="shared" ref="A30:A33" si="28">A29+1</f>
        <v>16</v>
      </c>
      <c r="B30" s="128" t="s">
        <v>409</v>
      </c>
      <c r="C30" s="129" t="s">
        <v>22</v>
      </c>
      <c r="D30" s="140">
        <v>1</v>
      </c>
      <c r="E30" s="133">
        <v>497.09999999999997</v>
      </c>
      <c r="F30" s="132">
        <f t="shared" si="24"/>
        <v>497.1</v>
      </c>
      <c r="G30" s="132">
        <f t="shared" si="25"/>
        <v>596.52</v>
      </c>
      <c r="H30" s="141"/>
      <c r="I30" s="142"/>
      <c r="J30" s="142"/>
      <c r="K30" s="133">
        <f t="shared" si="26"/>
        <v>497.1</v>
      </c>
      <c r="L30" s="131">
        <f t="shared" si="27"/>
        <v>596.52</v>
      </c>
    </row>
    <row r="31" spans="1:13" ht="19.5" customHeight="1" x14ac:dyDescent="0.25">
      <c r="A31" s="127">
        <f t="shared" si="28"/>
        <v>17</v>
      </c>
      <c r="B31" s="143" t="s">
        <v>404</v>
      </c>
      <c r="C31" s="129" t="s">
        <v>63</v>
      </c>
      <c r="D31" s="161">
        <v>2</v>
      </c>
      <c r="E31" s="133">
        <v>662.80000000000007</v>
      </c>
      <c r="F31" s="132">
        <f t="shared" si="24"/>
        <v>1325.6</v>
      </c>
      <c r="G31" s="132">
        <f t="shared" si="25"/>
        <v>1590.72</v>
      </c>
      <c r="H31" s="133"/>
      <c r="I31" s="132"/>
      <c r="J31" s="132"/>
      <c r="K31" s="133">
        <f t="shared" si="26"/>
        <v>1325.6</v>
      </c>
      <c r="L31" s="131">
        <f t="shared" si="27"/>
        <v>1590.72</v>
      </c>
    </row>
    <row r="32" spans="1:13" ht="19.5" customHeight="1" x14ac:dyDescent="0.25">
      <c r="A32" s="127">
        <f t="shared" si="28"/>
        <v>18</v>
      </c>
      <c r="B32" s="143" t="s">
        <v>411</v>
      </c>
      <c r="C32" s="129" t="s">
        <v>63</v>
      </c>
      <c r="D32" s="161">
        <v>2</v>
      </c>
      <c r="E32" s="133">
        <f>E20*0.8</f>
        <v>397.68</v>
      </c>
      <c r="F32" s="132">
        <f t="shared" si="24"/>
        <v>795.36</v>
      </c>
      <c r="G32" s="132">
        <f t="shared" si="25"/>
        <v>954.43</v>
      </c>
      <c r="H32" s="133"/>
      <c r="I32" s="132"/>
      <c r="J32" s="132"/>
      <c r="K32" s="133">
        <f t="shared" si="26"/>
        <v>795.36</v>
      </c>
      <c r="L32" s="131">
        <f t="shared" si="27"/>
        <v>954.43</v>
      </c>
    </row>
    <row r="33" spans="1:13" ht="17.25" customHeight="1" x14ac:dyDescent="0.25">
      <c r="A33" s="127">
        <f t="shared" si="28"/>
        <v>19</v>
      </c>
      <c r="B33" s="128" t="s">
        <v>412</v>
      </c>
      <c r="C33" s="129" t="s">
        <v>63</v>
      </c>
      <c r="D33" s="140">
        <v>1</v>
      </c>
      <c r="E33" s="133">
        <f>0.8*4704.4</f>
        <v>3763.52</v>
      </c>
      <c r="F33" s="132">
        <f t="shared" si="24"/>
        <v>3763.52</v>
      </c>
      <c r="G33" s="132">
        <f t="shared" si="25"/>
        <v>4516.22</v>
      </c>
      <c r="H33" s="133"/>
      <c r="I33" s="132"/>
      <c r="J33" s="132"/>
      <c r="K33" s="133">
        <f t="shared" si="26"/>
        <v>3763.52</v>
      </c>
      <c r="L33" s="131">
        <f t="shared" si="27"/>
        <v>4516.22</v>
      </c>
      <c r="M33" s="66" t="s">
        <v>321</v>
      </c>
    </row>
    <row r="34" spans="1:13" ht="21.75" customHeight="1" x14ac:dyDescent="0.25">
      <c r="A34" s="30"/>
      <c r="B34" s="105" t="s">
        <v>413</v>
      </c>
      <c r="C34" s="38"/>
      <c r="D34" s="39"/>
      <c r="E34" s="59"/>
      <c r="F34" s="35"/>
      <c r="G34" s="35"/>
      <c r="H34" s="62"/>
      <c r="I34" s="35"/>
      <c r="J34" s="35"/>
      <c r="K34" s="59"/>
      <c r="L34" s="41"/>
    </row>
    <row r="35" spans="1:13" ht="28.5" customHeight="1" x14ac:dyDescent="0.25">
      <c r="A35" s="129">
        <f>A33+1</f>
        <v>20</v>
      </c>
      <c r="B35" s="128" t="s">
        <v>326</v>
      </c>
      <c r="C35" s="129" t="s">
        <v>24</v>
      </c>
      <c r="D35" s="163">
        <v>0.3</v>
      </c>
      <c r="E35" s="201">
        <f>14540/0.84*0.3</f>
        <v>5192.8571428571422</v>
      </c>
      <c r="F35" s="201">
        <f>ROUND(E35*1,2)</f>
        <v>5192.8599999999997</v>
      </c>
      <c r="G35" s="201">
        <f t="shared" ref="G35" si="29">ROUND(F35*1.2,2)</f>
        <v>6231.43</v>
      </c>
      <c r="H35" s="201"/>
      <c r="I35" s="201"/>
      <c r="J35" s="201"/>
      <c r="K35" s="201">
        <f t="shared" ref="K35" si="30">F35+I35</f>
        <v>5192.8599999999997</v>
      </c>
      <c r="L35" s="201">
        <f t="shared" ref="L35" si="31">G35+J35</f>
        <v>6231.43</v>
      </c>
    </row>
    <row r="36" spans="1:13" ht="19.5" customHeight="1" x14ac:dyDescent="0.25">
      <c r="A36" s="162" t="s">
        <v>72</v>
      </c>
      <c r="B36" s="128" t="s">
        <v>325</v>
      </c>
      <c r="C36" s="129" t="s">
        <v>63</v>
      </c>
      <c r="D36" s="140">
        <v>1</v>
      </c>
      <c r="E36" s="202"/>
      <c r="F36" s="202"/>
      <c r="G36" s="202"/>
      <c r="H36" s="202"/>
      <c r="I36" s="202"/>
      <c r="J36" s="202"/>
      <c r="K36" s="202"/>
      <c r="L36" s="202"/>
      <c r="M36" s="40" t="s">
        <v>327</v>
      </c>
    </row>
    <row r="37" spans="1:13" ht="19.5" customHeight="1" x14ac:dyDescent="0.25">
      <c r="A37" s="162" t="s">
        <v>167</v>
      </c>
      <c r="B37" s="128" t="s">
        <v>328</v>
      </c>
      <c r="C37" s="129" t="s">
        <v>24</v>
      </c>
      <c r="D37" s="159">
        <v>0.3</v>
      </c>
      <c r="E37" s="202"/>
      <c r="F37" s="202"/>
      <c r="G37" s="202"/>
      <c r="H37" s="202"/>
      <c r="I37" s="202"/>
      <c r="J37" s="202"/>
      <c r="K37" s="202"/>
      <c r="L37" s="202"/>
    </row>
    <row r="38" spans="1:13" ht="20.25" customHeight="1" x14ac:dyDescent="0.25">
      <c r="A38" s="51"/>
      <c r="B38" s="42" t="s">
        <v>227</v>
      </c>
      <c r="C38" s="38"/>
      <c r="D38" s="52"/>
      <c r="E38" s="53"/>
      <c r="F38" s="54"/>
      <c r="G38" s="55"/>
      <c r="H38" s="56"/>
      <c r="I38" s="57"/>
      <c r="J38" s="57"/>
      <c r="K38" s="58"/>
      <c r="L38" s="57"/>
    </row>
    <row r="39" spans="1:13" ht="29.25" customHeight="1" x14ac:dyDescent="0.25">
      <c r="A39" s="119">
        <f>A35+1</f>
        <v>21</v>
      </c>
      <c r="B39" s="120" t="s">
        <v>27</v>
      </c>
      <c r="C39" s="121" t="s">
        <v>37</v>
      </c>
      <c r="D39" s="122">
        <v>9.6199999999999992</v>
      </c>
      <c r="E39" s="125">
        <v>431.37</v>
      </c>
      <c r="F39" s="124">
        <f>ROUND(E39*D39,2)</f>
        <v>4149.78</v>
      </c>
      <c r="G39" s="124">
        <f t="shared" ref="G39" si="32">ROUND(F39*1.2,2)</f>
        <v>4979.74</v>
      </c>
      <c r="H39" s="136"/>
      <c r="I39" s="137"/>
      <c r="J39" s="137"/>
      <c r="K39" s="125">
        <f t="shared" ref="K39" si="33">F39+I39</f>
        <v>4149.78</v>
      </c>
      <c r="L39" s="123">
        <f t="shared" ref="L39" si="34">G39+J39</f>
        <v>4979.74</v>
      </c>
      <c r="M39" s="66" t="s">
        <v>153</v>
      </c>
    </row>
    <row r="40" spans="1:13" ht="33.75" hidden="1" customHeight="1" x14ac:dyDescent="0.25">
      <c r="A40" s="30" t="e">
        <f>#REF!+1</f>
        <v>#REF!</v>
      </c>
      <c r="B40" s="37" t="s">
        <v>329</v>
      </c>
      <c r="C40" s="38" t="s">
        <v>37</v>
      </c>
      <c r="D40" s="39">
        <v>7.8395999999999999</v>
      </c>
      <c r="E40" s="59"/>
      <c r="F40" s="41">
        <f>ROUND(E40*D40,2)*0</f>
        <v>0</v>
      </c>
      <c r="G40" s="41">
        <f t="shared" ref="G40" si="35">ROUND(F40*1.2,2)</f>
        <v>0</v>
      </c>
      <c r="H40" s="59"/>
      <c r="I40" s="41"/>
      <c r="J40" s="41"/>
      <c r="K40" s="59">
        <f t="shared" ref="K40:L40" si="36">F40+I40</f>
        <v>0</v>
      </c>
      <c r="L40" s="41">
        <f t="shared" si="36"/>
        <v>0</v>
      </c>
    </row>
    <row r="41" spans="1:13" ht="19.5" customHeight="1" x14ac:dyDescent="0.25">
      <c r="A41" s="44"/>
      <c r="B41" s="42" t="s">
        <v>330</v>
      </c>
      <c r="C41" s="38"/>
      <c r="D41" s="39"/>
      <c r="E41" s="59"/>
      <c r="F41" s="35"/>
      <c r="G41" s="35"/>
      <c r="H41" s="35"/>
      <c r="I41" s="35"/>
      <c r="J41" s="35"/>
      <c r="K41" s="32"/>
      <c r="L41" s="35"/>
    </row>
    <row r="42" spans="1:13" ht="30.75" customHeight="1" x14ac:dyDescent="0.25">
      <c r="A42" s="119">
        <f>A39+1</f>
        <v>22</v>
      </c>
      <c r="B42" s="120" t="s">
        <v>415</v>
      </c>
      <c r="C42" s="121" t="s">
        <v>331</v>
      </c>
      <c r="D42" s="135">
        <v>48.6</v>
      </c>
      <c r="E42" s="125">
        <v>308.75</v>
      </c>
      <c r="F42" s="124">
        <f t="shared" ref="F42:F43" si="37">ROUND(E42*D42,2)</f>
        <v>15005.25</v>
      </c>
      <c r="G42" s="124">
        <f t="shared" ref="G42:G43" si="38">ROUND(F42*1.2,2)</f>
        <v>18006.3</v>
      </c>
      <c r="H42" s="136"/>
      <c r="I42" s="137"/>
      <c r="J42" s="137"/>
      <c r="K42" s="125">
        <f t="shared" ref="K42:L47" si="39">F42+I42</f>
        <v>15005.25</v>
      </c>
      <c r="L42" s="123">
        <f t="shared" si="39"/>
        <v>18006.3</v>
      </c>
    </row>
    <row r="43" spans="1:13" ht="21" customHeight="1" x14ac:dyDescent="0.25">
      <c r="A43" s="119">
        <f>A42+1</f>
        <v>23</v>
      </c>
      <c r="B43" s="120" t="s">
        <v>45</v>
      </c>
      <c r="C43" s="121" t="s">
        <v>331</v>
      </c>
      <c r="D43" s="135">
        <v>1.5</v>
      </c>
      <c r="E43" s="125">
        <v>1688.15</v>
      </c>
      <c r="F43" s="124">
        <f t="shared" si="37"/>
        <v>2532.23</v>
      </c>
      <c r="G43" s="124">
        <f t="shared" si="38"/>
        <v>3038.68</v>
      </c>
      <c r="H43" s="136"/>
      <c r="I43" s="137"/>
      <c r="J43" s="137"/>
      <c r="K43" s="125">
        <f t="shared" si="39"/>
        <v>2532.23</v>
      </c>
      <c r="L43" s="123">
        <f t="shared" si="39"/>
        <v>3038.68</v>
      </c>
    </row>
    <row r="44" spans="1:13" x14ac:dyDescent="0.25">
      <c r="A44" s="119">
        <f>A43+1</f>
        <v>24</v>
      </c>
      <c r="B44" s="138" t="s">
        <v>333</v>
      </c>
      <c r="C44" s="121" t="s">
        <v>331</v>
      </c>
      <c r="D44" s="135">
        <v>10.029999999999999</v>
      </c>
      <c r="E44" s="125">
        <v>1310.05</v>
      </c>
      <c r="F44" s="124">
        <f t="shared" ref="F44" si="40">ROUND(E44*D44,2)</f>
        <v>13139.8</v>
      </c>
      <c r="G44" s="124">
        <f t="shared" ref="G44" si="41">ROUND(F44*1.2,2)</f>
        <v>15767.76</v>
      </c>
      <c r="H44" s="124"/>
      <c r="I44" s="124"/>
      <c r="J44" s="124"/>
      <c r="K44" s="126">
        <f t="shared" si="39"/>
        <v>13139.8</v>
      </c>
      <c r="L44" s="124">
        <f t="shared" si="39"/>
        <v>15767.76</v>
      </c>
    </row>
    <row r="45" spans="1:13" ht="19.5" customHeight="1" x14ac:dyDescent="0.25">
      <c r="A45" s="44" t="s">
        <v>84</v>
      </c>
      <c r="B45" s="45" t="s">
        <v>48</v>
      </c>
      <c r="C45" s="46" t="s">
        <v>24</v>
      </c>
      <c r="D45" s="47">
        <f>D44*1.1</f>
        <v>11.032999999999999</v>
      </c>
      <c r="E45" s="65"/>
      <c r="F45" s="49"/>
      <c r="G45" s="49"/>
      <c r="H45" s="49">
        <v>1191.3</v>
      </c>
      <c r="I45" s="49">
        <f>ROUND(H45*D45,2)</f>
        <v>13143.61</v>
      </c>
      <c r="J45" s="49">
        <f>ROUND(I45*1.2,2)</f>
        <v>15772.33</v>
      </c>
      <c r="K45" s="50">
        <f t="shared" si="39"/>
        <v>13143.61</v>
      </c>
      <c r="L45" s="49">
        <f t="shared" si="39"/>
        <v>15772.33</v>
      </c>
    </row>
    <row r="46" spans="1:13" ht="17.25" customHeight="1" x14ac:dyDescent="0.25">
      <c r="A46" s="121">
        <f>A44+1</f>
        <v>25</v>
      </c>
      <c r="B46" s="138" t="s">
        <v>334</v>
      </c>
      <c r="C46" s="121" t="s">
        <v>331</v>
      </c>
      <c r="D46" s="135">
        <v>50.16</v>
      </c>
      <c r="E46" s="125">
        <v>118.75</v>
      </c>
      <c r="F46" s="124">
        <f t="shared" ref="F46:F47" si="42">ROUND(E46*D46,2)</f>
        <v>5956.5</v>
      </c>
      <c r="G46" s="124">
        <f t="shared" ref="G46:G47" si="43">ROUND(F46*1.2,2)</f>
        <v>7147.8</v>
      </c>
      <c r="H46" s="124"/>
      <c r="I46" s="124"/>
      <c r="J46" s="124"/>
      <c r="K46" s="126">
        <f t="shared" si="39"/>
        <v>5956.5</v>
      </c>
      <c r="L46" s="124">
        <f t="shared" si="39"/>
        <v>7147.8</v>
      </c>
    </row>
    <row r="47" spans="1:13" ht="17.25" customHeight="1" x14ac:dyDescent="0.25">
      <c r="A47" s="121">
        <f>A46+1</f>
        <v>26</v>
      </c>
      <c r="B47" s="120" t="s">
        <v>575</v>
      </c>
      <c r="C47" s="121" t="s">
        <v>331</v>
      </c>
      <c r="D47" s="135">
        <v>60.19</v>
      </c>
      <c r="E47" s="125">
        <v>188.1</v>
      </c>
      <c r="F47" s="124">
        <f t="shared" si="42"/>
        <v>11321.74</v>
      </c>
      <c r="G47" s="124">
        <f t="shared" si="43"/>
        <v>13586.09</v>
      </c>
      <c r="H47" s="125"/>
      <c r="I47" s="124"/>
      <c r="J47" s="124"/>
      <c r="K47" s="125">
        <f t="shared" si="39"/>
        <v>11321.74</v>
      </c>
      <c r="L47" s="123">
        <f t="shared" si="39"/>
        <v>13586.09</v>
      </c>
    </row>
    <row r="48" spans="1:13" x14ac:dyDescent="0.25">
      <c r="A48" s="44"/>
      <c r="B48" s="42" t="s">
        <v>335</v>
      </c>
      <c r="C48" s="38"/>
      <c r="D48" s="39"/>
      <c r="E48" s="59"/>
      <c r="F48" s="35"/>
      <c r="G48" s="35"/>
      <c r="H48" s="62"/>
      <c r="I48" s="35"/>
      <c r="J48" s="35"/>
      <c r="K48" s="32"/>
      <c r="L48" s="35"/>
    </row>
    <row r="49" spans="1:13" ht="30.75" customHeight="1" x14ac:dyDescent="0.25">
      <c r="A49" s="119">
        <f>A47+1</f>
        <v>27</v>
      </c>
      <c r="B49" s="120" t="s">
        <v>415</v>
      </c>
      <c r="C49" s="121" t="s">
        <v>331</v>
      </c>
      <c r="D49" s="135">
        <v>97.78</v>
      </c>
      <c r="E49" s="125">
        <v>308.75</v>
      </c>
      <c r="F49" s="124">
        <f t="shared" ref="F49:F50" si="44">ROUND(E49*D49,2)</f>
        <v>30189.58</v>
      </c>
      <c r="G49" s="124">
        <f t="shared" ref="G49:G50" si="45">ROUND(F49*1.2,2)</f>
        <v>36227.5</v>
      </c>
      <c r="H49" s="136"/>
      <c r="I49" s="137"/>
      <c r="J49" s="137"/>
      <c r="K49" s="125">
        <f t="shared" ref="K49:K54" si="46">F49+I49</f>
        <v>30189.58</v>
      </c>
      <c r="L49" s="123">
        <f t="shared" ref="L49:L54" si="47">G49+J49</f>
        <v>36227.5</v>
      </c>
    </row>
    <row r="50" spans="1:13" ht="21" customHeight="1" x14ac:dyDescent="0.25">
      <c r="A50" s="119">
        <f>A49+1</f>
        <v>28</v>
      </c>
      <c r="B50" s="120" t="s">
        <v>420</v>
      </c>
      <c r="C50" s="121" t="s">
        <v>331</v>
      </c>
      <c r="D50" s="135">
        <v>3.02</v>
      </c>
      <c r="E50" s="125">
        <v>1688.15</v>
      </c>
      <c r="F50" s="124">
        <f t="shared" si="44"/>
        <v>5098.21</v>
      </c>
      <c r="G50" s="124">
        <f t="shared" si="45"/>
        <v>6117.85</v>
      </c>
      <c r="H50" s="136"/>
      <c r="I50" s="137"/>
      <c r="J50" s="137"/>
      <c r="K50" s="125">
        <f t="shared" si="46"/>
        <v>5098.21</v>
      </c>
      <c r="L50" s="123">
        <f t="shared" si="47"/>
        <v>6117.85</v>
      </c>
    </row>
    <row r="51" spans="1:13" x14ac:dyDescent="0.25">
      <c r="A51" s="119">
        <f>A50+1</f>
        <v>29</v>
      </c>
      <c r="B51" s="138" t="s">
        <v>336</v>
      </c>
      <c r="C51" s="121" t="s">
        <v>331</v>
      </c>
      <c r="D51" s="135">
        <v>20.55</v>
      </c>
      <c r="E51" s="125">
        <v>1310.05</v>
      </c>
      <c r="F51" s="124">
        <f t="shared" ref="F51" si="48">ROUND(E51*D51,2)</f>
        <v>26921.53</v>
      </c>
      <c r="G51" s="124">
        <f t="shared" ref="G51" si="49">ROUND(F51*1.2,2)</f>
        <v>32305.84</v>
      </c>
      <c r="H51" s="124"/>
      <c r="I51" s="124"/>
      <c r="J51" s="124"/>
      <c r="K51" s="126">
        <f t="shared" si="46"/>
        <v>26921.53</v>
      </c>
      <c r="L51" s="124">
        <f t="shared" si="47"/>
        <v>32305.84</v>
      </c>
    </row>
    <row r="52" spans="1:13" ht="19.5" customHeight="1" x14ac:dyDescent="0.25">
      <c r="A52" s="44" t="s">
        <v>100</v>
      </c>
      <c r="B52" s="45" t="s">
        <v>48</v>
      </c>
      <c r="C52" s="46" t="s">
        <v>24</v>
      </c>
      <c r="D52" s="47">
        <f>D51*1.1</f>
        <v>22.605000000000004</v>
      </c>
      <c r="E52" s="65"/>
      <c r="F52" s="49"/>
      <c r="G52" s="49"/>
      <c r="H52" s="49">
        <v>1191.3</v>
      </c>
      <c r="I52" s="49">
        <f>ROUND(H52*D52,2)</f>
        <v>26929.34</v>
      </c>
      <c r="J52" s="49">
        <f>ROUND(I52*1.2,2)</f>
        <v>32315.21</v>
      </c>
      <c r="K52" s="50">
        <f t="shared" si="46"/>
        <v>26929.34</v>
      </c>
      <c r="L52" s="49">
        <f t="shared" si="47"/>
        <v>32315.21</v>
      </c>
    </row>
    <row r="53" spans="1:13" x14ac:dyDescent="0.25">
      <c r="A53" s="121">
        <f>A51+1</f>
        <v>30</v>
      </c>
      <c r="B53" s="138" t="s">
        <v>337</v>
      </c>
      <c r="C53" s="121" t="s">
        <v>331</v>
      </c>
      <c r="D53" s="135">
        <v>107.4</v>
      </c>
      <c r="E53" s="125">
        <v>118.75</v>
      </c>
      <c r="F53" s="124">
        <f t="shared" ref="F53:F54" si="50">ROUND(E53*D53,2)</f>
        <v>12753.75</v>
      </c>
      <c r="G53" s="124">
        <f t="shared" ref="G53:G54" si="51">ROUND(F53*1.2,2)</f>
        <v>15304.5</v>
      </c>
      <c r="H53" s="124"/>
      <c r="I53" s="124"/>
      <c r="J53" s="124"/>
      <c r="K53" s="126">
        <f t="shared" si="46"/>
        <v>12753.75</v>
      </c>
      <c r="L53" s="124">
        <f t="shared" si="47"/>
        <v>15304.5</v>
      </c>
    </row>
    <row r="54" spans="1:13" x14ac:dyDescent="0.25">
      <c r="A54" s="121">
        <f>A53+1</f>
        <v>31</v>
      </c>
      <c r="B54" s="120" t="s">
        <v>574</v>
      </c>
      <c r="C54" s="121" t="s">
        <v>331</v>
      </c>
      <c r="D54" s="135">
        <v>127.95</v>
      </c>
      <c r="E54" s="125">
        <v>188.1</v>
      </c>
      <c r="F54" s="124">
        <f t="shared" si="50"/>
        <v>24067.4</v>
      </c>
      <c r="G54" s="124">
        <f t="shared" si="51"/>
        <v>28880.880000000001</v>
      </c>
      <c r="H54" s="125"/>
      <c r="I54" s="124"/>
      <c r="J54" s="124"/>
      <c r="K54" s="125">
        <f t="shared" si="46"/>
        <v>24067.4</v>
      </c>
      <c r="L54" s="123">
        <f t="shared" si="47"/>
        <v>28880.880000000001</v>
      </c>
    </row>
    <row r="55" spans="1:13" s="61" customFormat="1" ht="17.25" customHeight="1" x14ac:dyDescent="0.25">
      <c r="A55" s="44"/>
      <c r="B55" s="42" t="s">
        <v>416</v>
      </c>
      <c r="C55" s="38"/>
      <c r="D55" s="96"/>
      <c r="E55" s="35"/>
      <c r="F55" s="35"/>
      <c r="G55" s="35"/>
      <c r="H55" s="35"/>
      <c r="I55" s="35"/>
      <c r="J55" s="35"/>
      <c r="K55" s="32"/>
      <c r="L55" s="35"/>
      <c r="M55" s="40"/>
    </row>
    <row r="56" spans="1:13" ht="20.25" customHeight="1" x14ac:dyDescent="0.25">
      <c r="A56" s="119">
        <f>A54+1</f>
        <v>32</v>
      </c>
      <c r="B56" s="120" t="s">
        <v>332</v>
      </c>
      <c r="C56" s="121" t="s">
        <v>331</v>
      </c>
      <c r="D56" s="135">
        <v>1.1499999999999999</v>
      </c>
      <c r="E56" s="125">
        <v>1350.9</v>
      </c>
      <c r="F56" s="123">
        <f>ROUND(E56*D56,2)</f>
        <v>1553.54</v>
      </c>
      <c r="G56" s="123">
        <f t="shared" ref="G56" si="52">ROUND(F56*1.2,2)</f>
        <v>1864.25</v>
      </c>
      <c r="H56" s="125"/>
      <c r="I56" s="123"/>
      <c r="J56" s="123"/>
      <c r="K56" s="125">
        <f t="shared" ref="K56:K57" si="53">F56+I56</f>
        <v>1553.54</v>
      </c>
      <c r="L56" s="123">
        <f t="shared" ref="L56:L57" si="54">G56+J56</f>
        <v>1864.25</v>
      </c>
      <c r="M56" s="66" t="s">
        <v>153</v>
      </c>
    </row>
    <row r="57" spans="1:13" ht="20.25" customHeight="1" x14ac:dyDescent="0.25">
      <c r="A57" s="44" t="s">
        <v>109</v>
      </c>
      <c r="B57" s="45" t="s">
        <v>154</v>
      </c>
      <c r="C57" s="46" t="s">
        <v>24</v>
      </c>
      <c r="D57" s="47">
        <f>D56*1.26</f>
        <v>1.4489999999999998</v>
      </c>
      <c r="E57" s="65"/>
      <c r="F57" s="63"/>
      <c r="G57" s="63"/>
      <c r="H57" s="65">
        <v>1299.5999999999999</v>
      </c>
      <c r="I57" s="49">
        <f>ROUND(H57*D57,2)</f>
        <v>1883.12</v>
      </c>
      <c r="J57" s="49">
        <f>ROUND(I57*1.2,2)</f>
        <v>2259.7399999999998</v>
      </c>
      <c r="K57" s="50">
        <f t="shared" si="53"/>
        <v>1883.12</v>
      </c>
      <c r="L57" s="49">
        <f t="shared" si="54"/>
        <v>2259.7399999999998</v>
      </c>
      <c r="M57" s="64"/>
    </row>
    <row r="58" spans="1:13" ht="18.75" customHeight="1" x14ac:dyDescent="0.25">
      <c r="A58" s="119">
        <f>A56+1</f>
        <v>33</v>
      </c>
      <c r="B58" s="120" t="s">
        <v>344</v>
      </c>
      <c r="C58" s="121" t="s">
        <v>331</v>
      </c>
      <c r="D58" s="135">
        <v>2.46</v>
      </c>
      <c r="E58" s="125">
        <v>17265.68</v>
      </c>
      <c r="F58" s="124">
        <f>ROUND(E58*D58,2)</f>
        <v>42473.57</v>
      </c>
      <c r="G58" s="124">
        <f t="shared" ref="G58" si="55">ROUND(F58*1.2,2)</f>
        <v>50968.28</v>
      </c>
      <c r="H58" s="125"/>
      <c r="I58" s="124"/>
      <c r="J58" s="124"/>
      <c r="K58" s="125">
        <f t="shared" ref="K58:K69" si="56">F58+I58</f>
        <v>42473.57</v>
      </c>
      <c r="L58" s="123">
        <f t="shared" ref="L58:L69" si="57">G58+J58</f>
        <v>50968.28</v>
      </c>
    </row>
    <row r="59" spans="1:13" x14ac:dyDescent="0.25">
      <c r="A59" s="44" t="s">
        <v>112</v>
      </c>
      <c r="B59" s="73" t="s">
        <v>345</v>
      </c>
      <c r="C59" s="46" t="s">
        <v>63</v>
      </c>
      <c r="D59" s="82">
        <v>1</v>
      </c>
      <c r="E59" s="65"/>
      <c r="F59" s="49"/>
      <c r="G59" s="49"/>
      <c r="H59" s="95">
        <v>10215.35</v>
      </c>
      <c r="I59" s="49">
        <f>ROUND(H59*D59,2)</f>
        <v>10215.35</v>
      </c>
      <c r="J59" s="49">
        <f>ROUND(I59*1.2,2)</f>
        <v>12258.42</v>
      </c>
      <c r="K59" s="50">
        <f t="shared" si="56"/>
        <v>10215.35</v>
      </c>
      <c r="L59" s="49">
        <f t="shared" si="57"/>
        <v>12258.42</v>
      </c>
      <c r="M59" s="66" t="s">
        <v>153</v>
      </c>
    </row>
    <row r="60" spans="1:13" x14ac:dyDescent="0.25">
      <c r="A60" s="44" t="s">
        <v>261</v>
      </c>
      <c r="B60" s="73" t="s">
        <v>346</v>
      </c>
      <c r="C60" s="46" t="s">
        <v>347</v>
      </c>
      <c r="D60" s="82">
        <v>2</v>
      </c>
      <c r="E60" s="65"/>
      <c r="F60" s="49"/>
      <c r="G60" s="49"/>
      <c r="H60" s="95">
        <v>10455.700000000001</v>
      </c>
      <c r="I60" s="49">
        <f t="shared" ref="I60:I61" si="58">ROUND(H60*D60,2)</f>
        <v>20911.400000000001</v>
      </c>
      <c r="J60" s="49">
        <f t="shared" ref="J60:J61" si="59">ROUND(I60*1.2,2)</f>
        <v>25093.68</v>
      </c>
      <c r="K60" s="50">
        <f t="shared" si="56"/>
        <v>20911.400000000001</v>
      </c>
      <c r="L60" s="49">
        <f t="shared" si="57"/>
        <v>25093.68</v>
      </c>
      <c r="M60" s="66" t="s">
        <v>153</v>
      </c>
    </row>
    <row r="61" spans="1:13" x14ac:dyDescent="0.25">
      <c r="A61" s="44" t="s">
        <v>262</v>
      </c>
      <c r="B61" s="73" t="s">
        <v>348</v>
      </c>
      <c r="C61" s="46" t="s">
        <v>347</v>
      </c>
      <c r="D61" s="82">
        <v>1</v>
      </c>
      <c r="E61" s="65"/>
      <c r="F61" s="49"/>
      <c r="G61" s="49"/>
      <c r="H61" s="95">
        <v>10815.75</v>
      </c>
      <c r="I61" s="49">
        <f t="shared" si="58"/>
        <v>10815.75</v>
      </c>
      <c r="J61" s="49">
        <f t="shared" si="59"/>
        <v>12978.9</v>
      </c>
      <c r="K61" s="50">
        <f t="shared" si="56"/>
        <v>10815.75</v>
      </c>
      <c r="L61" s="49">
        <f t="shared" si="57"/>
        <v>12978.9</v>
      </c>
      <c r="M61" s="66" t="s">
        <v>153</v>
      </c>
    </row>
    <row r="62" spans="1:13" x14ac:dyDescent="0.25">
      <c r="A62" s="44" t="s">
        <v>594</v>
      </c>
      <c r="B62" s="73" t="s">
        <v>536</v>
      </c>
      <c r="C62" s="46" t="s">
        <v>63</v>
      </c>
      <c r="D62" s="82">
        <v>1</v>
      </c>
      <c r="E62" s="65"/>
      <c r="F62" s="49"/>
      <c r="G62" s="49"/>
      <c r="H62" s="219">
        <v>3136</v>
      </c>
      <c r="I62" s="63">
        <f t="shared" ref="I62:I63" si="60">ROUND(H62*D62,2)</f>
        <v>3136</v>
      </c>
      <c r="J62" s="63">
        <f t="shared" ref="J62:J63" si="61">ROUND(I62*1.2,2)</f>
        <v>3763.2</v>
      </c>
      <c r="K62" s="65">
        <f t="shared" ref="K62:K63" si="62">F62+I62</f>
        <v>3136</v>
      </c>
      <c r="L62" s="63">
        <f t="shared" ref="L62:L63" si="63">G62+J62</f>
        <v>3763.2</v>
      </c>
      <c r="M62" s="66" t="s">
        <v>155</v>
      </c>
    </row>
    <row r="63" spans="1:13" x14ac:dyDescent="0.25">
      <c r="A63" s="44" t="s">
        <v>595</v>
      </c>
      <c r="B63" s="73" t="s">
        <v>417</v>
      </c>
      <c r="C63" s="46" t="s">
        <v>63</v>
      </c>
      <c r="D63" s="82">
        <v>1</v>
      </c>
      <c r="E63" s="65"/>
      <c r="F63" s="49"/>
      <c r="G63" s="49"/>
      <c r="H63" s="219">
        <v>3400</v>
      </c>
      <c r="I63" s="63">
        <f t="shared" si="60"/>
        <v>3400</v>
      </c>
      <c r="J63" s="63">
        <f t="shared" si="61"/>
        <v>4080</v>
      </c>
      <c r="K63" s="65">
        <f t="shared" si="62"/>
        <v>3400</v>
      </c>
      <c r="L63" s="63">
        <f t="shared" si="63"/>
        <v>4080</v>
      </c>
      <c r="M63" s="66" t="s">
        <v>155</v>
      </c>
    </row>
    <row r="64" spans="1:13" ht="17.25" customHeight="1" x14ac:dyDescent="0.25">
      <c r="A64" s="44" t="s">
        <v>596</v>
      </c>
      <c r="B64" s="73" t="s">
        <v>534</v>
      </c>
      <c r="C64" s="46" t="s">
        <v>126</v>
      </c>
      <c r="D64" s="156">
        <v>29.2</v>
      </c>
      <c r="E64" s="65"/>
      <c r="F64" s="49"/>
      <c r="G64" s="49"/>
      <c r="H64" s="220">
        <v>666.9</v>
      </c>
      <c r="I64" s="63">
        <f>ROUND(H64*D64,2)</f>
        <v>19473.48</v>
      </c>
      <c r="J64" s="63">
        <f>ROUND(I64*1.2,2)</f>
        <v>23368.18</v>
      </c>
      <c r="K64" s="65">
        <f t="shared" si="56"/>
        <v>19473.48</v>
      </c>
      <c r="L64" s="63">
        <f t="shared" si="57"/>
        <v>23368.18</v>
      </c>
      <c r="M64" s="66" t="s">
        <v>153</v>
      </c>
    </row>
    <row r="65" spans="1:13" x14ac:dyDescent="0.25">
      <c r="A65" s="44" t="s">
        <v>597</v>
      </c>
      <c r="B65" s="73" t="s">
        <v>349</v>
      </c>
      <c r="C65" s="46" t="s">
        <v>63</v>
      </c>
      <c r="D65" s="82">
        <v>1</v>
      </c>
      <c r="E65" s="65"/>
      <c r="F65" s="49"/>
      <c r="G65" s="49"/>
      <c r="H65" s="65">
        <v>14421</v>
      </c>
      <c r="I65" s="63">
        <f>ROUND(H65*D65,2)</f>
        <v>14421</v>
      </c>
      <c r="J65" s="63">
        <f t="shared" ref="J65" si="64">ROUND(I65*1.2,2)</f>
        <v>17305.2</v>
      </c>
      <c r="K65" s="65">
        <f t="shared" si="56"/>
        <v>14421</v>
      </c>
      <c r="L65" s="63">
        <f t="shared" si="57"/>
        <v>17305.2</v>
      </c>
      <c r="M65" s="66" t="s">
        <v>153</v>
      </c>
    </row>
    <row r="66" spans="1:13" ht="27.75" customHeight="1" x14ac:dyDescent="0.25">
      <c r="A66" s="121">
        <f>A58+1</f>
        <v>34</v>
      </c>
      <c r="B66" s="120" t="s">
        <v>352</v>
      </c>
      <c r="C66" s="121" t="s">
        <v>34</v>
      </c>
      <c r="D66" s="122">
        <v>23.27</v>
      </c>
      <c r="E66" s="125">
        <v>144.4</v>
      </c>
      <c r="F66" s="124">
        <f>ROUND(E66*D66,2)</f>
        <v>3360.19</v>
      </c>
      <c r="G66" s="124">
        <f t="shared" ref="G66" si="65">ROUND(F66*1.2,2)</f>
        <v>4032.23</v>
      </c>
      <c r="H66" s="125"/>
      <c r="I66" s="123"/>
      <c r="J66" s="123"/>
      <c r="K66" s="125">
        <f t="shared" si="56"/>
        <v>3360.19</v>
      </c>
      <c r="L66" s="123">
        <f t="shared" si="57"/>
        <v>4032.23</v>
      </c>
      <c r="M66" s="66" t="s">
        <v>256</v>
      </c>
    </row>
    <row r="67" spans="1:13" ht="17.25" customHeight="1" x14ac:dyDescent="0.25">
      <c r="A67" s="44" t="s">
        <v>116</v>
      </c>
      <c r="B67" s="73" t="s">
        <v>353</v>
      </c>
      <c r="C67" s="46" t="s">
        <v>215</v>
      </c>
      <c r="D67" s="108">
        <f>D66*0.3*20/16</f>
        <v>8.7262500000000003</v>
      </c>
      <c r="E67" s="65"/>
      <c r="F67" s="49"/>
      <c r="G67" s="49"/>
      <c r="H67" s="219">
        <v>237.5</v>
      </c>
      <c r="I67" s="63">
        <f>ROUND(H67*D67,2)</f>
        <v>2072.48</v>
      </c>
      <c r="J67" s="63">
        <f t="shared" ref="J67" si="66">ROUND(I67*1.2,2)</f>
        <v>2486.98</v>
      </c>
      <c r="K67" s="65">
        <f t="shared" si="56"/>
        <v>2072.48</v>
      </c>
      <c r="L67" s="63">
        <f t="shared" si="57"/>
        <v>2486.98</v>
      </c>
    </row>
    <row r="68" spans="1:13" ht="28.5" customHeight="1" x14ac:dyDescent="0.25">
      <c r="A68" s="121">
        <f>A66+1</f>
        <v>35</v>
      </c>
      <c r="B68" s="120" t="s">
        <v>354</v>
      </c>
      <c r="C68" s="121" t="s">
        <v>34</v>
      </c>
      <c r="D68" s="122">
        <v>23.27</v>
      </c>
      <c r="E68" s="125">
        <v>299.76</v>
      </c>
      <c r="F68" s="124">
        <f>ROUND(E68*D68,2)</f>
        <v>6975.42</v>
      </c>
      <c r="G68" s="124">
        <f t="shared" ref="G68" si="67">ROUND(F68*1.2,2)</f>
        <v>8370.5</v>
      </c>
      <c r="H68" s="125"/>
      <c r="I68" s="123"/>
      <c r="J68" s="123"/>
      <c r="K68" s="125">
        <f t="shared" si="56"/>
        <v>6975.42</v>
      </c>
      <c r="L68" s="123">
        <f t="shared" si="57"/>
        <v>8370.5</v>
      </c>
      <c r="M68" s="66" t="s">
        <v>256</v>
      </c>
    </row>
    <row r="69" spans="1:13" x14ac:dyDescent="0.25">
      <c r="A69" s="44" t="s">
        <v>118</v>
      </c>
      <c r="B69" s="73" t="s">
        <v>355</v>
      </c>
      <c r="C69" s="46" t="s">
        <v>126</v>
      </c>
      <c r="D69" s="47">
        <f>D68*0.7*2</f>
        <v>32.577999999999996</v>
      </c>
      <c r="E69" s="65"/>
      <c r="F69" s="49"/>
      <c r="G69" s="49"/>
      <c r="H69" s="219">
        <v>296.39999999999998</v>
      </c>
      <c r="I69" s="63">
        <f t="shared" ref="I69" si="68">ROUND(H69*D69,2)</f>
        <v>9656.1200000000008</v>
      </c>
      <c r="J69" s="63">
        <f t="shared" ref="J69" si="69">ROUND(I69*1.2,2)</f>
        <v>11587.34</v>
      </c>
      <c r="K69" s="65">
        <f t="shared" si="56"/>
        <v>9656.1200000000008</v>
      </c>
      <c r="L69" s="63">
        <f t="shared" si="57"/>
        <v>11587.34</v>
      </c>
    </row>
    <row r="70" spans="1:13" s="61" customFormat="1" ht="17.25" customHeight="1" x14ac:dyDescent="0.25">
      <c r="A70" s="44"/>
      <c r="B70" s="42" t="s">
        <v>418</v>
      </c>
      <c r="C70" s="38"/>
      <c r="D70" s="96"/>
      <c r="E70" s="35"/>
      <c r="F70" s="35"/>
      <c r="G70" s="35"/>
      <c r="H70" s="41"/>
      <c r="I70" s="41"/>
      <c r="J70" s="41"/>
      <c r="K70" s="59"/>
      <c r="L70" s="41"/>
      <c r="M70" s="40"/>
    </row>
    <row r="71" spans="1:13" x14ac:dyDescent="0.25">
      <c r="A71" s="121">
        <f>A68+1</f>
        <v>36</v>
      </c>
      <c r="B71" s="120" t="s">
        <v>350</v>
      </c>
      <c r="C71" s="121" t="s">
        <v>24</v>
      </c>
      <c r="D71" s="139">
        <v>0.24</v>
      </c>
      <c r="E71" s="125">
        <v>6459.05</v>
      </c>
      <c r="F71" s="124">
        <f>ROUND(E71*D71,2)</f>
        <v>1550.17</v>
      </c>
      <c r="G71" s="124">
        <f t="shared" ref="G71" si="70">ROUND(F71*1.2,2)</f>
        <v>1860.2</v>
      </c>
      <c r="H71" s="125"/>
      <c r="I71" s="123"/>
      <c r="J71" s="123"/>
      <c r="K71" s="125">
        <f t="shared" ref="K71:K72" si="71">F71+I71</f>
        <v>1550.17</v>
      </c>
      <c r="L71" s="123">
        <f t="shared" ref="L71:L72" si="72">G71+J71</f>
        <v>1860.2</v>
      </c>
      <c r="M71" s="66" t="s">
        <v>576</v>
      </c>
    </row>
    <row r="72" spans="1:13" x14ac:dyDescent="0.25">
      <c r="A72" s="44" t="s">
        <v>211</v>
      </c>
      <c r="B72" s="73" t="s">
        <v>351</v>
      </c>
      <c r="C72" s="46" t="s">
        <v>63</v>
      </c>
      <c r="D72" s="82">
        <v>96</v>
      </c>
      <c r="E72" s="65"/>
      <c r="F72" s="49"/>
      <c r="G72" s="49"/>
      <c r="H72" s="219">
        <v>14.25</v>
      </c>
      <c r="I72" s="63">
        <f t="shared" ref="I72" si="73">ROUND(H72*D72,2)</f>
        <v>1368</v>
      </c>
      <c r="J72" s="63">
        <f t="shared" ref="J72" si="74">ROUND(I72*1.2,2)</f>
        <v>1641.6</v>
      </c>
      <c r="K72" s="65">
        <f t="shared" si="71"/>
        <v>1368</v>
      </c>
      <c r="L72" s="63">
        <f t="shared" si="72"/>
        <v>1641.6</v>
      </c>
      <c r="M72" s="66" t="s">
        <v>576</v>
      </c>
    </row>
    <row r="73" spans="1:13" ht="18.75" customHeight="1" x14ac:dyDescent="0.25">
      <c r="A73" s="119">
        <f>A71+1</f>
        <v>37</v>
      </c>
      <c r="B73" s="120" t="s">
        <v>344</v>
      </c>
      <c r="C73" s="121" t="s">
        <v>331</v>
      </c>
      <c r="D73" s="135">
        <v>0.1</v>
      </c>
      <c r="E73" s="125">
        <v>17265.68</v>
      </c>
      <c r="F73" s="124">
        <f>ROUND(E73*D73,2)</f>
        <v>1726.57</v>
      </c>
      <c r="G73" s="124">
        <f t="shared" ref="G73" si="75">ROUND(F73*1.2,2)</f>
        <v>2071.88</v>
      </c>
      <c r="H73" s="125"/>
      <c r="I73" s="123"/>
      <c r="J73" s="123"/>
      <c r="K73" s="125">
        <f t="shared" ref="K73:K80" si="76">F73+I73</f>
        <v>1726.57</v>
      </c>
      <c r="L73" s="123">
        <f t="shared" ref="L73:L80" si="77">G73+J73</f>
        <v>2071.88</v>
      </c>
    </row>
    <row r="74" spans="1:13" x14ac:dyDescent="0.25">
      <c r="A74" s="44" t="s">
        <v>121</v>
      </c>
      <c r="B74" s="73" t="s">
        <v>419</v>
      </c>
      <c r="C74" s="46" t="s">
        <v>347</v>
      </c>
      <c r="D74" s="82">
        <v>1</v>
      </c>
      <c r="E74" s="65"/>
      <c r="F74" s="49"/>
      <c r="G74" s="49"/>
      <c r="H74" s="219">
        <v>1427.85</v>
      </c>
      <c r="I74" s="63">
        <f t="shared" ref="I74" si="78">ROUND(H74*D74,2)</f>
        <v>1427.85</v>
      </c>
      <c r="J74" s="63">
        <f t="shared" ref="J74" si="79">ROUND(I74*1.2,2)</f>
        <v>1713.42</v>
      </c>
      <c r="K74" s="65">
        <f t="shared" si="76"/>
        <v>1427.85</v>
      </c>
      <c r="L74" s="63">
        <f t="shared" si="77"/>
        <v>1713.42</v>
      </c>
      <c r="M74" s="66" t="s">
        <v>153</v>
      </c>
    </row>
    <row r="75" spans="1:13" ht="17.25" customHeight="1" x14ac:dyDescent="0.25">
      <c r="A75" s="44" t="s">
        <v>598</v>
      </c>
      <c r="B75" s="73" t="s">
        <v>534</v>
      </c>
      <c r="C75" s="46" t="s">
        <v>126</v>
      </c>
      <c r="D75" s="156">
        <v>29.2</v>
      </c>
      <c r="E75" s="65"/>
      <c r="F75" s="49"/>
      <c r="G75" s="49"/>
      <c r="H75" s="220">
        <v>666.9</v>
      </c>
      <c r="I75" s="63">
        <f>ROUND(H75*D75,2)</f>
        <v>19473.48</v>
      </c>
      <c r="J75" s="63">
        <f>ROUND(I75*1.2,2)</f>
        <v>23368.18</v>
      </c>
      <c r="K75" s="65">
        <f t="shared" si="76"/>
        <v>19473.48</v>
      </c>
      <c r="L75" s="63">
        <f t="shared" si="77"/>
        <v>23368.18</v>
      </c>
      <c r="M75" s="66" t="s">
        <v>153</v>
      </c>
    </row>
    <row r="76" spans="1:13" x14ac:dyDescent="0.25">
      <c r="A76" s="44" t="s">
        <v>599</v>
      </c>
      <c r="B76" s="73" t="s">
        <v>349</v>
      </c>
      <c r="C76" s="46" t="s">
        <v>63</v>
      </c>
      <c r="D76" s="82">
        <v>1</v>
      </c>
      <c r="E76" s="65"/>
      <c r="F76" s="49"/>
      <c r="G76" s="49"/>
      <c r="H76" s="65">
        <v>14421</v>
      </c>
      <c r="I76" s="63">
        <f>ROUND(H76*D76,2)</f>
        <v>14421</v>
      </c>
      <c r="J76" s="63">
        <f t="shared" ref="J76" si="80">ROUND(I76*1.2,2)</f>
        <v>17305.2</v>
      </c>
      <c r="K76" s="65">
        <f t="shared" si="76"/>
        <v>14421</v>
      </c>
      <c r="L76" s="63">
        <f t="shared" si="77"/>
        <v>17305.2</v>
      </c>
      <c r="M76" s="66" t="s">
        <v>153</v>
      </c>
    </row>
    <row r="77" spans="1:13" ht="27.75" customHeight="1" x14ac:dyDescent="0.25">
      <c r="A77" s="121">
        <f>A73+1</f>
        <v>38</v>
      </c>
      <c r="B77" s="120" t="s">
        <v>352</v>
      </c>
      <c r="C77" s="121" t="s">
        <v>34</v>
      </c>
      <c r="D77" s="122">
        <v>2.31</v>
      </c>
      <c r="E77" s="125">
        <v>144.4</v>
      </c>
      <c r="F77" s="124">
        <f>ROUND(E77*D77,2)</f>
        <v>333.56</v>
      </c>
      <c r="G77" s="124">
        <f t="shared" ref="G77" si="81">ROUND(F77*1.2,2)</f>
        <v>400.27</v>
      </c>
      <c r="H77" s="125"/>
      <c r="I77" s="123"/>
      <c r="J77" s="123"/>
      <c r="K77" s="125">
        <f t="shared" si="76"/>
        <v>333.56</v>
      </c>
      <c r="L77" s="123">
        <f t="shared" si="77"/>
        <v>400.27</v>
      </c>
      <c r="M77" s="66" t="s">
        <v>256</v>
      </c>
    </row>
    <row r="78" spans="1:13" ht="17.25" customHeight="1" x14ac:dyDescent="0.25">
      <c r="A78" s="44" t="s">
        <v>124</v>
      </c>
      <c r="B78" s="73" t="s">
        <v>353</v>
      </c>
      <c r="C78" s="46" t="s">
        <v>215</v>
      </c>
      <c r="D78" s="108">
        <f>D77*0.3*20/16</f>
        <v>0.86624999999999996</v>
      </c>
      <c r="E78" s="65"/>
      <c r="F78" s="49"/>
      <c r="G78" s="49"/>
      <c r="H78" s="219">
        <v>237.5</v>
      </c>
      <c r="I78" s="63">
        <f>ROUND(H78*D78,2)</f>
        <v>205.73</v>
      </c>
      <c r="J78" s="63">
        <f t="shared" ref="J78" si="82">ROUND(I78*1.2,2)</f>
        <v>246.88</v>
      </c>
      <c r="K78" s="65">
        <f t="shared" si="76"/>
        <v>205.73</v>
      </c>
      <c r="L78" s="63">
        <f t="shared" si="77"/>
        <v>246.88</v>
      </c>
    </row>
    <row r="79" spans="1:13" ht="28.5" customHeight="1" x14ac:dyDescent="0.25">
      <c r="A79" s="121">
        <f>A77+1</f>
        <v>39</v>
      </c>
      <c r="B79" s="120" t="s">
        <v>354</v>
      </c>
      <c r="C79" s="121" t="s">
        <v>34</v>
      </c>
      <c r="D79" s="122">
        <v>2.31</v>
      </c>
      <c r="E79" s="125">
        <v>299.76</v>
      </c>
      <c r="F79" s="124">
        <f>ROUND(E79*D79,2)</f>
        <v>692.45</v>
      </c>
      <c r="G79" s="124">
        <f t="shared" ref="G79" si="83">ROUND(F79*1.2,2)</f>
        <v>830.94</v>
      </c>
      <c r="H79" s="125"/>
      <c r="I79" s="123"/>
      <c r="J79" s="123"/>
      <c r="K79" s="125">
        <f t="shared" si="76"/>
        <v>692.45</v>
      </c>
      <c r="L79" s="123">
        <f t="shared" si="77"/>
        <v>830.94</v>
      </c>
      <c r="M79" s="66" t="s">
        <v>256</v>
      </c>
    </row>
    <row r="80" spans="1:13" x14ac:dyDescent="0.25">
      <c r="A80" s="44" t="s">
        <v>128</v>
      </c>
      <c r="B80" s="73" t="s">
        <v>355</v>
      </c>
      <c r="C80" s="46" t="s">
        <v>126</v>
      </c>
      <c r="D80" s="47">
        <f>D79*0.7*2</f>
        <v>3.234</v>
      </c>
      <c r="E80" s="65"/>
      <c r="F80" s="49"/>
      <c r="G80" s="49"/>
      <c r="H80" s="219">
        <v>296.39999999999998</v>
      </c>
      <c r="I80" s="63">
        <f t="shared" ref="I80" si="84">ROUND(H80*D80,2)</f>
        <v>958.56</v>
      </c>
      <c r="J80" s="63">
        <f t="shared" ref="J80" si="85">ROUND(I80*1.2,2)</f>
        <v>1150.27</v>
      </c>
      <c r="K80" s="65">
        <f t="shared" si="76"/>
        <v>958.56</v>
      </c>
      <c r="L80" s="63">
        <f t="shared" si="77"/>
        <v>1150.27</v>
      </c>
    </row>
    <row r="81" spans="1:13" x14ac:dyDescent="0.25">
      <c r="A81" s="44"/>
      <c r="B81" s="42" t="s">
        <v>52</v>
      </c>
      <c r="C81" s="38"/>
      <c r="D81" s="39"/>
      <c r="E81" s="59"/>
      <c r="F81" s="35"/>
      <c r="G81" s="35"/>
      <c r="H81" s="222"/>
      <c r="I81" s="41"/>
      <c r="J81" s="41"/>
      <c r="K81" s="59"/>
      <c r="L81" s="41"/>
    </row>
    <row r="82" spans="1:13" ht="30" x14ac:dyDescent="0.25">
      <c r="A82" s="121">
        <f>A79+1</f>
        <v>40</v>
      </c>
      <c r="B82" s="120" t="s">
        <v>171</v>
      </c>
      <c r="C82" s="121" t="s">
        <v>22</v>
      </c>
      <c r="D82" s="135">
        <v>22.42</v>
      </c>
      <c r="E82" s="125">
        <v>1419.5</v>
      </c>
      <c r="F82" s="124">
        <f>ROUND(E82*D82,2)</f>
        <v>31825.19</v>
      </c>
      <c r="G82" s="124">
        <f t="shared" ref="G82" si="86">ROUND(F82*1.2,2)</f>
        <v>38190.230000000003</v>
      </c>
      <c r="H82" s="125"/>
      <c r="I82" s="123"/>
      <c r="J82" s="123"/>
      <c r="K82" s="125">
        <f t="shared" ref="K82" si="87">F82+I82</f>
        <v>31825.19</v>
      </c>
      <c r="L82" s="123">
        <f t="shared" ref="L82" si="88">G82+J82</f>
        <v>38190.230000000003</v>
      </c>
    </row>
    <row r="83" spans="1:13" x14ac:dyDescent="0.25">
      <c r="A83" s="44" t="s">
        <v>132</v>
      </c>
      <c r="B83" s="73" t="s">
        <v>166</v>
      </c>
      <c r="C83" s="46" t="s">
        <v>22</v>
      </c>
      <c r="D83" s="71">
        <f>D82*1.02</f>
        <v>22.868400000000001</v>
      </c>
      <c r="E83" s="65"/>
      <c r="F83" s="49"/>
      <c r="G83" s="49"/>
      <c r="H83" s="63">
        <v>3124.17</v>
      </c>
      <c r="I83" s="63">
        <f t="shared" ref="I83" si="89">ROUND(H83*D83,2)</f>
        <v>71444.77</v>
      </c>
      <c r="J83" s="63">
        <f t="shared" ref="J83" si="90">ROUND(I83*1.2,2)</f>
        <v>85733.72</v>
      </c>
      <c r="K83" s="65">
        <f t="shared" ref="K83:K92" si="91">F83+I83</f>
        <v>71444.77</v>
      </c>
      <c r="L83" s="63">
        <f t="shared" ref="L83:L92" si="92">G83+J83</f>
        <v>85733.72</v>
      </c>
    </row>
    <row r="84" spans="1:13" ht="30.75" customHeight="1" x14ac:dyDescent="0.25">
      <c r="A84" s="127">
        <f>A82+1</f>
        <v>41</v>
      </c>
      <c r="B84" s="128" t="s">
        <v>338</v>
      </c>
      <c r="C84" s="129" t="s">
        <v>160</v>
      </c>
      <c r="D84" s="140">
        <v>1</v>
      </c>
      <c r="E84" s="133">
        <v>9339.7999999999993</v>
      </c>
      <c r="F84" s="132">
        <f t="shared" ref="F84:F85" si="93">ROUND(E84*D84,2)</f>
        <v>9339.7999999999993</v>
      </c>
      <c r="G84" s="132">
        <f t="shared" ref="G84:G86" si="94">ROUND(F84*1.2,2)</f>
        <v>11207.76</v>
      </c>
      <c r="H84" s="173"/>
      <c r="I84" s="131"/>
      <c r="J84" s="131"/>
      <c r="K84" s="133">
        <f t="shared" si="91"/>
        <v>9339.7999999999993</v>
      </c>
      <c r="L84" s="131">
        <f t="shared" si="92"/>
        <v>11207.76</v>
      </c>
      <c r="M84" s="66" t="s">
        <v>161</v>
      </c>
    </row>
    <row r="85" spans="1:13" ht="21" customHeight="1" x14ac:dyDescent="0.25">
      <c r="A85" s="127">
        <f>A84+1</f>
        <v>42</v>
      </c>
      <c r="B85" s="128" t="s">
        <v>162</v>
      </c>
      <c r="C85" s="129" t="s">
        <v>160</v>
      </c>
      <c r="D85" s="140">
        <v>1</v>
      </c>
      <c r="E85" s="133">
        <f>ROUND(2803.18*1.33,2)</f>
        <v>3728.23</v>
      </c>
      <c r="F85" s="132">
        <f t="shared" si="93"/>
        <v>3728.23</v>
      </c>
      <c r="G85" s="132">
        <f t="shared" si="94"/>
        <v>4473.88</v>
      </c>
      <c r="H85" s="173"/>
      <c r="I85" s="131"/>
      <c r="J85" s="131"/>
      <c r="K85" s="133">
        <f t="shared" si="91"/>
        <v>3728.23</v>
      </c>
      <c r="L85" s="131">
        <f t="shared" si="92"/>
        <v>4473.88</v>
      </c>
      <c r="M85" s="66" t="s">
        <v>323</v>
      </c>
    </row>
    <row r="86" spans="1:13" ht="29.25" customHeight="1" x14ac:dyDescent="0.25">
      <c r="A86" s="119">
        <f>A85+1</f>
        <v>43</v>
      </c>
      <c r="B86" s="138" t="s">
        <v>339</v>
      </c>
      <c r="C86" s="121" t="s">
        <v>22</v>
      </c>
      <c r="D86" s="139">
        <v>21.42</v>
      </c>
      <c r="E86" s="125">
        <v>5050.3899999999994</v>
      </c>
      <c r="F86" s="124">
        <f>ROUND(E86*D86,2)</f>
        <v>108179.35</v>
      </c>
      <c r="G86" s="124">
        <f t="shared" si="94"/>
        <v>129815.22</v>
      </c>
      <c r="H86" s="125"/>
      <c r="I86" s="123"/>
      <c r="J86" s="123"/>
      <c r="K86" s="125">
        <f t="shared" si="91"/>
        <v>108179.35</v>
      </c>
      <c r="L86" s="123">
        <f t="shared" si="92"/>
        <v>129815.22</v>
      </c>
    </row>
    <row r="87" spans="1:13" ht="21" customHeight="1" x14ac:dyDescent="0.25">
      <c r="A87" s="44" t="s">
        <v>140</v>
      </c>
      <c r="B87" s="73" t="s">
        <v>340</v>
      </c>
      <c r="C87" s="46" t="s">
        <v>22</v>
      </c>
      <c r="D87" s="71">
        <f>D86*1.02</f>
        <v>21.848400000000002</v>
      </c>
      <c r="E87" s="65"/>
      <c r="F87" s="49"/>
      <c r="G87" s="49"/>
      <c r="H87" s="63">
        <v>12001.35</v>
      </c>
      <c r="I87" s="63">
        <f t="shared" ref="I87" si="95">ROUND(H87*D87,2)</f>
        <v>262210.3</v>
      </c>
      <c r="J87" s="63">
        <f t="shared" ref="J87" si="96">ROUND(I87*1.2,2)</f>
        <v>314652.36</v>
      </c>
      <c r="K87" s="65">
        <f t="shared" si="91"/>
        <v>262210.3</v>
      </c>
      <c r="L87" s="63">
        <f t="shared" si="92"/>
        <v>314652.36</v>
      </c>
    </row>
    <row r="88" spans="1:13" ht="28.5" customHeight="1" x14ac:dyDescent="0.25">
      <c r="A88" s="129">
        <f>A86+1</f>
        <v>44</v>
      </c>
      <c r="B88" s="143" t="s">
        <v>165</v>
      </c>
      <c r="C88" s="129" t="s">
        <v>341</v>
      </c>
      <c r="D88" s="144">
        <v>21.42</v>
      </c>
      <c r="E88" s="133">
        <f>ROUND(1572.68*1.33,2)</f>
        <v>2091.66</v>
      </c>
      <c r="F88" s="132">
        <f>ROUND(E88*D88,2)</f>
        <v>44803.360000000001</v>
      </c>
      <c r="G88" s="132">
        <f t="shared" ref="G88" si="97">ROUND(F88*1.2,2)</f>
        <v>53764.03</v>
      </c>
      <c r="H88" s="133"/>
      <c r="I88" s="131"/>
      <c r="J88" s="131"/>
      <c r="K88" s="133">
        <f t="shared" si="91"/>
        <v>44803.360000000001</v>
      </c>
      <c r="L88" s="131">
        <f t="shared" si="92"/>
        <v>53764.03</v>
      </c>
      <c r="M88" s="66" t="s">
        <v>71</v>
      </c>
    </row>
    <row r="89" spans="1:13" x14ac:dyDescent="0.25">
      <c r="A89" s="44" t="s">
        <v>143</v>
      </c>
      <c r="B89" s="73" t="s">
        <v>166</v>
      </c>
      <c r="C89" s="46" t="s">
        <v>22</v>
      </c>
      <c r="D89" s="71">
        <f>D88*1.02</f>
        <v>21.848400000000002</v>
      </c>
      <c r="E89" s="65"/>
      <c r="F89" s="49"/>
      <c r="G89" s="49"/>
      <c r="H89" s="63">
        <v>3124.17</v>
      </c>
      <c r="I89" s="63">
        <f t="shared" ref="I89" si="98">ROUND(H89*D89,2)</f>
        <v>68258.12</v>
      </c>
      <c r="J89" s="63">
        <f t="shared" ref="J89" si="99">ROUND(I89*1.2,2)</f>
        <v>81909.740000000005</v>
      </c>
      <c r="K89" s="65">
        <f t="shared" ref="K89" si="100">F89+I89</f>
        <v>68258.12</v>
      </c>
      <c r="L89" s="63">
        <f t="shared" ref="L89" si="101">G89+J89</f>
        <v>81909.740000000005</v>
      </c>
    </row>
    <row r="90" spans="1:13" x14ac:dyDescent="0.25">
      <c r="A90" s="44" t="s">
        <v>600</v>
      </c>
      <c r="B90" s="73" t="s">
        <v>342</v>
      </c>
      <c r="C90" s="46" t="s">
        <v>63</v>
      </c>
      <c r="D90" s="82">
        <v>10</v>
      </c>
      <c r="E90" s="65"/>
      <c r="F90" s="49"/>
      <c r="G90" s="49"/>
      <c r="H90" s="219">
        <v>1641.6</v>
      </c>
      <c r="I90" s="63">
        <f t="shared" ref="I90" si="102">ROUND(H90*D90,2)</f>
        <v>16416</v>
      </c>
      <c r="J90" s="63">
        <f t="shared" ref="J90" si="103">ROUND(I90*1.2,2)</f>
        <v>19699.2</v>
      </c>
      <c r="K90" s="65">
        <f t="shared" si="91"/>
        <v>16416</v>
      </c>
      <c r="L90" s="63">
        <f t="shared" si="92"/>
        <v>19699.2</v>
      </c>
    </row>
    <row r="91" spans="1:13" ht="27" customHeight="1" x14ac:dyDescent="0.25">
      <c r="A91" s="121">
        <f>A88+1</f>
        <v>45</v>
      </c>
      <c r="B91" s="138" t="s">
        <v>343</v>
      </c>
      <c r="C91" s="121" t="s">
        <v>331</v>
      </c>
      <c r="D91" s="139">
        <v>2.77</v>
      </c>
      <c r="E91" s="125">
        <v>8327.42</v>
      </c>
      <c r="F91" s="124">
        <f t="shared" ref="F91" si="104">ROUND(E91*D91,2)</f>
        <v>23066.95</v>
      </c>
      <c r="G91" s="124">
        <f t="shared" ref="G91" si="105">ROUND(F91*1.2,2)</f>
        <v>27680.34</v>
      </c>
      <c r="H91" s="221"/>
      <c r="I91" s="123"/>
      <c r="J91" s="123"/>
      <c r="K91" s="125">
        <f t="shared" si="91"/>
        <v>23066.95</v>
      </c>
      <c r="L91" s="123">
        <f t="shared" si="92"/>
        <v>27680.34</v>
      </c>
    </row>
    <row r="92" spans="1:13" x14ac:dyDescent="0.25">
      <c r="A92" s="44" t="s">
        <v>285</v>
      </c>
      <c r="B92" s="73" t="s">
        <v>68</v>
      </c>
      <c r="C92" s="46" t="s">
        <v>24</v>
      </c>
      <c r="D92" s="71">
        <f>D91*1.02</f>
        <v>2.8254000000000001</v>
      </c>
      <c r="E92" s="65"/>
      <c r="F92" s="49"/>
      <c r="G92" s="49"/>
      <c r="H92" s="63">
        <v>3657.5</v>
      </c>
      <c r="I92" s="63">
        <f t="shared" ref="I92" si="106">ROUND(H92*D92,2)</f>
        <v>10333.9</v>
      </c>
      <c r="J92" s="63">
        <f t="shared" ref="J92" si="107">ROUND(I92*1.2,2)</f>
        <v>12400.68</v>
      </c>
      <c r="K92" s="65">
        <f t="shared" si="91"/>
        <v>10333.9</v>
      </c>
      <c r="L92" s="63">
        <f t="shared" si="92"/>
        <v>12400.68</v>
      </c>
    </row>
    <row r="93" spans="1:13" s="61" customFormat="1" ht="20.25" customHeight="1" x14ac:dyDescent="0.25">
      <c r="A93" s="44"/>
      <c r="B93" s="42" t="s">
        <v>421</v>
      </c>
      <c r="C93" s="38"/>
      <c r="D93" s="96"/>
      <c r="E93" s="35"/>
      <c r="F93" s="35"/>
      <c r="G93" s="35"/>
      <c r="H93" s="41"/>
      <c r="I93" s="41"/>
      <c r="J93" s="41"/>
      <c r="K93" s="59"/>
      <c r="L93" s="41"/>
      <c r="M93" s="40"/>
    </row>
    <row r="94" spans="1:13" ht="34.5" customHeight="1" x14ac:dyDescent="0.25">
      <c r="A94" s="121">
        <f>A91+1</f>
        <v>46</v>
      </c>
      <c r="B94" s="138" t="s">
        <v>356</v>
      </c>
      <c r="C94" s="121" t="s">
        <v>63</v>
      </c>
      <c r="D94" s="146">
        <v>1</v>
      </c>
      <c r="E94" s="125">
        <v>7035.89</v>
      </c>
      <c r="F94" s="124">
        <f>ROUND(E94*D94,2)</f>
        <v>7035.89</v>
      </c>
      <c r="G94" s="124">
        <f t="shared" ref="G94" si="108">ROUND(F94*1.2,2)</f>
        <v>8443.07</v>
      </c>
      <c r="H94" s="125"/>
      <c r="I94" s="123"/>
      <c r="J94" s="123"/>
      <c r="K94" s="125">
        <f t="shared" ref="K94:L119" si="109">F94+I94</f>
        <v>7035.89</v>
      </c>
      <c r="L94" s="123">
        <f t="shared" si="109"/>
        <v>8443.07</v>
      </c>
    </row>
    <row r="95" spans="1:13" ht="18" customHeight="1" x14ac:dyDescent="0.25">
      <c r="A95" s="44" t="s">
        <v>288</v>
      </c>
      <c r="B95" s="73" t="s">
        <v>357</v>
      </c>
      <c r="C95" s="46" t="s">
        <v>63</v>
      </c>
      <c r="D95" s="67">
        <v>1</v>
      </c>
      <c r="E95" s="65"/>
      <c r="F95" s="49"/>
      <c r="G95" s="49"/>
      <c r="H95" s="95">
        <v>16406.5</v>
      </c>
      <c r="I95" s="49">
        <f t="shared" ref="I95" si="110">ROUND(H95*D95,2)</f>
        <v>16406.5</v>
      </c>
      <c r="J95" s="49">
        <f t="shared" ref="J95" si="111">ROUND(I95*1.2,2)</f>
        <v>19687.8</v>
      </c>
      <c r="K95" s="65">
        <f t="shared" si="109"/>
        <v>16406.5</v>
      </c>
      <c r="L95" s="63">
        <f t="shared" si="109"/>
        <v>19687.8</v>
      </c>
    </row>
    <row r="96" spans="1:13" ht="22.5" customHeight="1" x14ac:dyDescent="0.25">
      <c r="A96" s="44" t="s">
        <v>601</v>
      </c>
      <c r="B96" s="73" t="s">
        <v>370</v>
      </c>
      <c r="C96" s="46" t="s">
        <v>63</v>
      </c>
      <c r="D96" s="74">
        <v>1</v>
      </c>
      <c r="E96" s="65"/>
      <c r="F96" s="49"/>
      <c r="G96" s="49"/>
      <c r="H96" s="65">
        <v>85.5</v>
      </c>
      <c r="I96" s="49">
        <f>ROUND(H96*D96,2)</f>
        <v>85.5</v>
      </c>
      <c r="J96" s="49">
        <f>ROUND(I96*1.2,2)</f>
        <v>102.6</v>
      </c>
      <c r="K96" s="50">
        <f t="shared" ref="K96" si="112">F96+I96</f>
        <v>85.5</v>
      </c>
      <c r="L96" s="49">
        <f t="shared" ref="L96" si="113">G96+J96</f>
        <v>102.6</v>
      </c>
    </row>
    <row r="97" spans="1:13" ht="28.5" customHeight="1" x14ac:dyDescent="0.25">
      <c r="A97" s="121">
        <f>A94+1</f>
        <v>47</v>
      </c>
      <c r="B97" s="138" t="s">
        <v>358</v>
      </c>
      <c r="C97" s="121" t="s">
        <v>63</v>
      </c>
      <c r="D97" s="147">
        <v>1</v>
      </c>
      <c r="E97" s="125">
        <v>14312.75</v>
      </c>
      <c r="F97" s="124">
        <f t="shared" ref="F97:F113" si="114">ROUND(E97*D97,2)</f>
        <v>14312.75</v>
      </c>
      <c r="G97" s="124">
        <f t="shared" ref="G97:G113" si="115">ROUND(F97*1.2,2)</f>
        <v>17175.3</v>
      </c>
      <c r="H97" s="125"/>
      <c r="I97" s="124"/>
      <c r="J97" s="124"/>
      <c r="K97" s="125">
        <f t="shared" si="109"/>
        <v>14312.75</v>
      </c>
      <c r="L97" s="123">
        <f t="shared" si="109"/>
        <v>17175.3</v>
      </c>
    </row>
    <row r="98" spans="1:13" ht="18.75" customHeight="1" x14ac:dyDescent="0.25">
      <c r="A98" s="44" t="s">
        <v>291</v>
      </c>
      <c r="B98" s="73" t="s">
        <v>359</v>
      </c>
      <c r="C98" s="46" t="s">
        <v>63</v>
      </c>
      <c r="D98" s="74">
        <v>1</v>
      </c>
      <c r="E98" s="65"/>
      <c r="F98" s="49"/>
      <c r="G98" s="49"/>
      <c r="H98" s="65">
        <v>109202.5</v>
      </c>
      <c r="I98" s="49">
        <f>ROUND(H98*D98,2)</f>
        <v>109202.5</v>
      </c>
      <c r="J98" s="49">
        <f>ROUND(I98*1.2,2)</f>
        <v>131043</v>
      </c>
      <c r="K98" s="50">
        <f t="shared" si="109"/>
        <v>109202.5</v>
      </c>
      <c r="L98" s="49">
        <f t="shared" si="109"/>
        <v>131043</v>
      </c>
    </row>
    <row r="99" spans="1:13" ht="23.25" customHeight="1" x14ac:dyDescent="0.25">
      <c r="A99" s="129">
        <f>A97+1</f>
        <v>48</v>
      </c>
      <c r="B99" s="143" t="s">
        <v>362</v>
      </c>
      <c r="C99" s="129" t="s">
        <v>63</v>
      </c>
      <c r="D99" s="148">
        <v>1</v>
      </c>
      <c r="E99" s="133">
        <v>6546.68</v>
      </c>
      <c r="F99" s="132">
        <f t="shared" ref="F99" si="116">ROUND(E99*D99,2)</f>
        <v>6546.68</v>
      </c>
      <c r="G99" s="132">
        <f t="shared" ref="G99" si="117">ROUND(F99*1.2,2)</f>
        <v>7856.02</v>
      </c>
      <c r="H99" s="133"/>
      <c r="I99" s="132"/>
      <c r="J99" s="132"/>
      <c r="K99" s="133">
        <f t="shared" ref="K99:K103" si="118">F99+I99</f>
        <v>6546.68</v>
      </c>
      <c r="L99" s="131">
        <f t="shared" ref="L99:L103" si="119">G99+J99</f>
        <v>7856.02</v>
      </c>
    </row>
    <row r="100" spans="1:13" ht="18.75" customHeight="1" x14ac:dyDescent="0.25">
      <c r="A100" s="44" t="s">
        <v>294</v>
      </c>
      <c r="B100" s="73" t="s">
        <v>364</v>
      </c>
      <c r="C100" s="46" t="s">
        <v>63</v>
      </c>
      <c r="D100" s="74">
        <v>1</v>
      </c>
      <c r="E100" s="65"/>
      <c r="F100" s="49"/>
      <c r="G100" s="49"/>
      <c r="H100" s="65">
        <v>12662.42</v>
      </c>
      <c r="I100" s="49">
        <f>ROUND(H100*D100,2)</f>
        <v>12662.42</v>
      </c>
      <c r="J100" s="49">
        <f>ROUND(I100*1.2,2)</f>
        <v>15194.9</v>
      </c>
      <c r="K100" s="50">
        <f t="shared" si="118"/>
        <v>12662.42</v>
      </c>
      <c r="L100" s="49">
        <f t="shared" si="119"/>
        <v>15194.9</v>
      </c>
      <c r="M100" s="66" t="s">
        <v>155</v>
      </c>
    </row>
    <row r="101" spans="1:13" ht="30" customHeight="1" x14ac:dyDescent="0.25">
      <c r="A101" s="121">
        <f>A99+1</f>
        <v>49</v>
      </c>
      <c r="B101" s="138" t="s">
        <v>368</v>
      </c>
      <c r="C101" s="121" t="s">
        <v>63</v>
      </c>
      <c r="D101" s="147">
        <v>1</v>
      </c>
      <c r="E101" s="125">
        <v>6546.68</v>
      </c>
      <c r="F101" s="124">
        <f t="shared" ref="F101" si="120">ROUND(E101*D101,2)</f>
        <v>6546.68</v>
      </c>
      <c r="G101" s="124">
        <f t="shared" ref="G101" si="121">ROUND(F101*1.2,2)</f>
        <v>7856.02</v>
      </c>
      <c r="H101" s="125"/>
      <c r="I101" s="124"/>
      <c r="J101" s="124"/>
      <c r="K101" s="125">
        <f t="shared" si="118"/>
        <v>6546.68</v>
      </c>
      <c r="L101" s="123">
        <f t="shared" si="119"/>
        <v>7856.02</v>
      </c>
    </row>
    <row r="102" spans="1:13" ht="22.5" customHeight="1" x14ac:dyDescent="0.25">
      <c r="A102" s="44" t="s">
        <v>297</v>
      </c>
      <c r="B102" s="73" t="s">
        <v>190</v>
      </c>
      <c r="C102" s="46" t="s">
        <v>63</v>
      </c>
      <c r="D102" s="74">
        <v>1</v>
      </c>
      <c r="E102" s="65"/>
      <c r="F102" s="49"/>
      <c r="G102" s="49"/>
      <c r="H102" s="65">
        <v>2793</v>
      </c>
      <c r="I102" s="49">
        <f>ROUND(H102*D102,2)</f>
        <v>2793</v>
      </c>
      <c r="J102" s="49">
        <f>ROUND(I102*1.2,2)</f>
        <v>3351.6</v>
      </c>
      <c r="K102" s="50">
        <f t="shared" si="118"/>
        <v>2793</v>
      </c>
      <c r="L102" s="49">
        <f t="shared" si="119"/>
        <v>3351.6</v>
      </c>
    </row>
    <row r="103" spans="1:13" ht="22.5" customHeight="1" x14ac:dyDescent="0.25">
      <c r="A103" s="44" t="s">
        <v>537</v>
      </c>
      <c r="B103" s="73" t="s">
        <v>370</v>
      </c>
      <c r="C103" s="46" t="s">
        <v>63</v>
      </c>
      <c r="D103" s="74">
        <v>2</v>
      </c>
      <c r="E103" s="65"/>
      <c r="F103" s="49"/>
      <c r="G103" s="49"/>
      <c r="H103" s="65">
        <v>85.5</v>
      </c>
      <c r="I103" s="49">
        <f>ROUND(H103*D103,2)</f>
        <v>171</v>
      </c>
      <c r="J103" s="49">
        <f>ROUND(I103*1.2,2)</f>
        <v>205.2</v>
      </c>
      <c r="K103" s="50">
        <f t="shared" si="118"/>
        <v>171</v>
      </c>
      <c r="L103" s="49">
        <f t="shared" si="119"/>
        <v>205.2</v>
      </c>
    </row>
    <row r="104" spans="1:13" ht="31.5" customHeight="1" x14ac:dyDescent="0.25">
      <c r="A104" s="121">
        <f>A101+1</f>
        <v>50</v>
      </c>
      <c r="B104" s="138" t="s">
        <v>360</v>
      </c>
      <c r="C104" s="121" t="s">
        <v>63</v>
      </c>
      <c r="D104" s="147">
        <v>1</v>
      </c>
      <c r="E104" s="125">
        <v>5650.6</v>
      </c>
      <c r="F104" s="124">
        <f t="shared" si="114"/>
        <v>5650.6</v>
      </c>
      <c r="G104" s="124">
        <f t="shared" si="115"/>
        <v>6780.72</v>
      </c>
      <c r="H104" s="125"/>
      <c r="I104" s="124"/>
      <c r="J104" s="124"/>
      <c r="K104" s="125">
        <f t="shared" si="109"/>
        <v>5650.6</v>
      </c>
      <c r="L104" s="123">
        <f t="shared" si="109"/>
        <v>6780.72</v>
      </c>
    </row>
    <row r="105" spans="1:13" ht="18" customHeight="1" x14ac:dyDescent="0.25">
      <c r="A105" s="44" t="s">
        <v>299</v>
      </c>
      <c r="B105" s="73" t="s">
        <v>361</v>
      </c>
      <c r="C105" s="46" t="s">
        <v>63</v>
      </c>
      <c r="D105" s="74">
        <v>1</v>
      </c>
      <c r="E105" s="65"/>
      <c r="F105" s="49"/>
      <c r="G105" s="49"/>
      <c r="H105" s="65">
        <v>30988.05</v>
      </c>
      <c r="I105" s="49">
        <f>ROUND(H105*D105,2)</f>
        <v>30988.05</v>
      </c>
      <c r="J105" s="49">
        <f>ROUND(I105*1.2,2)</f>
        <v>37185.660000000003</v>
      </c>
      <c r="K105" s="50">
        <f t="shared" si="109"/>
        <v>30988.05</v>
      </c>
      <c r="L105" s="49">
        <f t="shared" si="109"/>
        <v>37185.660000000003</v>
      </c>
    </row>
    <row r="106" spans="1:13" ht="18" customHeight="1" x14ac:dyDescent="0.25">
      <c r="A106" s="121">
        <f>A104+1</f>
        <v>51</v>
      </c>
      <c r="B106" s="138" t="s">
        <v>376</v>
      </c>
      <c r="C106" s="121" t="s">
        <v>63</v>
      </c>
      <c r="D106" s="147">
        <v>1</v>
      </c>
      <c r="E106" s="125">
        <v>1389.85</v>
      </c>
      <c r="F106" s="124">
        <f t="shared" ref="F106" si="122">ROUND(E106*D106,2)</f>
        <v>1389.85</v>
      </c>
      <c r="G106" s="124">
        <f t="shared" ref="G106" si="123">ROUND(F106*1.2,2)</f>
        <v>1667.82</v>
      </c>
      <c r="H106" s="125"/>
      <c r="I106" s="124"/>
      <c r="J106" s="124"/>
      <c r="K106" s="125">
        <f t="shared" ref="K106:K107" si="124">F106+I106</f>
        <v>1389.85</v>
      </c>
      <c r="L106" s="123">
        <f t="shared" ref="L106:L107" si="125">G106+J106</f>
        <v>1667.82</v>
      </c>
    </row>
    <row r="107" spans="1:13" ht="18" customHeight="1" x14ac:dyDescent="0.25">
      <c r="A107" s="44" t="s">
        <v>302</v>
      </c>
      <c r="B107" s="73" t="s">
        <v>377</v>
      </c>
      <c r="C107" s="46" t="s">
        <v>63</v>
      </c>
      <c r="D107" s="74">
        <v>1</v>
      </c>
      <c r="E107" s="65"/>
      <c r="F107" s="49"/>
      <c r="G107" s="49"/>
      <c r="H107" s="65">
        <v>471.2</v>
      </c>
      <c r="I107" s="49">
        <f>ROUND(H107*D107,2)</f>
        <v>471.2</v>
      </c>
      <c r="J107" s="49">
        <f>ROUND(I107*1.2,2)</f>
        <v>565.44000000000005</v>
      </c>
      <c r="K107" s="50">
        <f t="shared" si="124"/>
        <v>471.2</v>
      </c>
      <c r="L107" s="49">
        <f t="shared" si="125"/>
        <v>565.44000000000005</v>
      </c>
    </row>
    <row r="108" spans="1:13" ht="27.75" customHeight="1" x14ac:dyDescent="0.25">
      <c r="A108" s="121">
        <f>A106+1</f>
        <v>52</v>
      </c>
      <c r="B108" s="138" t="s">
        <v>373</v>
      </c>
      <c r="C108" s="121" t="s">
        <v>63</v>
      </c>
      <c r="D108" s="147">
        <v>1</v>
      </c>
      <c r="E108" s="125">
        <v>6131.59</v>
      </c>
      <c r="F108" s="124">
        <f t="shared" ref="F108" si="126">ROUND(E108*D108,2)</f>
        <v>6131.59</v>
      </c>
      <c r="G108" s="124">
        <f t="shared" ref="G108" si="127">ROUND(F108*1.2,2)</f>
        <v>7357.91</v>
      </c>
      <c r="H108" s="125"/>
      <c r="I108" s="124"/>
      <c r="J108" s="124"/>
      <c r="K108" s="125">
        <f t="shared" si="109"/>
        <v>6131.59</v>
      </c>
      <c r="L108" s="123">
        <f t="shared" si="109"/>
        <v>7357.91</v>
      </c>
    </row>
    <row r="109" spans="1:13" ht="18" customHeight="1" x14ac:dyDescent="0.25">
      <c r="A109" s="44" t="s">
        <v>305</v>
      </c>
      <c r="B109" s="73" t="s">
        <v>374</v>
      </c>
      <c r="C109" s="46" t="s">
        <v>63</v>
      </c>
      <c r="D109" s="74">
        <v>1</v>
      </c>
      <c r="E109" s="65"/>
      <c r="F109" s="49"/>
      <c r="G109" s="49"/>
      <c r="H109" s="49">
        <v>1453.5</v>
      </c>
      <c r="I109" s="49">
        <f>ROUND(H109*D109,2)</f>
        <v>1453.5</v>
      </c>
      <c r="J109" s="49">
        <f>ROUND(I109*1.2,2)</f>
        <v>1744.2</v>
      </c>
      <c r="K109" s="50">
        <f t="shared" si="109"/>
        <v>1453.5</v>
      </c>
      <c r="L109" s="49">
        <f t="shared" si="109"/>
        <v>1744.2</v>
      </c>
    </row>
    <row r="110" spans="1:13" ht="19.5" customHeight="1" x14ac:dyDescent="0.25">
      <c r="A110" s="44" t="s">
        <v>307</v>
      </c>
      <c r="B110" s="73" t="s">
        <v>375</v>
      </c>
      <c r="C110" s="46" t="s">
        <v>63</v>
      </c>
      <c r="D110" s="74">
        <v>2</v>
      </c>
      <c r="E110" s="65"/>
      <c r="F110" s="49"/>
      <c r="G110" s="49"/>
      <c r="H110" s="65">
        <v>31.35</v>
      </c>
      <c r="I110" s="49">
        <f>ROUND(H110*D110,2)</f>
        <v>62.7</v>
      </c>
      <c r="J110" s="49">
        <f>ROUND(I110*1.2,2)</f>
        <v>75.239999999999995</v>
      </c>
      <c r="K110" s="50">
        <f t="shared" si="109"/>
        <v>62.7</v>
      </c>
      <c r="L110" s="49">
        <f t="shared" si="109"/>
        <v>75.239999999999995</v>
      </c>
    </row>
    <row r="111" spans="1:13" ht="18" customHeight="1" x14ac:dyDescent="0.25">
      <c r="A111" s="121">
        <f>A108+1</f>
        <v>53</v>
      </c>
      <c r="B111" s="138" t="s">
        <v>298</v>
      </c>
      <c r="C111" s="121" t="s">
        <v>63</v>
      </c>
      <c r="D111" s="147">
        <v>1</v>
      </c>
      <c r="E111" s="125">
        <v>6039.48</v>
      </c>
      <c r="F111" s="124">
        <f t="shared" ref="F111" si="128">ROUND(E111*D111,2)</f>
        <v>6039.48</v>
      </c>
      <c r="G111" s="124">
        <f t="shared" ref="G111" si="129">ROUND(F111*1.2,2)</f>
        <v>7247.38</v>
      </c>
      <c r="H111" s="125"/>
      <c r="I111" s="124"/>
      <c r="J111" s="124"/>
      <c r="K111" s="125">
        <f t="shared" ref="K111:K112" si="130">F111+I111</f>
        <v>6039.48</v>
      </c>
      <c r="L111" s="123">
        <f t="shared" ref="L111:L112" si="131">G111+J111</f>
        <v>7247.38</v>
      </c>
    </row>
    <row r="112" spans="1:13" ht="18" customHeight="1" x14ac:dyDescent="0.25">
      <c r="A112" s="44" t="s">
        <v>309</v>
      </c>
      <c r="B112" s="73" t="s">
        <v>372</v>
      </c>
      <c r="C112" s="46" t="s">
        <v>63</v>
      </c>
      <c r="D112" s="74">
        <v>1</v>
      </c>
      <c r="E112" s="65"/>
      <c r="F112" s="49"/>
      <c r="G112" s="49"/>
      <c r="H112" s="49">
        <v>2638.15</v>
      </c>
      <c r="I112" s="49">
        <f>ROUND(H112*D112,2)</f>
        <v>2638.15</v>
      </c>
      <c r="J112" s="49">
        <f>ROUND(I112*1.2,2)</f>
        <v>3165.78</v>
      </c>
      <c r="K112" s="50">
        <f t="shared" si="130"/>
        <v>2638.15</v>
      </c>
      <c r="L112" s="49">
        <f t="shared" si="131"/>
        <v>3165.78</v>
      </c>
    </row>
    <row r="113" spans="1:13" ht="22.5" customHeight="1" x14ac:dyDescent="0.25">
      <c r="A113" s="129">
        <f>A111+1</f>
        <v>54</v>
      </c>
      <c r="B113" s="143" t="s">
        <v>365</v>
      </c>
      <c r="C113" s="129" t="s">
        <v>63</v>
      </c>
      <c r="D113" s="148">
        <v>1</v>
      </c>
      <c r="E113" s="133">
        <v>6131.59</v>
      </c>
      <c r="F113" s="132">
        <f t="shared" si="114"/>
        <v>6131.59</v>
      </c>
      <c r="G113" s="132">
        <f t="shared" si="115"/>
        <v>7357.91</v>
      </c>
      <c r="H113" s="133"/>
      <c r="I113" s="132"/>
      <c r="J113" s="132"/>
      <c r="K113" s="133">
        <f t="shared" si="109"/>
        <v>6131.59</v>
      </c>
      <c r="L113" s="131">
        <f t="shared" si="109"/>
        <v>7357.91</v>
      </c>
    </row>
    <row r="114" spans="1:13" ht="21" customHeight="1" x14ac:dyDescent="0.25">
      <c r="A114" s="44" t="s">
        <v>363</v>
      </c>
      <c r="B114" s="73" t="s">
        <v>367</v>
      </c>
      <c r="C114" s="46" t="s">
        <v>63</v>
      </c>
      <c r="D114" s="74">
        <v>1</v>
      </c>
      <c r="E114" s="65"/>
      <c r="F114" s="49"/>
      <c r="G114" s="49"/>
      <c r="H114" s="65">
        <f>ROUND(5573.33*1.15,2)</f>
        <v>6409.33</v>
      </c>
      <c r="I114" s="49">
        <f>ROUND(H114*D114,2)</f>
        <v>6409.33</v>
      </c>
      <c r="J114" s="49">
        <f>ROUND(I114*1.2,2)</f>
        <v>7691.2</v>
      </c>
      <c r="K114" s="50">
        <f t="shared" si="109"/>
        <v>6409.33</v>
      </c>
      <c r="L114" s="49">
        <f t="shared" si="109"/>
        <v>7691.2</v>
      </c>
      <c r="M114" s="66" t="s">
        <v>181</v>
      </c>
    </row>
    <row r="115" spans="1:13" ht="18" customHeight="1" x14ac:dyDescent="0.25">
      <c r="A115" s="129">
        <f>A113+1</f>
        <v>55</v>
      </c>
      <c r="B115" s="143" t="s">
        <v>378</v>
      </c>
      <c r="C115" s="129" t="s">
        <v>63</v>
      </c>
      <c r="D115" s="148">
        <v>1</v>
      </c>
      <c r="E115" s="133">
        <v>6232.95</v>
      </c>
      <c r="F115" s="132">
        <f t="shared" ref="F115" si="132">ROUND(E115*D115,2)</f>
        <v>6232.95</v>
      </c>
      <c r="G115" s="132">
        <f t="shared" ref="G115" si="133">ROUND(F115*1.2,2)</f>
        <v>7479.54</v>
      </c>
      <c r="H115" s="133"/>
      <c r="I115" s="132"/>
      <c r="J115" s="132"/>
      <c r="K115" s="133">
        <f t="shared" si="109"/>
        <v>6232.95</v>
      </c>
      <c r="L115" s="131">
        <f t="shared" si="109"/>
        <v>7479.54</v>
      </c>
      <c r="M115" s="66" t="s">
        <v>532</v>
      </c>
    </row>
    <row r="116" spans="1:13" ht="18" customHeight="1" x14ac:dyDescent="0.25">
      <c r="A116" s="44" t="s">
        <v>366</v>
      </c>
      <c r="B116" s="73" t="s">
        <v>379</v>
      </c>
      <c r="C116" s="46" t="s">
        <v>63</v>
      </c>
      <c r="D116" s="74">
        <v>1</v>
      </c>
      <c r="E116" s="65"/>
      <c r="F116" s="49"/>
      <c r="G116" s="49"/>
      <c r="H116" s="65">
        <f>ROUND(2208.64/1.2*1.15,2)</f>
        <v>2116.61</v>
      </c>
      <c r="I116" s="49">
        <f>ROUND(H116*D116,2)</f>
        <v>2116.61</v>
      </c>
      <c r="J116" s="49">
        <f>ROUND(I116*1.2,2)</f>
        <v>2539.9299999999998</v>
      </c>
      <c r="K116" s="50">
        <f t="shared" si="109"/>
        <v>2116.61</v>
      </c>
      <c r="L116" s="49">
        <f t="shared" si="109"/>
        <v>2539.9299999999998</v>
      </c>
      <c r="M116" s="66" t="s">
        <v>181</v>
      </c>
    </row>
    <row r="117" spans="1:13" ht="27.75" customHeight="1" x14ac:dyDescent="0.25">
      <c r="A117" s="121">
        <f>A115+1</f>
        <v>56</v>
      </c>
      <c r="B117" s="138" t="s">
        <v>373</v>
      </c>
      <c r="C117" s="121" t="s">
        <v>63</v>
      </c>
      <c r="D117" s="147">
        <v>1</v>
      </c>
      <c r="E117" s="125">
        <v>6131.59</v>
      </c>
      <c r="F117" s="124">
        <f t="shared" ref="F117" si="134">ROUND(E117*D117,2)</f>
        <v>6131.59</v>
      </c>
      <c r="G117" s="124">
        <f t="shared" ref="G117" si="135">ROUND(F117*1.2,2)</f>
        <v>7357.91</v>
      </c>
      <c r="H117" s="125"/>
      <c r="I117" s="124"/>
      <c r="J117" s="124"/>
      <c r="K117" s="125">
        <f t="shared" si="109"/>
        <v>6131.59</v>
      </c>
      <c r="L117" s="123">
        <f t="shared" si="109"/>
        <v>7357.91</v>
      </c>
    </row>
    <row r="118" spans="1:13" ht="18" customHeight="1" x14ac:dyDescent="0.25">
      <c r="A118" s="44" t="s">
        <v>369</v>
      </c>
      <c r="B118" s="73" t="s">
        <v>374</v>
      </c>
      <c r="C118" s="46" t="s">
        <v>63</v>
      </c>
      <c r="D118" s="74">
        <v>1</v>
      </c>
      <c r="E118" s="65"/>
      <c r="F118" s="49"/>
      <c r="G118" s="49"/>
      <c r="H118" s="49">
        <v>1453.5</v>
      </c>
      <c r="I118" s="49">
        <f>ROUND(H118*D118,2)</f>
        <v>1453.5</v>
      </c>
      <c r="J118" s="49">
        <f>ROUND(I118*1.2,2)</f>
        <v>1744.2</v>
      </c>
      <c r="K118" s="50">
        <f t="shared" si="109"/>
        <v>1453.5</v>
      </c>
      <c r="L118" s="49">
        <f t="shared" si="109"/>
        <v>1744.2</v>
      </c>
    </row>
    <row r="119" spans="1:13" ht="19.5" customHeight="1" x14ac:dyDescent="0.25">
      <c r="A119" s="44" t="s">
        <v>602</v>
      </c>
      <c r="B119" s="73" t="s">
        <v>375</v>
      </c>
      <c r="C119" s="46" t="s">
        <v>63</v>
      </c>
      <c r="D119" s="74">
        <v>1</v>
      </c>
      <c r="E119" s="65"/>
      <c r="F119" s="49"/>
      <c r="G119" s="49"/>
      <c r="H119" s="65">
        <v>31.35</v>
      </c>
      <c r="I119" s="49">
        <f>ROUND(H119*D119,2)</f>
        <v>31.35</v>
      </c>
      <c r="J119" s="49">
        <f>ROUND(I119*1.2,2)</f>
        <v>37.619999999999997</v>
      </c>
      <c r="K119" s="50">
        <f t="shared" si="109"/>
        <v>31.35</v>
      </c>
      <c r="L119" s="49">
        <f t="shared" si="109"/>
        <v>37.619999999999997</v>
      </c>
    </row>
    <row r="120" spans="1:13" ht="18" customHeight="1" x14ac:dyDescent="0.25">
      <c r="A120" s="121">
        <f>A117+1</f>
        <v>57</v>
      </c>
      <c r="B120" s="138" t="s">
        <v>376</v>
      </c>
      <c r="C120" s="121" t="s">
        <v>63</v>
      </c>
      <c r="D120" s="147">
        <v>1</v>
      </c>
      <c r="E120" s="125">
        <v>1389.85</v>
      </c>
      <c r="F120" s="124">
        <f t="shared" ref="F120" si="136">ROUND(E120*D120,2)</f>
        <v>1389.85</v>
      </c>
      <c r="G120" s="124">
        <f t="shared" ref="G120" si="137">ROUND(F120*1.2,2)</f>
        <v>1667.82</v>
      </c>
      <c r="H120" s="125"/>
      <c r="I120" s="124"/>
      <c r="J120" s="124"/>
      <c r="K120" s="125">
        <f t="shared" ref="K120:K122" si="138">F120+I120</f>
        <v>1389.85</v>
      </c>
      <c r="L120" s="123">
        <f t="shared" ref="L120:L122" si="139">G120+J120</f>
        <v>1667.82</v>
      </c>
    </row>
    <row r="121" spans="1:13" ht="18" customHeight="1" x14ac:dyDescent="0.25">
      <c r="A121" s="44" t="s">
        <v>371</v>
      </c>
      <c r="B121" s="73" t="s">
        <v>377</v>
      </c>
      <c r="C121" s="46" t="s">
        <v>63</v>
      </c>
      <c r="D121" s="74">
        <v>1</v>
      </c>
      <c r="E121" s="65"/>
      <c r="F121" s="49"/>
      <c r="G121" s="49"/>
      <c r="H121" s="65">
        <v>471.2</v>
      </c>
      <c r="I121" s="49">
        <f>ROUND(H121*D121,2)</f>
        <v>471.2</v>
      </c>
      <c r="J121" s="49">
        <f>ROUND(I121*1.2,2)</f>
        <v>565.44000000000005</v>
      </c>
      <c r="K121" s="50">
        <f t="shared" si="138"/>
        <v>471.2</v>
      </c>
      <c r="L121" s="49">
        <f t="shared" si="139"/>
        <v>565.44000000000005</v>
      </c>
    </row>
    <row r="122" spans="1:13" ht="18" customHeight="1" x14ac:dyDescent="0.25">
      <c r="A122" s="129">
        <f>A120+1</f>
        <v>58</v>
      </c>
      <c r="B122" s="149" t="s">
        <v>538</v>
      </c>
      <c r="C122" s="129" t="s">
        <v>63</v>
      </c>
      <c r="D122" s="140">
        <v>1</v>
      </c>
      <c r="E122" s="150">
        <v>2314.11</v>
      </c>
      <c r="F122" s="131">
        <f t="shared" ref="F122" si="140">ROUND(E122*D122,2)</f>
        <v>2314.11</v>
      </c>
      <c r="G122" s="131">
        <f t="shared" ref="G122" si="141">ROUND(F122*1.2,2)</f>
        <v>2776.93</v>
      </c>
      <c r="H122" s="151"/>
      <c r="I122" s="131"/>
      <c r="J122" s="131"/>
      <c r="K122" s="133">
        <f t="shared" si="138"/>
        <v>2314.11</v>
      </c>
      <c r="L122" s="131">
        <f t="shared" si="139"/>
        <v>2776.93</v>
      </c>
    </row>
    <row r="123" spans="1:13" ht="18" customHeight="1" x14ac:dyDescent="0.25">
      <c r="A123" s="129">
        <f>A122+1</f>
        <v>59</v>
      </c>
      <c r="B123" s="149" t="s">
        <v>539</v>
      </c>
      <c r="C123" s="129" t="s">
        <v>63</v>
      </c>
      <c r="D123" s="140">
        <v>1</v>
      </c>
      <c r="E123" s="150">
        <v>2314.11</v>
      </c>
      <c r="F123" s="131">
        <f t="shared" ref="F123" si="142">ROUND(E123*D123,2)</f>
        <v>2314.11</v>
      </c>
      <c r="G123" s="131">
        <f t="shared" ref="G123" si="143">ROUND(F123*1.2,2)</f>
        <v>2776.93</v>
      </c>
      <c r="H123" s="151"/>
      <c r="I123" s="131"/>
      <c r="J123" s="131"/>
      <c r="K123" s="133">
        <f t="shared" ref="K123" si="144">F123+I123</f>
        <v>2314.11</v>
      </c>
      <c r="L123" s="131">
        <f t="shared" ref="L123" si="145">G123+J123</f>
        <v>2776.93</v>
      </c>
    </row>
    <row r="124" spans="1:13" ht="18" customHeight="1" x14ac:dyDescent="0.25">
      <c r="A124" s="129">
        <f t="shared" ref="A124:A125" si="146">A123+1</f>
        <v>60</v>
      </c>
      <c r="B124" s="149" t="s">
        <v>540</v>
      </c>
      <c r="C124" s="129" t="s">
        <v>63</v>
      </c>
      <c r="D124" s="140">
        <v>1</v>
      </c>
      <c r="E124" s="150">
        <v>2314.11</v>
      </c>
      <c r="F124" s="131">
        <f t="shared" ref="F124" si="147">ROUND(E124*D124,2)</f>
        <v>2314.11</v>
      </c>
      <c r="G124" s="131">
        <f t="shared" ref="G124" si="148">ROUND(F124*1.2,2)</f>
        <v>2776.93</v>
      </c>
      <c r="H124" s="151"/>
      <c r="I124" s="131"/>
      <c r="J124" s="131"/>
      <c r="K124" s="133">
        <f t="shared" ref="K124" si="149">F124+I124</f>
        <v>2314.11</v>
      </c>
      <c r="L124" s="131">
        <f t="shared" ref="L124" si="150">G124+J124</f>
        <v>2776.93</v>
      </c>
    </row>
    <row r="125" spans="1:13" ht="18" customHeight="1" x14ac:dyDescent="0.25">
      <c r="A125" s="121">
        <f t="shared" si="146"/>
        <v>61</v>
      </c>
      <c r="B125" s="138" t="s">
        <v>422</v>
      </c>
      <c r="C125" s="121" t="s">
        <v>63</v>
      </c>
      <c r="D125" s="147">
        <v>2</v>
      </c>
      <c r="E125" s="125">
        <v>4670.4399999999996</v>
      </c>
      <c r="F125" s="124">
        <f t="shared" ref="F125" si="151">ROUND(E125*D125,2)</f>
        <v>9340.8799999999992</v>
      </c>
      <c r="G125" s="124">
        <f t="shared" ref="G125" si="152">ROUND(F125*1.2,2)</f>
        <v>11209.06</v>
      </c>
      <c r="H125" s="125"/>
      <c r="I125" s="124"/>
      <c r="J125" s="124"/>
      <c r="K125" s="125">
        <f t="shared" ref="K125:K126" si="153">F125+I125</f>
        <v>9340.8799999999992</v>
      </c>
      <c r="L125" s="123">
        <f t="shared" ref="L125:L126" si="154">G125+J125</f>
        <v>11209.06</v>
      </c>
    </row>
    <row r="126" spans="1:13" ht="18" customHeight="1" x14ac:dyDescent="0.25">
      <c r="A126" s="44" t="s">
        <v>603</v>
      </c>
      <c r="B126" s="73" t="s">
        <v>381</v>
      </c>
      <c r="C126" s="46" t="s">
        <v>63</v>
      </c>
      <c r="D126" s="74">
        <v>2</v>
      </c>
      <c r="E126" s="65"/>
      <c r="F126" s="49"/>
      <c r="G126" s="49"/>
      <c r="H126" s="65">
        <v>3239.5</v>
      </c>
      <c r="I126" s="49">
        <f>ROUND(H126*D126,2)</f>
        <v>6479</v>
      </c>
      <c r="J126" s="49">
        <f>ROUND(I126*1.2,2)</f>
        <v>7774.8</v>
      </c>
      <c r="K126" s="50">
        <f t="shared" si="153"/>
        <v>6479</v>
      </c>
      <c r="L126" s="49">
        <f t="shared" si="154"/>
        <v>7774.8</v>
      </c>
    </row>
    <row r="127" spans="1:13" ht="18" customHeight="1" x14ac:dyDescent="0.25">
      <c r="A127" s="121">
        <f>A125+1</f>
        <v>62</v>
      </c>
      <c r="B127" s="138" t="s">
        <v>423</v>
      </c>
      <c r="C127" s="121" t="s">
        <v>63</v>
      </c>
      <c r="D127" s="147">
        <v>1</v>
      </c>
      <c r="E127" s="125">
        <v>3082.04</v>
      </c>
      <c r="F127" s="124">
        <f t="shared" ref="F127" si="155">ROUND(E127*D127,2)</f>
        <v>3082.04</v>
      </c>
      <c r="G127" s="124">
        <f t="shared" ref="G127" si="156">ROUND(F127*1.2,2)</f>
        <v>3698.45</v>
      </c>
      <c r="H127" s="125"/>
      <c r="I127" s="124"/>
      <c r="J127" s="124"/>
      <c r="K127" s="125">
        <f t="shared" ref="K127:L130" si="157">F127+I127</f>
        <v>3082.04</v>
      </c>
      <c r="L127" s="123">
        <f t="shared" si="157"/>
        <v>3698.45</v>
      </c>
    </row>
    <row r="128" spans="1:13" ht="20.25" customHeight="1" x14ac:dyDescent="0.25">
      <c r="A128" s="44" t="s">
        <v>604</v>
      </c>
      <c r="B128" s="73" t="s">
        <v>424</v>
      </c>
      <c r="C128" s="46" t="s">
        <v>63</v>
      </c>
      <c r="D128" s="74">
        <v>1</v>
      </c>
      <c r="E128" s="65"/>
      <c r="F128" s="49"/>
      <c r="G128" s="49"/>
      <c r="H128" s="65">
        <v>1421.2</v>
      </c>
      <c r="I128" s="49">
        <f>ROUND(H128*D128,2)</f>
        <v>1421.2</v>
      </c>
      <c r="J128" s="49">
        <f>ROUND(I128*1.2,2)</f>
        <v>1705.44</v>
      </c>
      <c r="K128" s="50">
        <f t="shared" si="157"/>
        <v>1421.2</v>
      </c>
      <c r="L128" s="49">
        <f t="shared" si="157"/>
        <v>1705.44</v>
      </c>
    </row>
    <row r="129" spans="1:13" ht="18" customHeight="1" x14ac:dyDescent="0.25">
      <c r="A129" s="129">
        <f>A127+1</f>
        <v>63</v>
      </c>
      <c r="B129" s="143" t="s">
        <v>378</v>
      </c>
      <c r="C129" s="129" t="s">
        <v>63</v>
      </c>
      <c r="D129" s="148">
        <v>1</v>
      </c>
      <c r="E129" s="133">
        <v>6232.95</v>
      </c>
      <c r="F129" s="132">
        <f t="shared" ref="F129" si="158">ROUND(E129*D129,2)</f>
        <v>6232.95</v>
      </c>
      <c r="G129" s="132">
        <f t="shared" ref="G129" si="159">ROUND(F129*1.2,2)</f>
        <v>7479.54</v>
      </c>
      <c r="H129" s="133"/>
      <c r="I129" s="132"/>
      <c r="J129" s="132"/>
      <c r="K129" s="133">
        <f t="shared" si="157"/>
        <v>6232.95</v>
      </c>
      <c r="L129" s="131">
        <f t="shared" si="157"/>
        <v>7479.54</v>
      </c>
      <c r="M129" s="66" t="s">
        <v>611</v>
      </c>
    </row>
    <row r="130" spans="1:13" ht="18" customHeight="1" x14ac:dyDescent="0.25">
      <c r="A130" s="44" t="s">
        <v>605</v>
      </c>
      <c r="B130" s="73" t="s">
        <v>379</v>
      </c>
      <c r="C130" s="46" t="s">
        <v>63</v>
      </c>
      <c r="D130" s="74">
        <v>1</v>
      </c>
      <c r="E130" s="65"/>
      <c r="F130" s="49"/>
      <c r="G130" s="49"/>
      <c r="H130" s="65">
        <f>ROUND(2208.64/1.2*1.15,2)</f>
        <v>2116.61</v>
      </c>
      <c r="I130" s="49">
        <f>ROUND(H130*D130,2)</f>
        <v>2116.61</v>
      </c>
      <c r="J130" s="49">
        <f>ROUND(I130*1.2,2)</f>
        <v>2539.9299999999998</v>
      </c>
      <c r="K130" s="50">
        <f t="shared" si="157"/>
        <v>2116.61</v>
      </c>
      <c r="L130" s="49">
        <f t="shared" si="157"/>
        <v>2539.9299999999998</v>
      </c>
      <c r="M130" s="66" t="s">
        <v>181</v>
      </c>
    </row>
    <row r="131" spans="1:13" s="61" customFormat="1" ht="20.25" customHeight="1" x14ac:dyDescent="0.25">
      <c r="A131" s="44"/>
      <c r="B131" s="42" t="s">
        <v>425</v>
      </c>
      <c r="C131" s="38"/>
      <c r="D131" s="96"/>
      <c r="E131" s="35"/>
      <c r="F131" s="35"/>
      <c r="G131" s="35"/>
      <c r="H131" s="35"/>
      <c r="I131" s="35"/>
      <c r="J131" s="35"/>
      <c r="K131" s="32"/>
      <c r="L131" s="35"/>
      <c r="M131" s="40"/>
    </row>
    <row r="132" spans="1:13" ht="30.75" customHeight="1" x14ac:dyDescent="0.25">
      <c r="A132" s="121">
        <f>A129+1</f>
        <v>64</v>
      </c>
      <c r="B132" s="138" t="s">
        <v>356</v>
      </c>
      <c r="C132" s="121" t="s">
        <v>63</v>
      </c>
      <c r="D132" s="146">
        <v>1</v>
      </c>
      <c r="E132" s="125">
        <v>7035.89</v>
      </c>
      <c r="F132" s="124">
        <f>ROUND(E132*D132,2)</f>
        <v>7035.89</v>
      </c>
      <c r="G132" s="124">
        <f t="shared" ref="G132" si="160">ROUND(F132*1.2,2)</f>
        <v>8443.07</v>
      </c>
      <c r="H132" s="125"/>
      <c r="I132" s="124"/>
      <c r="J132" s="124"/>
      <c r="K132" s="125">
        <f t="shared" ref="K132:K138" si="161">F132+I132</f>
        <v>7035.89</v>
      </c>
      <c r="L132" s="123">
        <f t="shared" ref="L132:L138" si="162">G132+J132</f>
        <v>8443.07</v>
      </c>
    </row>
    <row r="133" spans="1:13" ht="18" customHeight="1" x14ac:dyDescent="0.25">
      <c r="A133" s="44" t="s">
        <v>384</v>
      </c>
      <c r="B133" s="73" t="s">
        <v>357</v>
      </c>
      <c r="C133" s="46" t="s">
        <v>63</v>
      </c>
      <c r="D133" s="67">
        <v>1</v>
      </c>
      <c r="E133" s="65"/>
      <c r="F133" s="49"/>
      <c r="G133" s="49"/>
      <c r="H133" s="95">
        <v>16406.5</v>
      </c>
      <c r="I133" s="49">
        <f t="shared" ref="I133" si="163">ROUND(H133*D133,2)</f>
        <v>16406.5</v>
      </c>
      <c r="J133" s="49">
        <f t="shared" ref="J133" si="164">ROUND(I133*1.2,2)</f>
        <v>19687.8</v>
      </c>
      <c r="K133" s="65">
        <f t="shared" si="161"/>
        <v>16406.5</v>
      </c>
      <c r="L133" s="63">
        <f t="shared" si="162"/>
        <v>19687.8</v>
      </c>
    </row>
    <row r="134" spans="1:13" ht="19.5" customHeight="1" x14ac:dyDescent="0.25">
      <c r="A134" s="44" t="s">
        <v>606</v>
      </c>
      <c r="B134" s="73" t="s">
        <v>370</v>
      </c>
      <c r="C134" s="46" t="s">
        <v>63</v>
      </c>
      <c r="D134" s="74">
        <v>2</v>
      </c>
      <c r="E134" s="65"/>
      <c r="F134" s="49"/>
      <c r="G134" s="49"/>
      <c r="H134" s="65">
        <v>85.5</v>
      </c>
      <c r="I134" s="49">
        <f>ROUND(H134*D134,2)</f>
        <v>171</v>
      </c>
      <c r="J134" s="49">
        <f>ROUND(I134*1.2,2)</f>
        <v>205.2</v>
      </c>
      <c r="K134" s="50">
        <f t="shared" ref="K134" si="165">F134+I134</f>
        <v>171</v>
      </c>
      <c r="L134" s="49">
        <f t="shared" ref="L134" si="166">G134+J134</f>
        <v>205.2</v>
      </c>
    </row>
    <row r="135" spans="1:13" ht="21" customHeight="1" x14ac:dyDescent="0.25">
      <c r="A135" s="121">
        <f>A132+1</f>
        <v>65</v>
      </c>
      <c r="B135" s="138" t="s">
        <v>298</v>
      </c>
      <c r="C135" s="121" t="s">
        <v>63</v>
      </c>
      <c r="D135" s="147">
        <v>2</v>
      </c>
      <c r="E135" s="125">
        <v>6039.48</v>
      </c>
      <c r="F135" s="124">
        <f t="shared" ref="F135" si="167">ROUND(E135*D135,2)</f>
        <v>12078.96</v>
      </c>
      <c r="G135" s="124">
        <f t="shared" ref="G135" si="168">ROUND(F135*1.2,2)</f>
        <v>14494.75</v>
      </c>
      <c r="H135" s="125"/>
      <c r="I135" s="124"/>
      <c r="J135" s="124"/>
      <c r="K135" s="125">
        <f t="shared" si="161"/>
        <v>12078.96</v>
      </c>
      <c r="L135" s="123">
        <f t="shared" si="162"/>
        <v>14494.75</v>
      </c>
    </row>
    <row r="136" spans="1:13" ht="21" customHeight="1" x14ac:dyDescent="0.25">
      <c r="A136" s="44" t="s">
        <v>386</v>
      </c>
      <c r="B136" s="73" t="s">
        <v>372</v>
      </c>
      <c r="C136" s="46" t="s">
        <v>63</v>
      </c>
      <c r="D136" s="74">
        <v>2</v>
      </c>
      <c r="E136" s="65"/>
      <c r="F136" s="49"/>
      <c r="G136" s="49"/>
      <c r="H136" s="49">
        <v>2638.15</v>
      </c>
      <c r="I136" s="49">
        <f>ROUND(H136*D136,2)</f>
        <v>5276.3</v>
      </c>
      <c r="J136" s="49">
        <f>ROUND(I136*1.2,2)</f>
        <v>6331.56</v>
      </c>
      <c r="K136" s="50">
        <f t="shared" si="161"/>
        <v>5276.3</v>
      </c>
      <c r="L136" s="49">
        <f t="shared" si="162"/>
        <v>6331.56</v>
      </c>
    </row>
    <row r="137" spans="1:13" ht="36.75" customHeight="1" x14ac:dyDescent="0.25">
      <c r="A137" s="121">
        <f>A135+1</f>
        <v>66</v>
      </c>
      <c r="B137" s="138" t="s">
        <v>368</v>
      </c>
      <c r="C137" s="121" t="s">
        <v>63</v>
      </c>
      <c r="D137" s="147">
        <v>2</v>
      </c>
      <c r="E137" s="125">
        <v>6546.68</v>
      </c>
      <c r="F137" s="124">
        <f t="shared" ref="F137" si="169">ROUND(E137*D137,2)</f>
        <v>13093.36</v>
      </c>
      <c r="G137" s="124">
        <f t="shared" ref="G137" si="170">ROUND(F137*1.2,2)</f>
        <v>15712.03</v>
      </c>
      <c r="H137" s="125"/>
      <c r="I137" s="124"/>
      <c r="J137" s="124"/>
      <c r="K137" s="125">
        <f t="shared" si="161"/>
        <v>13093.36</v>
      </c>
      <c r="L137" s="123">
        <f t="shared" si="162"/>
        <v>15712.03</v>
      </c>
    </row>
    <row r="138" spans="1:13" ht="18" customHeight="1" x14ac:dyDescent="0.25">
      <c r="A138" s="44" t="s">
        <v>388</v>
      </c>
      <c r="B138" s="73" t="s">
        <v>190</v>
      </c>
      <c r="C138" s="46" t="s">
        <v>63</v>
      </c>
      <c r="D138" s="74">
        <v>2</v>
      </c>
      <c r="E138" s="65"/>
      <c r="F138" s="49"/>
      <c r="G138" s="49"/>
      <c r="H138" s="65">
        <v>2793</v>
      </c>
      <c r="I138" s="49">
        <f>ROUND(H138*D138,2)</f>
        <v>5586</v>
      </c>
      <c r="J138" s="49">
        <f>ROUND(I138*1.2,2)</f>
        <v>6703.2</v>
      </c>
      <c r="K138" s="50">
        <f t="shared" si="161"/>
        <v>5586</v>
      </c>
      <c r="L138" s="49">
        <f t="shared" si="162"/>
        <v>6703.2</v>
      </c>
    </row>
    <row r="139" spans="1:13" ht="28.5" customHeight="1" x14ac:dyDescent="0.25">
      <c r="A139" s="121">
        <f>A137+1</f>
        <v>67</v>
      </c>
      <c r="B139" s="138" t="s">
        <v>382</v>
      </c>
      <c r="C139" s="121" t="s">
        <v>63</v>
      </c>
      <c r="D139" s="147">
        <v>1</v>
      </c>
      <c r="E139" s="125">
        <v>2337</v>
      </c>
      <c r="F139" s="124">
        <f t="shared" ref="F139" si="171">ROUND(E139*D139,2)</f>
        <v>2337</v>
      </c>
      <c r="G139" s="124">
        <f t="shared" ref="G139" si="172">ROUND(F139*1.2,2)</f>
        <v>2804.4</v>
      </c>
      <c r="H139" s="125"/>
      <c r="I139" s="124"/>
      <c r="J139" s="124"/>
      <c r="K139" s="125">
        <f t="shared" ref="K139:L156" si="173">F139+I139</f>
        <v>2337</v>
      </c>
      <c r="L139" s="123">
        <f t="shared" si="173"/>
        <v>2804.4</v>
      </c>
      <c r="M139" s="66" t="s">
        <v>577</v>
      </c>
    </row>
    <row r="140" spans="1:13" ht="27" customHeight="1" x14ac:dyDescent="0.25">
      <c r="A140" s="44" t="s">
        <v>391</v>
      </c>
      <c r="B140" s="73" t="s">
        <v>383</v>
      </c>
      <c r="C140" s="46" t="s">
        <v>63</v>
      </c>
      <c r="D140" s="74">
        <v>1</v>
      </c>
      <c r="E140" s="65"/>
      <c r="F140" s="49"/>
      <c r="G140" s="49"/>
      <c r="H140" s="65">
        <v>14060.95</v>
      </c>
      <c r="I140" s="49">
        <f>ROUND(H140*D140,2)</f>
        <v>14060.95</v>
      </c>
      <c r="J140" s="49">
        <f>ROUND(I140*1.2,2)</f>
        <v>16873.14</v>
      </c>
      <c r="K140" s="50">
        <f t="shared" si="173"/>
        <v>14060.95</v>
      </c>
      <c r="L140" s="49">
        <f t="shared" si="173"/>
        <v>16873.14</v>
      </c>
      <c r="M140" s="66" t="s">
        <v>577</v>
      </c>
    </row>
    <row r="141" spans="1:13" ht="19.5" customHeight="1" x14ac:dyDescent="0.25">
      <c r="A141" s="44" t="s">
        <v>541</v>
      </c>
      <c r="B141" s="73" t="s">
        <v>428</v>
      </c>
      <c r="C141" s="46" t="s">
        <v>63</v>
      </c>
      <c r="D141" s="74">
        <v>2</v>
      </c>
      <c r="E141" s="65"/>
      <c r="F141" s="49"/>
      <c r="G141" s="49"/>
      <c r="H141" s="65">
        <v>26.6</v>
      </c>
      <c r="I141" s="49">
        <f>ROUND(H141*D141,2)</f>
        <v>53.2</v>
      </c>
      <c r="J141" s="49">
        <f>ROUND(I141*1.2,2)</f>
        <v>63.84</v>
      </c>
      <c r="K141" s="50">
        <f t="shared" ref="K141:K145" si="174">F141+I141</f>
        <v>53.2</v>
      </c>
      <c r="L141" s="49">
        <f t="shared" ref="L141:L145" si="175">G141+J141</f>
        <v>63.84</v>
      </c>
      <c r="M141" s="66" t="s">
        <v>577</v>
      </c>
    </row>
    <row r="142" spans="1:13" ht="21" customHeight="1" x14ac:dyDescent="0.25">
      <c r="A142" s="121">
        <f>A139+1</f>
        <v>68</v>
      </c>
      <c r="B142" s="138" t="s">
        <v>390</v>
      </c>
      <c r="C142" s="121" t="s">
        <v>63</v>
      </c>
      <c r="D142" s="147">
        <v>1</v>
      </c>
      <c r="E142" s="125">
        <v>1389.85</v>
      </c>
      <c r="F142" s="124">
        <f t="shared" ref="F142" si="176">ROUND(E142*D142,2)</f>
        <v>1389.85</v>
      </c>
      <c r="G142" s="124">
        <f t="shared" ref="G142" si="177">ROUND(F142*1.2,2)</f>
        <v>1667.82</v>
      </c>
      <c r="H142" s="125"/>
      <c r="I142" s="124"/>
      <c r="J142" s="124"/>
      <c r="K142" s="125">
        <f t="shared" si="174"/>
        <v>1389.85</v>
      </c>
      <c r="L142" s="123">
        <f t="shared" si="175"/>
        <v>1667.82</v>
      </c>
    </row>
    <row r="143" spans="1:13" ht="19.5" customHeight="1" x14ac:dyDescent="0.25">
      <c r="A143" s="44" t="s">
        <v>392</v>
      </c>
      <c r="B143" s="73" t="s">
        <v>141</v>
      </c>
      <c r="C143" s="46"/>
      <c r="D143" s="74">
        <v>1</v>
      </c>
      <c r="E143" s="65"/>
      <c r="F143" s="49"/>
      <c r="G143" s="49"/>
      <c r="H143" s="65">
        <v>585.20000000000005</v>
      </c>
      <c r="I143" s="49">
        <f>ROUND(H143*D143,2)</f>
        <v>585.20000000000005</v>
      </c>
      <c r="J143" s="49">
        <f>ROUND(I143*1.2,2)</f>
        <v>702.24</v>
      </c>
      <c r="K143" s="50">
        <f t="shared" si="174"/>
        <v>585.20000000000005</v>
      </c>
      <c r="L143" s="49">
        <f t="shared" si="175"/>
        <v>702.24</v>
      </c>
    </row>
    <row r="144" spans="1:13" ht="28.5" customHeight="1" x14ac:dyDescent="0.25">
      <c r="A144" s="121">
        <f>A142+1</f>
        <v>69</v>
      </c>
      <c r="B144" s="138" t="s">
        <v>387</v>
      </c>
      <c r="C144" s="121" t="s">
        <v>63</v>
      </c>
      <c r="D144" s="147">
        <v>1</v>
      </c>
      <c r="E144" s="125">
        <v>3601.88</v>
      </c>
      <c r="F144" s="124">
        <f t="shared" ref="F144" si="178">ROUND(E144*D144,2)</f>
        <v>3601.88</v>
      </c>
      <c r="G144" s="124">
        <f t="shared" ref="G144" si="179">ROUND(F144*1.2,2)</f>
        <v>4322.26</v>
      </c>
      <c r="H144" s="125"/>
      <c r="I144" s="124"/>
      <c r="J144" s="124"/>
      <c r="K144" s="125">
        <f t="shared" si="174"/>
        <v>3601.88</v>
      </c>
      <c r="L144" s="123">
        <f t="shared" si="175"/>
        <v>4322.26</v>
      </c>
    </row>
    <row r="145" spans="1:13" ht="18" customHeight="1" x14ac:dyDescent="0.25">
      <c r="A145" s="44" t="s">
        <v>393</v>
      </c>
      <c r="B145" s="73" t="s">
        <v>389</v>
      </c>
      <c r="C145" s="46" t="s">
        <v>63</v>
      </c>
      <c r="D145" s="74">
        <v>1</v>
      </c>
      <c r="E145" s="65"/>
      <c r="F145" s="49"/>
      <c r="G145" s="49"/>
      <c r="H145" s="65">
        <v>6897</v>
      </c>
      <c r="I145" s="49">
        <f>ROUND(H145*D145,2)</f>
        <v>6897</v>
      </c>
      <c r="J145" s="49">
        <f>ROUND(I145*1.2,2)</f>
        <v>8276.4</v>
      </c>
      <c r="K145" s="50">
        <f t="shared" si="174"/>
        <v>6897</v>
      </c>
      <c r="L145" s="49">
        <f t="shared" si="175"/>
        <v>8276.4</v>
      </c>
    </row>
    <row r="146" spans="1:13" ht="22.5" customHeight="1" x14ac:dyDescent="0.25">
      <c r="A146" s="121">
        <f>A144+1</f>
        <v>70</v>
      </c>
      <c r="B146" s="138" t="s">
        <v>543</v>
      </c>
      <c r="C146" s="121" t="s">
        <v>63</v>
      </c>
      <c r="D146" s="147">
        <v>1</v>
      </c>
      <c r="E146" s="125">
        <v>2370.25</v>
      </c>
      <c r="F146" s="124">
        <f t="shared" ref="F146" si="180">ROUND(E146*D146,2)</f>
        <v>2370.25</v>
      </c>
      <c r="G146" s="124">
        <f t="shared" ref="G146" si="181">ROUND(F146*1.2,2)</f>
        <v>2844.3</v>
      </c>
      <c r="H146" s="125"/>
      <c r="I146" s="124"/>
      <c r="J146" s="124"/>
      <c r="K146" s="125">
        <f t="shared" ref="K146:L149" si="182">F146+I146</f>
        <v>2370.25</v>
      </c>
      <c r="L146" s="123">
        <f t="shared" ref="L146:L147" si="183">G146+J146</f>
        <v>2844.3</v>
      </c>
    </row>
    <row r="147" spans="1:13" ht="18" customHeight="1" x14ac:dyDescent="0.25">
      <c r="A147" s="44" t="s">
        <v>429</v>
      </c>
      <c r="B147" s="73" t="s">
        <v>544</v>
      </c>
      <c r="C147" s="46" t="s">
        <v>63</v>
      </c>
      <c r="D147" s="74">
        <v>1</v>
      </c>
      <c r="E147" s="65"/>
      <c r="F147" s="49"/>
      <c r="G147" s="49"/>
      <c r="H147" s="49">
        <v>1254</v>
      </c>
      <c r="I147" s="49">
        <f>ROUND(H147*D147,2)</f>
        <v>1254</v>
      </c>
      <c r="J147" s="49">
        <f>ROUND(I147*1.2,2)</f>
        <v>1504.8</v>
      </c>
      <c r="K147" s="50">
        <f t="shared" si="182"/>
        <v>1254</v>
      </c>
      <c r="L147" s="49">
        <f t="shared" si="183"/>
        <v>1504.8</v>
      </c>
    </row>
    <row r="148" spans="1:13" ht="18.75" customHeight="1" x14ac:dyDescent="0.25">
      <c r="A148" s="121">
        <f>A146+1</f>
        <v>71</v>
      </c>
      <c r="B148" s="138" t="s">
        <v>70</v>
      </c>
      <c r="C148" s="152" t="s">
        <v>22</v>
      </c>
      <c r="D148" s="153">
        <v>1.5</v>
      </c>
      <c r="E148" s="125">
        <v>966.15</v>
      </c>
      <c r="F148" s="124">
        <f t="shared" ref="F148" si="184">ROUND(E148*D148,2)</f>
        <v>1449.23</v>
      </c>
      <c r="G148" s="124">
        <f t="shared" ref="G148" si="185">ROUND(F148*1.2,2)</f>
        <v>1739.08</v>
      </c>
      <c r="H148" s="145"/>
      <c r="I148" s="124"/>
      <c r="J148" s="124"/>
      <c r="K148" s="125">
        <f t="shared" si="182"/>
        <v>1449.23</v>
      </c>
      <c r="L148" s="123">
        <f t="shared" si="182"/>
        <v>1739.08</v>
      </c>
      <c r="M148" s="66" t="s">
        <v>577</v>
      </c>
    </row>
    <row r="149" spans="1:13" ht="18.75" customHeight="1" x14ac:dyDescent="0.25">
      <c r="A149" s="44" t="s">
        <v>546</v>
      </c>
      <c r="B149" s="45" t="s">
        <v>55</v>
      </c>
      <c r="C149" s="46" t="s">
        <v>22</v>
      </c>
      <c r="D149" s="71">
        <f>ROUND(1.02*D148,2)</f>
        <v>1.53</v>
      </c>
      <c r="E149" s="49"/>
      <c r="F149" s="49"/>
      <c r="G149" s="49"/>
      <c r="H149" s="63">
        <v>376.2</v>
      </c>
      <c r="I149" s="49">
        <f>ROUND(H149*D149,2)</f>
        <v>575.59</v>
      </c>
      <c r="J149" s="49">
        <f>ROUND(I149*1.2,2)</f>
        <v>690.71</v>
      </c>
      <c r="K149" s="50">
        <f t="shared" si="182"/>
        <v>575.59</v>
      </c>
      <c r="L149" s="49">
        <f t="shared" si="182"/>
        <v>690.71</v>
      </c>
      <c r="M149" s="66" t="s">
        <v>577</v>
      </c>
    </row>
    <row r="150" spans="1:13" ht="18.75" customHeight="1" x14ac:dyDescent="0.25">
      <c r="A150" s="129">
        <f>A148+1</f>
        <v>72</v>
      </c>
      <c r="B150" s="143" t="s">
        <v>426</v>
      </c>
      <c r="C150" s="129" t="s">
        <v>63</v>
      </c>
      <c r="D150" s="148">
        <v>1</v>
      </c>
      <c r="E150" s="133">
        <v>1389.85</v>
      </c>
      <c r="F150" s="132">
        <f t="shared" ref="F150" si="186">ROUND(E150*D150,2)</f>
        <v>1389.85</v>
      </c>
      <c r="G150" s="132">
        <f t="shared" ref="G150" si="187">ROUND(F150*1.2,2)</f>
        <v>1667.82</v>
      </c>
      <c r="H150" s="155"/>
      <c r="I150" s="132"/>
      <c r="J150" s="132"/>
      <c r="K150" s="133">
        <f t="shared" ref="K150:K152" si="188">F150+I150</f>
        <v>1389.85</v>
      </c>
      <c r="L150" s="131">
        <f t="shared" ref="L150:L152" si="189">G150+J150</f>
        <v>1667.82</v>
      </c>
      <c r="M150" s="21"/>
    </row>
    <row r="151" spans="1:13" ht="18.75" customHeight="1" x14ac:dyDescent="0.25">
      <c r="A151" s="44" t="s">
        <v>547</v>
      </c>
      <c r="B151" s="45" t="s">
        <v>427</v>
      </c>
      <c r="C151" s="46" t="s">
        <v>63</v>
      </c>
      <c r="D151" s="82">
        <v>1</v>
      </c>
      <c r="E151" s="49"/>
      <c r="F151" s="49"/>
      <c r="G151" s="49"/>
      <c r="H151" s="63">
        <f>27160.71/2</f>
        <v>13580.355</v>
      </c>
      <c r="I151" s="49">
        <f>ROUND(H151*D151,2)</f>
        <v>13580.36</v>
      </c>
      <c r="J151" s="49">
        <f>ROUND(I151*1.2,2)</f>
        <v>16296.43</v>
      </c>
      <c r="K151" s="50">
        <f t="shared" si="188"/>
        <v>13580.36</v>
      </c>
      <c r="L151" s="49">
        <f t="shared" si="189"/>
        <v>16296.43</v>
      </c>
      <c r="M151" s="66" t="s">
        <v>155</v>
      </c>
    </row>
    <row r="152" spans="1:13" ht="18" customHeight="1" x14ac:dyDescent="0.25">
      <c r="A152" s="129">
        <f>A150+1</f>
        <v>73</v>
      </c>
      <c r="B152" s="149" t="s">
        <v>542</v>
      </c>
      <c r="C152" s="129" t="s">
        <v>63</v>
      </c>
      <c r="D152" s="140">
        <v>1</v>
      </c>
      <c r="E152" s="150">
        <v>2314.11</v>
      </c>
      <c r="F152" s="131">
        <f t="shared" ref="F152" si="190">ROUND(E152*D152,2)</f>
        <v>2314.11</v>
      </c>
      <c r="G152" s="131">
        <f t="shared" ref="G152" si="191">ROUND(F152*1.2,2)</f>
        <v>2776.93</v>
      </c>
      <c r="H152" s="151"/>
      <c r="I152" s="131"/>
      <c r="J152" s="131"/>
      <c r="K152" s="133">
        <f t="shared" si="188"/>
        <v>2314.11</v>
      </c>
      <c r="L152" s="131">
        <f t="shared" si="189"/>
        <v>2776.93</v>
      </c>
    </row>
    <row r="153" spans="1:13" ht="21" customHeight="1" x14ac:dyDescent="0.25">
      <c r="A153" s="121">
        <f>A152+1</f>
        <v>74</v>
      </c>
      <c r="B153" s="138" t="s">
        <v>545</v>
      </c>
      <c r="C153" s="121" t="s">
        <v>63</v>
      </c>
      <c r="D153" s="146">
        <v>1</v>
      </c>
      <c r="E153" s="125">
        <v>2351.0100000000002</v>
      </c>
      <c r="F153" s="123">
        <f t="shared" ref="F153:F154" si="192">ROUND(E153*D153,2)</f>
        <v>2351.0100000000002</v>
      </c>
      <c r="G153" s="123">
        <f t="shared" ref="G153:G154" si="193">ROUND(F153*1.2,2)</f>
        <v>2821.21</v>
      </c>
      <c r="H153" s="154"/>
      <c r="I153" s="123"/>
      <c r="J153" s="123"/>
      <c r="K153" s="125">
        <f t="shared" ref="K153:K154" si="194">F153+I153</f>
        <v>2351.0100000000002</v>
      </c>
      <c r="L153" s="123">
        <f t="shared" ref="L153:L154" si="195">G153+J153</f>
        <v>2821.21</v>
      </c>
    </row>
    <row r="154" spans="1:13" ht="18" customHeight="1" x14ac:dyDescent="0.25">
      <c r="A154" s="129">
        <f t="shared" ref="A154:A155" si="196">A153+1</f>
        <v>75</v>
      </c>
      <c r="B154" s="149" t="s">
        <v>539</v>
      </c>
      <c r="C154" s="129" t="s">
        <v>63</v>
      </c>
      <c r="D154" s="140">
        <v>1</v>
      </c>
      <c r="E154" s="150">
        <v>2314.11</v>
      </c>
      <c r="F154" s="131">
        <f t="shared" si="192"/>
        <v>2314.11</v>
      </c>
      <c r="G154" s="131">
        <f t="shared" si="193"/>
        <v>2776.93</v>
      </c>
      <c r="H154" s="151"/>
      <c r="I154" s="131"/>
      <c r="J154" s="131"/>
      <c r="K154" s="133">
        <f t="shared" si="194"/>
        <v>2314.11</v>
      </c>
      <c r="L154" s="131">
        <f t="shared" si="195"/>
        <v>2776.93</v>
      </c>
    </row>
    <row r="155" spans="1:13" ht="18" customHeight="1" x14ac:dyDescent="0.25">
      <c r="A155" s="121">
        <f t="shared" si="196"/>
        <v>76</v>
      </c>
      <c r="B155" s="138" t="s">
        <v>380</v>
      </c>
      <c r="C155" s="121" t="s">
        <v>63</v>
      </c>
      <c r="D155" s="147">
        <v>2</v>
      </c>
      <c r="E155" s="125">
        <v>4670.4399999999996</v>
      </c>
      <c r="F155" s="124">
        <v>5175</v>
      </c>
      <c r="G155" s="124">
        <v>6210</v>
      </c>
      <c r="H155" s="125"/>
      <c r="I155" s="124"/>
      <c r="J155" s="124"/>
      <c r="K155" s="125">
        <f t="shared" si="173"/>
        <v>5175</v>
      </c>
      <c r="L155" s="123">
        <f t="shared" si="173"/>
        <v>6210</v>
      </c>
    </row>
    <row r="156" spans="1:13" ht="18" customHeight="1" x14ac:dyDescent="0.25">
      <c r="A156" s="44" t="s">
        <v>607</v>
      </c>
      <c r="B156" s="73" t="s">
        <v>381</v>
      </c>
      <c r="C156" s="46" t="s">
        <v>63</v>
      </c>
      <c r="D156" s="74">
        <v>2</v>
      </c>
      <c r="E156" s="65"/>
      <c r="F156" s="49"/>
      <c r="G156" s="49"/>
      <c r="H156" s="65">
        <v>3239.5</v>
      </c>
      <c r="I156" s="49">
        <f>ROUND(H156*D156,2)</f>
        <v>6479</v>
      </c>
      <c r="J156" s="49">
        <f>ROUND(I156*1.2,2)</f>
        <v>7774.8</v>
      </c>
      <c r="K156" s="50">
        <f t="shared" si="173"/>
        <v>6479</v>
      </c>
      <c r="L156" s="49">
        <f t="shared" si="173"/>
        <v>7774.8</v>
      </c>
    </row>
    <row r="157" spans="1:13" ht="23.25" customHeight="1" x14ac:dyDescent="0.25">
      <c r="A157" s="203" t="s">
        <v>144</v>
      </c>
      <c r="B157" s="204"/>
      <c r="C157" s="204"/>
      <c r="D157" s="204"/>
      <c r="E157" s="205"/>
      <c r="F157" s="109">
        <f>SUM(F7:F156)</f>
        <v>917814.98999999953</v>
      </c>
      <c r="G157" s="109">
        <f>ROUND(F157*1.2,2)</f>
        <v>1101377.99</v>
      </c>
      <c r="H157" s="110"/>
      <c r="I157" s="109">
        <f>SUM(I7:I156)</f>
        <v>870933.77999999968</v>
      </c>
      <c r="J157" s="109">
        <f>ROUND(I157*1.2,2)</f>
        <v>1045120.54</v>
      </c>
      <c r="K157" s="109">
        <f>SUM(K7:K156)</f>
        <v>1788748.7700000005</v>
      </c>
      <c r="L157" s="109">
        <f>ROUND(K157*1.2,2)</f>
        <v>2146498.52</v>
      </c>
    </row>
    <row r="159" spans="1:13" x14ac:dyDescent="0.25">
      <c r="B159" s="174" t="s">
        <v>586</v>
      </c>
    </row>
    <row r="160" spans="1:13" x14ac:dyDescent="0.25">
      <c r="B160" s="175" t="s">
        <v>587</v>
      </c>
    </row>
  </sheetData>
  <mergeCells count="27">
    <mergeCell ref="A157:E157"/>
    <mergeCell ref="E22:E25"/>
    <mergeCell ref="E35:E37"/>
    <mergeCell ref="E1:L2"/>
    <mergeCell ref="E3:G3"/>
    <mergeCell ref="H3:J3"/>
    <mergeCell ref="K3:L3"/>
    <mergeCell ref="B6:D6"/>
    <mergeCell ref="L35:L37"/>
    <mergeCell ref="F35:F37"/>
    <mergeCell ref="G35:G37"/>
    <mergeCell ref="H35:H37"/>
    <mergeCell ref="I35:I37"/>
    <mergeCell ref="J35:J37"/>
    <mergeCell ref="K35:K37"/>
    <mergeCell ref="M22:M25"/>
    <mergeCell ref="A1:A4"/>
    <mergeCell ref="B1:B4"/>
    <mergeCell ref="C1:C4"/>
    <mergeCell ref="D1:D4"/>
    <mergeCell ref="I22:I25"/>
    <mergeCell ref="J22:J25"/>
    <mergeCell ref="F22:F25"/>
    <mergeCell ref="G22:G25"/>
    <mergeCell ref="H22:H25"/>
    <mergeCell ref="L22:L25"/>
    <mergeCell ref="K22:K25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M40"/>
  <sheetViews>
    <sheetView view="pageBreakPreview" topLeftCell="A13" zoomScale="80" zoomScaleNormal="100" zoomScaleSheetLayoutView="80" workbookViewId="0">
      <selection activeCell="K20" sqref="K20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style="116" customWidth="1"/>
    <col min="6" max="6" width="16" customWidth="1"/>
    <col min="7" max="7" width="17.140625" style="89" customWidth="1"/>
    <col min="8" max="8" width="16.140625" style="89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194" t="s">
        <v>0</v>
      </c>
      <c r="B1" s="197" t="s">
        <v>8</v>
      </c>
      <c r="C1" s="200" t="s">
        <v>9</v>
      </c>
      <c r="D1" s="200" t="s">
        <v>10</v>
      </c>
      <c r="E1" s="206" t="s">
        <v>11</v>
      </c>
      <c r="F1" s="207"/>
      <c r="G1" s="207"/>
      <c r="H1" s="207"/>
      <c r="I1" s="207"/>
      <c r="J1" s="207"/>
      <c r="K1" s="207"/>
      <c r="L1" s="207"/>
    </row>
    <row r="2" spans="1:13" ht="14.45" customHeight="1" x14ac:dyDescent="0.25">
      <c r="A2" s="195"/>
      <c r="B2" s="198"/>
      <c r="C2" s="200"/>
      <c r="D2" s="200"/>
      <c r="E2" s="208"/>
      <c r="F2" s="209"/>
      <c r="G2" s="209"/>
      <c r="H2" s="209"/>
      <c r="I2" s="209"/>
      <c r="J2" s="209"/>
      <c r="K2" s="209"/>
      <c r="L2" s="209"/>
    </row>
    <row r="3" spans="1:13" ht="27.75" customHeight="1" x14ac:dyDescent="0.25">
      <c r="A3" s="195"/>
      <c r="B3" s="198"/>
      <c r="C3" s="200"/>
      <c r="D3" s="200"/>
      <c r="E3" s="200" t="s">
        <v>12</v>
      </c>
      <c r="F3" s="200"/>
      <c r="G3" s="200"/>
      <c r="H3" s="200" t="s">
        <v>13</v>
      </c>
      <c r="I3" s="200"/>
      <c r="J3" s="200"/>
      <c r="K3" s="190" t="s">
        <v>14</v>
      </c>
      <c r="L3" s="190"/>
    </row>
    <row r="4" spans="1:13" ht="56.1" customHeight="1" x14ac:dyDescent="0.25">
      <c r="A4" s="196"/>
      <c r="B4" s="199"/>
      <c r="C4" s="200"/>
      <c r="D4" s="200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210" t="s">
        <v>394</v>
      </c>
      <c r="C6" s="211"/>
      <c r="D6" s="211"/>
      <c r="E6" s="27"/>
      <c r="F6" s="28"/>
      <c r="G6" s="29"/>
      <c r="H6" s="29"/>
      <c r="I6" s="29"/>
      <c r="J6" s="29"/>
      <c r="K6" s="29"/>
      <c r="L6" s="29"/>
      <c r="M6" s="111" t="s">
        <v>432</v>
      </c>
    </row>
    <row r="7" spans="1:13" ht="18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22.5" customHeight="1" x14ac:dyDescent="0.25">
      <c r="A8" s="119">
        <v>1</v>
      </c>
      <c r="B8" s="120" t="s">
        <v>395</v>
      </c>
      <c r="C8" s="164" t="s">
        <v>63</v>
      </c>
      <c r="D8" s="146">
        <v>42</v>
      </c>
      <c r="E8" s="123">
        <v>1055.02</v>
      </c>
      <c r="F8" s="124">
        <f t="shared" ref="F8:F11" si="0">ROUND(E8*D8,2)</f>
        <v>44310.84</v>
      </c>
      <c r="G8" s="124">
        <f t="shared" ref="G8:G11" si="1">ROUND(F8*1.2,2)</f>
        <v>53173.01</v>
      </c>
      <c r="H8" s="154"/>
      <c r="I8" s="124"/>
      <c r="J8" s="124"/>
      <c r="K8" s="126">
        <f t="shared" ref="K8:L11" si="2">F8+I8</f>
        <v>44310.84</v>
      </c>
      <c r="L8" s="124">
        <f t="shared" si="2"/>
        <v>53173.01</v>
      </c>
      <c r="M8" s="66" t="s">
        <v>25</v>
      </c>
    </row>
    <row r="9" spans="1:13" ht="22.5" customHeight="1" x14ac:dyDescent="0.25">
      <c r="A9" s="127">
        <f>A8+1</f>
        <v>2</v>
      </c>
      <c r="B9" s="128" t="s">
        <v>21</v>
      </c>
      <c r="C9" s="129" t="s">
        <v>22</v>
      </c>
      <c r="D9" s="130">
        <v>50.06</v>
      </c>
      <c r="E9" s="131">
        <v>3500</v>
      </c>
      <c r="F9" s="131">
        <f t="shared" si="0"/>
        <v>175210</v>
      </c>
      <c r="G9" s="131">
        <f t="shared" si="1"/>
        <v>210252</v>
      </c>
      <c r="H9" s="151"/>
      <c r="I9" s="131"/>
      <c r="J9" s="131"/>
      <c r="K9" s="133">
        <f t="shared" si="2"/>
        <v>175210</v>
      </c>
      <c r="L9" s="131">
        <f t="shared" si="2"/>
        <v>210252</v>
      </c>
      <c r="M9" s="40" t="s">
        <v>609</v>
      </c>
    </row>
    <row r="10" spans="1:13" ht="22.5" customHeight="1" x14ac:dyDescent="0.25">
      <c r="A10" s="119">
        <f>A9+1</f>
        <v>3</v>
      </c>
      <c r="B10" s="120" t="s">
        <v>23</v>
      </c>
      <c r="C10" s="121" t="s">
        <v>24</v>
      </c>
      <c r="D10" s="135">
        <v>32.159999999999997</v>
      </c>
      <c r="E10" s="123">
        <f>ROUND(65055.24/(297.03*0.05),2)</f>
        <v>4380.38</v>
      </c>
      <c r="F10" s="124">
        <f t="shared" si="0"/>
        <v>140873.01999999999</v>
      </c>
      <c r="G10" s="124">
        <f t="shared" si="1"/>
        <v>169047.62</v>
      </c>
      <c r="H10" s="154"/>
      <c r="I10" s="124"/>
      <c r="J10" s="124"/>
      <c r="K10" s="126">
        <f t="shared" si="2"/>
        <v>140873.01999999999</v>
      </c>
      <c r="L10" s="124">
        <f t="shared" si="2"/>
        <v>169047.62</v>
      </c>
      <c r="M10" s="21" t="s">
        <v>25</v>
      </c>
    </row>
    <row r="11" spans="1:13" ht="22.5" customHeight="1" x14ac:dyDescent="0.25">
      <c r="A11" s="119">
        <f t="shared" ref="A11" si="3">A10+1</f>
        <v>4</v>
      </c>
      <c r="B11" s="120" t="s">
        <v>26</v>
      </c>
      <c r="C11" s="121" t="s">
        <v>24</v>
      </c>
      <c r="D11" s="135">
        <v>47.78</v>
      </c>
      <c r="E11" s="125">
        <v>304</v>
      </c>
      <c r="F11" s="124">
        <f t="shared" si="0"/>
        <v>14525.12</v>
      </c>
      <c r="G11" s="124">
        <f t="shared" si="1"/>
        <v>17430.14</v>
      </c>
      <c r="H11" s="124"/>
      <c r="I11" s="124"/>
      <c r="J11" s="124"/>
      <c r="K11" s="126">
        <f t="shared" si="2"/>
        <v>14525.12</v>
      </c>
      <c r="L11" s="124">
        <f t="shared" si="2"/>
        <v>17430.14</v>
      </c>
      <c r="M11" s="21" t="s">
        <v>25</v>
      </c>
    </row>
    <row r="12" spans="1:13" ht="20.25" customHeight="1" x14ac:dyDescent="0.25">
      <c r="A12" s="30"/>
      <c r="B12" s="31" t="s">
        <v>396</v>
      </c>
      <c r="C12" s="91"/>
      <c r="D12" s="39"/>
      <c r="E12" s="59"/>
      <c r="F12" s="33"/>
      <c r="G12" s="33"/>
      <c r="H12" s="35"/>
      <c r="I12" s="35"/>
      <c r="J12" s="35"/>
      <c r="K12" s="32"/>
      <c r="L12" s="35"/>
    </row>
    <row r="13" spans="1:13" ht="25.5" customHeight="1" x14ac:dyDescent="0.25">
      <c r="A13" s="119">
        <f>A11+1</f>
        <v>5</v>
      </c>
      <c r="B13" s="138" t="s">
        <v>397</v>
      </c>
      <c r="C13" s="121" t="s">
        <v>22</v>
      </c>
      <c r="D13" s="135">
        <v>41.62</v>
      </c>
      <c r="E13" s="125">
        <v>828.5</v>
      </c>
      <c r="F13" s="124">
        <f t="shared" ref="F13" si="4">ROUND(E13*D13,2)</f>
        <v>34482.17</v>
      </c>
      <c r="G13" s="124">
        <f t="shared" ref="G13" si="5">ROUND(F13*1.2,2)</f>
        <v>41378.6</v>
      </c>
      <c r="H13" s="124"/>
      <c r="I13" s="124"/>
      <c r="J13" s="124"/>
      <c r="K13" s="126">
        <f t="shared" ref="K13:L13" si="6">F13+I13</f>
        <v>34482.17</v>
      </c>
      <c r="L13" s="124">
        <f t="shared" si="6"/>
        <v>41378.6</v>
      </c>
      <c r="M13" s="21" t="s">
        <v>153</v>
      </c>
    </row>
    <row r="14" spans="1:13" ht="20.25" customHeight="1" x14ac:dyDescent="0.25">
      <c r="A14" s="30"/>
      <c r="B14" s="102" t="s">
        <v>227</v>
      </c>
      <c r="C14" s="38"/>
      <c r="D14" s="39"/>
      <c r="E14" s="117"/>
      <c r="F14" s="35"/>
      <c r="G14" s="35"/>
      <c r="H14" s="35"/>
      <c r="I14" s="35"/>
      <c r="J14" s="35"/>
      <c r="K14" s="32"/>
      <c r="L14" s="35"/>
      <c r="M14" s="66"/>
    </row>
    <row r="15" spans="1:13" ht="24" customHeight="1" x14ac:dyDescent="0.25">
      <c r="A15" s="119">
        <f>A13+1</f>
        <v>6</v>
      </c>
      <c r="B15" s="120" t="s">
        <v>27</v>
      </c>
      <c r="C15" s="121" t="s">
        <v>37</v>
      </c>
      <c r="D15" s="135">
        <v>128.97999999999999</v>
      </c>
      <c r="E15" s="123">
        <v>431.37</v>
      </c>
      <c r="F15" s="124">
        <f>ROUND(E15*D15,2)</f>
        <v>55638.1</v>
      </c>
      <c r="G15" s="124">
        <f t="shared" ref="G15" si="7">ROUND(F15*1.2,2)</f>
        <v>66765.72</v>
      </c>
      <c r="H15" s="154"/>
      <c r="I15" s="124"/>
      <c r="J15" s="124"/>
      <c r="K15" s="126">
        <f t="shared" ref="K15:L15" si="8">F15+I15</f>
        <v>55638.1</v>
      </c>
      <c r="L15" s="124">
        <f t="shared" si="8"/>
        <v>66765.72</v>
      </c>
      <c r="M15" s="66" t="s">
        <v>153</v>
      </c>
    </row>
    <row r="16" spans="1:13" ht="20.25" customHeight="1" x14ac:dyDescent="0.25">
      <c r="A16" s="51"/>
      <c r="B16" s="42" t="s">
        <v>43</v>
      </c>
      <c r="C16" s="38"/>
      <c r="D16" s="52"/>
      <c r="E16" s="53"/>
      <c r="F16" s="54"/>
      <c r="G16" s="55"/>
      <c r="H16" s="56"/>
      <c r="I16" s="57"/>
      <c r="J16" s="57"/>
      <c r="K16" s="58"/>
      <c r="L16" s="57"/>
    </row>
    <row r="17" spans="1:13" ht="24" customHeight="1" x14ac:dyDescent="0.25">
      <c r="A17" s="119">
        <f>A15+1</f>
        <v>7</v>
      </c>
      <c r="B17" s="120" t="s">
        <v>44</v>
      </c>
      <c r="C17" s="121" t="s">
        <v>24</v>
      </c>
      <c r="D17" s="135">
        <v>245.95</v>
      </c>
      <c r="E17" s="125">
        <v>308.75</v>
      </c>
      <c r="F17" s="124">
        <f t="shared" ref="F17:F22" si="9">ROUND(E17*D17,2)</f>
        <v>75937.06</v>
      </c>
      <c r="G17" s="124">
        <f t="shared" ref="G17:G22" si="10">ROUND(F17*1.2,2)</f>
        <v>91124.47</v>
      </c>
      <c r="H17" s="136"/>
      <c r="I17" s="137"/>
      <c r="J17" s="137"/>
      <c r="K17" s="125">
        <f t="shared" ref="K17:L22" si="11">F17+I17</f>
        <v>75937.06</v>
      </c>
      <c r="L17" s="123">
        <f t="shared" si="11"/>
        <v>91124.47</v>
      </c>
    </row>
    <row r="18" spans="1:13" ht="24" customHeight="1" x14ac:dyDescent="0.25">
      <c r="A18" s="119">
        <f>A17+1</f>
        <v>8</v>
      </c>
      <c r="B18" s="120" t="s">
        <v>45</v>
      </c>
      <c r="C18" s="121" t="s">
        <v>24</v>
      </c>
      <c r="D18" s="135">
        <v>7.6</v>
      </c>
      <c r="E18" s="125">
        <v>1688.15</v>
      </c>
      <c r="F18" s="124">
        <f t="shared" si="9"/>
        <v>12829.94</v>
      </c>
      <c r="G18" s="124">
        <f t="shared" si="10"/>
        <v>15395.93</v>
      </c>
      <c r="H18" s="136"/>
      <c r="I18" s="137"/>
      <c r="J18" s="137"/>
      <c r="K18" s="125">
        <f t="shared" si="11"/>
        <v>12829.94</v>
      </c>
      <c r="L18" s="123">
        <f t="shared" si="11"/>
        <v>15395.93</v>
      </c>
    </row>
    <row r="19" spans="1:13" ht="24" customHeight="1" x14ac:dyDescent="0.25">
      <c r="A19" s="119">
        <f>A18+1</f>
        <v>9</v>
      </c>
      <c r="B19" s="120" t="s">
        <v>228</v>
      </c>
      <c r="C19" s="121" t="s">
        <v>24</v>
      </c>
      <c r="D19" s="135">
        <v>40.56</v>
      </c>
      <c r="E19" s="125">
        <v>1310.05</v>
      </c>
      <c r="F19" s="124">
        <f t="shared" si="9"/>
        <v>53135.63</v>
      </c>
      <c r="G19" s="124">
        <f t="shared" si="10"/>
        <v>63762.76</v>
      </c>
      <c r="H19" s="124"/>
      <c r="I19" s="124"/>
      <c r="J19" s="124"/>
      <c r="K19" s="126">
        <f t="shared" si="11"/>
        <v>53135.63</v>
      </c>
      <c r="L19" s="124">
        <f t="shared" si="11"/>
        <v>63762.76</v>
      </c>
    </row>
    <row r="20" spans="1:13" ht="20.25" customHeight="1" x14ac:dyDescent="0.25">
      <c r="A20" s="44" t="s">
        <v>442</v>
      </c>
      <c r="B20" s="45" t="s">
        <v>48</v>
      </c>
      <c r="C20" s="46" t="s">
        <v>24</v>
      </c>
      <c r="D20" s="47">
        <f>D19*1.1</f>
        <v>44.616000000000007</v>
      </c>
      <c r="E20" s="65"/>
      <c r="F20" s="49"/>
      <c r="G20" s="49"/>
      <c r="H20" s="49">
        <v>1191.3</v>
      </c>
      <c r="I20" s="49">
        <f>ROUND(H20*D20,2)</f>
        <v>53151.040000000001</v>
      </c>
      <c r="J20" s="49">
        <f>ROUND(I20*1.2,2)</f>
        <v>63781.25</v>
      </c>
      <c r="K20" s="50">
        <f t="shared" si="11"/>
        <v>53151.040000000001</v>
      </c>
      <c r="L20" s="49">
        <f t="shared" si="11"/>
        <v>63781.25</v>
      </c>
    </row>
    <row r="21" spans="1:13" s="61" customFormat="1" ht="22.5" customHeight="1" x14ac:dyDescent="0.25">
      <c r="A21" s="121">
        <f>A19+1</f>
        <v>10</v>
      </c>
      <c r="B21" s="120" t="s">
        <v>148</v>
      </c>
      <c r="C21" s="121" t="s">
        <v>24</v>
      </c>
      <c r="D21" s="135">
        <v>238.74</v>
      </c>
      <c r="E21" s="125">
        <v>118.75</v>
      </c>
      <c r="F21" s="124">
        <f t="shared" si="9"/>
        <v>28350.38</v>
      </c>
      <c r="G21" s="124">
        <f t="shared" si="10"/>
        <v>34020.46</v>
      </c>
      <c r="H21" s="136"/>
      <c r="I21" s="137"/>
      <c r="J21" s="137"/>
      <c r="K21" s="125">
        <f t="shared" si="11"/>
        <v>28350.38</v>
      </c>
      <c r="L21" s="123">
        <f t="shared" si="11"/>
        <v>34020.46</v>
      </c>
      <c r="M21" s="60"/>
    </row>
    <row r="22" spans="1:13" ht="22.5" customHeight="1" x14ac:dyDescent="0.25">
      <c r="A22" s="119">
        <f>A21+1</f>
        <v>11</v>
      </c>
      <c r="B22" s="120" t="s">
        <v>575</v>
      </c>
      <c r="C22" s="121" t="s">
        <v>24</v>
      </c>
      <c r="D22" s="135">
        <v>279.3</v>
      </c>
      <c r="E22" s="125">
        <v>188.1</v>
      </c>
      <c r="F22" s="124">
        <f t="shared" si="9"/>
        <v>52536.33</v>
      </c>
      <c r="G22" s="124">
        <f t="shared" si="10"/>
        <v>63043.6</v>
      </c>
      <c r="H22" s="125"/>
      <c r="I22" s="124"/>
      <c r="J22" s="124"/>
      <c r="K22" s="125">
        <f t="shared" si="11"/>
        <v>52536.33</v>
      </c>
      <c r="L22" s="123">
        <f t="shared" si="11"/>
        <v>63043.6</v>
      </c>
    </row>
    <row r="23" spans="1:13" ht="21" customHeight="1" x14ac:dyDescent="0.25">
      <c r="A23" s="44"/>
      <c r="B23" s="42" t="s">
        <v>52</v>
      </c>
      <c r="C23" s="38"/>
      <c r="D23" s="52"/>
      <c r="E23" s="53"/>
      <c r="F23" s="54"/>
      <c r="G23" s="55"/>
      <c r="H23" s="62"/>
      <c r="I23" s="35"/>
      <c r="J23" s="35"/>
      <c r="K23" s="32"/>
      <c r="L23" s="35"/>
    </row>
    <row r="24" spans="1:13" ht="21.75" customHeight="1" x14ac:dyDescent="0.25">
      <c r="A24" s="127">
        <f>A22+1</f>
        <v>12</v>
      </c>
      <c r="B24" s="128" t="s">
        <v>159</v>
      </c>
      <c r="C24" s="129" t="s">
        <v>160</v>
      </c>
      <c r="D24" s="140">
        <v>3</v>
      </c>
      <c r="E24" s="133">
        <v>9339.7999999999993</v>
      </c>
      <c r="F24" s="131">
        <f t="shared" ref="F24:F26" si="12">ROUND(E24*D24,2)</f>
        <v>28019.4</v>
      </c>
      <c r="G24" s="131">
        <f t="shared" ref="G24:G26" si="13">ROUND(F24*1.2,2)</f>
        <v>33623.279999999999</v>
      </c>
      <c r="H24" s="151"/>
      <c r="I24" s="131"/>
      <c r="J24" s="131"/>
      <c r="K24" s="133">
        <f t="shared" ref="K24:L36" si="14">F24+I24</f>
        <v>28019.4</v>
      </c>
      <c r="L24" s="131">
        <f t="shared" si="14"/>
        <v>33623.279999999999</v>
      </c>
      <c r="M24" s="66" t="s">
        <v>161</v>
      </c>
    </row>
    <row r="25" spans="1:13" ht="21.75" customHeight="1" x14ac:dyDescent="0.25">
      <c r="A25" s="127">
        <f>A24+1</f>
        <v>13</v>
      </c>
      <c r="B25" s="128" t="s">
        <v>162</v>
      </c>
      <c r="C25" s="129" t="s">
        <v>160</v>
      </c>
      <c r="D25" s="140">
        <v>3</v>
      </c>
      <c r="E25" s="133">
        <f>ROUND(2803.18*1.33,2)</f>
        <v>3728.23</v>
      </c>
      <c r="F25" s="131">
        <f t="shared" si="12"/>
        <v>11184.69</v>
      </c>
      <c r="G25" s="131">
        <f t="shared" si="13"/>
        <v>13421.63</v>
      </c>
      <c r="H25" s="151"/>
      <c r="I25" s="131"/>
      <c r="J25" s="131"/>
      <c r="K25" s="133">
        <f t="shared" si="14"/>
        <v>11184.69</v>
      </c>
      <c r="L25" s="131">
        <f t="shared" si="14"/>
        <v>13421.63</v>
      </c>
      <c r="M25" s="66" t="s">
        <v>71</v>
      </c>
    </row>
    <row r="26" spans="1:13" ht="37.5" customHeight="1" x14ac:dyDescent="0.25">
      <c r="A26" s="119">
        <f>A25+1</f>
        <v>14</v>
      </c>
      <c r="B26" s="120" t="s">
        <v>163</v>
      </c>
      <c r="C26" s="121" t="s">
        <v>22</v>
      </c>
      <c r="D26" s="135">
        <v>38.14</v>
      </c>
      <c r="E26" s="125">
        <v>5050.3900000000003</v>
      </c>
      <c r="F26" s="124">
        <f t="shared" si="12"/>
        <v>192621.87</v>
      </c>
      <c r="G26" s="124">
        <f t="shared" si="13"/>
        <v>231146.23999999999</v>
      </c>
      <c r="H26" s="145"/>
      <c r="I26" s="124"/>
      <c r="J26" s="124"/>
      <c r="K26" s="125">
        <f t="shared" si="14"/>
        <v>192621.87</v>
      </c>
      <c r="L26" s="123">
        <f t="shared" si="14"/>
        <v>231146.23999999999</v>
      </c>
    </row>
    <row r="27" spans="1:13" ht="27.75" customHeight="1" x14ac:dyDescent="0.25">
      <c r="A27" s="44" t="s">
        <v>443</v>
      </c>
      <c r="B27" s="45" t="s">
        <v>399</v>
      </c>
      <c r="C27" s="46" t="s">
        <v>22</v>
      </c>
      <c r="D27" s="47">
        <f>1.02*38.14</f>
        <v>38.902799999999999</v>
      </c>
      <c r="E27" s="65"/>
      <c r="F27" s="63"/>
      <c r="G27" s="63"/>
      <c r="H27" s="63">
        <v>12001.35</v>
      </c>
      <c r="I27" s="63">
        <f>ROUND(H27*D27,2)</f>
        <v>466886.12</v>
      </c>
      <c r="J27" s="63">
        <f>ROUND(I27*1.2,2)</f>
        <v>560263.34</v>
      </c>
      <c r="K27" s="65">
        <f t="shared" si="14"/>
        <v>466886.12</v>
      </c>
      <c r="L27" s="63">
        <f t="shared" si="14"/>
        <v>560263.34</v>
      </c>
    </row>
    <row r="28" spans="1:13" ht="36.75" customHeight="1" x14ac:dyDescent="0.25">
      <c r="A28" s="127">
        <f>A26+1</f>
        <v>15</v>
      </c>
      <c r="B28" s="128" t="s">
        <v>165</v>
      </c>
      <c r="C28" s="129" t="s">
        <v>22</v>
      </c>
      <c r="D28" s="130">
        <v>38.14</v>
      </c>
      <c r="E28" s="133">
        <f>ROUND(1572.68*1.33,2)</f>
        <v>2091.66</v>
      </c>
      <c r="F28" s="132">
        <f t="shared" ref="F28" si="15">ROUND(E28*D28,2)</f>
        <v>79775.91</v>
      </c>
      <c r="G28" s="132">
        <f t="shared" ref="G28" si="16">ROUND(F28*1.2,2)</f>
        <v>95731.09</v>
      </c>
      <c r="H28" s="155"/>
      <c r="I28" s="132"/>
      <c r="J28" s="132"/>
      <c r="K28" s="133">
        <f t="shared" si="14"/>
        <v>79775.91</v>
      </c>
      <c r="L28" s="131">
        <f t="shared" si="14"/>
        <v>95731.09</v>
      </c>
      <c r="M28" s="66" t="s">
        <v>71</v>
      </c>
    </row>
    <row r="29" spans="1:13" ht="21" customHeight="1" x14ac:dyDescent="0.25">
      <c r="A29" s="44" t="s">
        <v>54</v>
      </c>
      <c r="B29" s="45" t="s">
        <v>166</v>
      </c>
      <c r="C29" s="46" t="s">
        <v>22</v>
      </c>
      <c r="D29" s="47">
        <f>1.02*38.14</f>
        <v>38.902799999999999</v>
      </c>
      <c r="E29" s="65"/>
      <c r="F29" s="49"/>
      <c r="G29" s="49"/>
      <c r="H29" s="49">
        <v>3124.17</v>
      </c>
      <c r="I29" s="49">
        <f>ROUND(H29*D29,2)</f>
        <v>121538.96</v>
      </c>
      <c r="J29" s="49">
        <f>ROUND(I29*1.2,2)</f>
        <v>145846.75</v>
      </c>
      <c r="K29" s="50">
        <f t="shared" si="14"/>
        <v>121538.96</v>
      </c>
      <c r="L29" s="49">
        <f t="shared" si="14"/>
        <v>145846.75</v>
      </c>
    </row>
    <row r="30" spans="1:13" ht="24.75" customHeight="1" x14ac:dyDescent="0.25">
      <c r="A30" s="44" t="s">
        <v>573</v>
      </c>
      <c r="B30" s="45" t="s">
        <v>168</v>
      </c>
      <c r="C30" s="46" t="s">
        <v>63</v>
      </c>
      <c r="D30" s="67">
        <v>19</v>
      </c>
      <c r="E30" s="65"/>
      <c r="F30" s="49"/>
      <c r="G30" s="49"/>
      <c r="H30" s="49">
        <v>1641.6</v>
      </c>
      <c r="I30" s="49">
        <f>ROUND(H30*D30,2)</f>
        <v>31190.400000000001</v>
      </c>
      <c r="J30" s="49">
        <f>ROUND(I30*1.2,2)</f>
        <v>37428.480000000003</v>
      </c>
      <c r="K30" s="50">
        <f t="shared" si="14"/>
        <v>31190.400000000001</v>
      </c>
      <c r="L30" s="49">
        <f t="shared" si="14"/>
        <v>37428.480000000003</v>
      </c>
    </row>
    <row r="31" spans="1:13" ht="36.75" customHeight="1" x14ac:dyDescent="0.25">
      <c r="A31" s="119">
        <f>A28+1</f>
        <v>16</v>
      </c>
      <c r="B31" s="120" t="s">
        <v>430</v>
      </c>
      <c r="C31" s="121" t="s">
        <v>22</v>
      </c>
      <c r="D31" s="135">
        <v>38.18</v>
      </c>
      <c r="E31" s="125">
        <v>1419.5</v>
      </c>
      <c r="F31" s="124">
        <f t="shared" ref="F31" si="17">ROUND(E31*D31,2)</f>
        <v>54196.51</v>
      </c>
      <c r="G31" s="124">
        <f t="shared" ref="G31" si="18">ROUND(F31*1.2,2)</f>
        <v>65035.81</v>
      </c>
      <c r="H31" s="145"/>
      <c r="I31" s="124"/>
      <c r="J31" s="124"/>
      <c r="K31" s="125">
        <f t="shared" ref="K31:K32" si="19">F31+I31</f>
        <v>54196.51</v>
      </c>
      <c r="L31" s="123">
        <f t="shared" ref="L31:L32" si="20">G31+J31</f>
        <v>65035.81</v>
      </c>
      <c r="M31" s="66"/>
    </row>
    <row r="32" spans="1:13" ht="21" customHeight="1" x14ac:dyDescent="0.25">
      <c r="A32" s="44" t="s">
        <v>57</v>
      </c>
      <c r="B32" s="45" t="s">
        <v>166</v>
      </c>
      <c r="C32" s="46" t="s">
        <v>22</v>
      </c>
      <c r="D32" s="47">
        <f>1.02*D31</f>
        <v>38.943600000000004</v>
      </c>
      <c r="E32" s="65"/>
      <c r="F32" s="49"/>
      <c r="G32" s="49"/>
      <c r="H32" s="49">
        <v>3142.17</v>
      </c>
      <c r="I32" s="49">
        <f>ROUND(H32*D32,2)</f>
        <v>122367.41</v>
      </c>
      <c r="J32" s="49">
        <f>ROUND(I32*1.2,2)</f>
        <v>146840.89000000001</v>
      </c>
      <c r="K32" s="50">
        <f t="shared" si="19"/>
        <v>122367.41</v>
      </c>
      <c r="L32" s="49">
        <f t="shared" si="20"/>
        <v>146840.89000000001</v>
      </c>
    </row>
    <row r="33" spans="1:13" ht="45" x14ac:dyDescent="0.25">
      <c r="A33" s="119">
        <f>A31+1</f>
        <v>17</v>
      </c>
      <c r="B33" s="120" t="s">
        <v>400</v>
      </c>
      <c r="C33" s="121" t="s">
        <v>63</v>
      </c>
      <c r="D33" s="146">
        <v>2</v>
      </c>
      <c r="E33" s="125">
        <v>4670.4399999999996</v>
      </c>
      <c r="F33" s="124">
        <f t="shared" ref="F33:F35" si="21">ROUND(E33*D33,2)</f>
        <v>9340.8799999999992</v>
      </c>
      <c r="G33" s="124">
        <f t="shared" ref="G33:G35" si="22">ROUND(F33*1.2,2)</f>
        <v>11209.06</v>
      </c>
      <c r="H33" s="145"/>
      <c r="I33" s="124"/>
      <c r="J33" s="124"/>
      <c r="K33" s="125">
        <f t="shared" si="14"/>
        <v>9340.8799999999992</v>
      </c>
      <c r="L33" s="123">
        <f t="shared" si="14"/>
        <v>11209.06</v>
      </c>
    </row>
    <row r="34" spans="1:13" ht="30.4" customHeight="1" x14ac:dyDescent="0.25">
      <c r="A34" s="44" t="s">
        <v>60</v>
      </c>
      <c r="B34" s="45" t="s">
        <v>401</v>
      </c>
      <c r="C34" s="46" t="s">
        <v>63</v>
      </c>
      <c r="D34" s="67">
        <v>2</v>
      </c>
      <c r="E34" s="65"/>
      <c r="F34" s="49"/>
      <c r="G34" s="49"/>
      <c r="H34" s="49">
        <v>3239.5</v>
      </c>
      <c r="I34" s="49">
        <f>ROUND(H34*D34,2)</f>
        <v>6479</v>
      </c>
      <c r="J34" s="49">
        <f>ROUND(I34*1.2,2)</f>
        <v>7774.8</v>
      </c>
      <c r="K34" s="50">
        <f t="shared" si="14"/>
        <v>6479</v>
      </c>
      <c r="L34" s="49">
        <f t="shared" si="14"/>
        <v>7774.8</v>
      </c>
    </row>
    <row r="35" spans="1:13" ht="30" x14ac:dyDescent="0.25">
      <c r="A35" s="119">
        <f>A33+1</f>
        <v>18</v>
      </c>
      <c r="B35" s="120" t="s">
        <v>66</v>
      </c>
      <c r="C35" s="121" t="s">
        <v>24</v>
      </c>
      <c r="D35" s="135">
        <v>4.9400000000000004</v>
      </c>
      <c r="E35" s="125">
        <v>8327.42</v>
      </c>
      <c r="F35" s="124">
        <f t="shared" si="21"/>
        <v>41137.449999999997</v>
      </c>
      <c r="G35" s="124">
        <f t="shared" si="22"/>
        <v>49364.94</v>
      </c>
      <c r="H35" s="145"/>
      <c r="I35" s="124"/>
      <c r="J35" s="124"/>
      <c r="K35" s="125">
        <f t="shared" si="14"/>
        <v>41137.449999999997</v>
      </c>
      <c r="L35" s="123">
        <f t="shared" si="14"/>
        <v>49364.94</v>
      </c>
    </row>
    <row r="36" spans="1:13" x14ac:dyDescent="0.25">
      <c r="A36" s="44" t="s">
        <v>65</v>
      </c>
      <c r="B36" s="45" t="s">
        <v>68</v>
      </c>
      <c r="C36" s="46" t="s">
        <v>24</v>
      </c>
      <c r="D36" s="47">
        <f>1.02*4.94</f>
        <v>5.0388000000000002</v>
      </c>
      <c r="E36" s="65"/>
      <c r="F36" s="49"/>
      <c r="G36" s="49"/>
      <c r="H36" s="49">
        <v>3657.5</v>
      </c>
      <c r="I36" s="49">
        <f t="shared" ref="I36" si="23">ROUND(H36*D36,2)</f>
        <v>18429.41</v>
      </c>
      <c r="J36" s="49">
        <f t="shared" ref="J36" si="24">ROUND(I36*1.2,2)</f>
        <v>22115.29</v>
      </c>
      <c r="K36" s="50">
        <f t="shared" si="14"/>
        <v>18429.41</v>
      </c>
      <c r="L36" s="49">
        <f t="shared" si="14"/>
        <v>22115.29</v>
      </c>
      <c r="M36" s="64"/>
    </row>
    <row r="37" spans="1:13" s="87" customFormat="1" ht="24" customHeight="1" x14ac:dyDescent="0.3">
      <c r="A37" s="212" t="s">
        <v>144</v>
      </c>
      <c r="B37" s="213"/>
      <c r="C37" s="213"/>
      <c r="D37" s="213"/>
      <c r="E37" s="214"/>
      <c r="F37" s="109">
        <f>SUM(F7:F36)</f>
        <v>1104105.2999999996</v>
      </c>
      <c r="G37" s="109">
        <f>ROUND(F37*1.2,2)</f>
        <v>1324926.3600000001</v>
      </c>
      <c r="H37" s="113"/>
      <c r="I37" s="109">
        <f>SUM(I7:I36)</f>
        <v>820042.34000000008</v>
      </c>
      <c r="J37" s="109">
        <f>ROUND(I37*1.2,2)</f>
        <v>984050.81</v>
      </c>
      <c r="K37" s="109">
        <f>SUM(K7:K36)</f>
        <v>1924147.6399999994</v>
      </c>
      <c r="L37" s="109">
        <f>ROUND(K37*1.2,2)</f>
        <v>2308977.17</v>
      </c>
      <c r="M37" s="86"/>
    </row>
    <row r="39" spans="1:13" x14ac:dyDescent="0.25">
      <c r="B39" s="174" t="s">
        <v>586</v>
      </c>
      <c r="K39" s="88"/>
    </row>
    <row r="40" spans="1:13" x14ac:dyDescent="0.25">
      <c r="B40" s="175" t="s">
        <v>587</v>
      </c>
    </row>
  </sheetData>
  <mergeCells count="10">
    <mergeCell ref="B6:D6"/>
    <mergeCell ref="A37:E3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M62"/>
  <sheetViews>
    <sheetView view="pageBreakPreview" topLeftCell="A40" zoomScale="80" zoomScaleNormal="100" zoomScaleSheetLayoutView="80" workbookViewId="0">
      <selection activeCell="G38" sqref="G38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style="116" customWidth="1"/>
    <col min="6" max="6" width="16" customWidth="1"/>
    <col min="7" max="7" width="17.140625" style="89" customWidth="1"/>
    <col min="8" max="8" width="16.140625" style="89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194" t="s">
        <v>0</v>
      </c>
      <c r="B1" s="197" t="s">
        <v>8</v>
      </c>
      <c r="C1" s="200" t="s">
        <v>9</v>
      </c>
      <c r="D1" s="200" t="s">
        <v>10</v>
      </c>
      <c r="E1" s="206" t="s">
        <v>11</v>
      </c>
      <c r="F1" s="207"/>
      <c r="G1" s="207"/>
      <c r="H1" s="207"/>
      <c r="I1" s="207"/>
      <c r="J1" s="207"/>
      <c r="K1" s="207"/>
      <c r="L1" s="207"/>
    </row>
    <row r="2" spans="1:13" ht="14.45" customHeight="1" x14ac:dyDescent="0.25">
      <c r="A2" s="195"/>
      <c r="B2" s="198"/>
      <c r="C2" s="200"/>
      <c r="D2" s="200"/>
      <c r="E2" s="208"/>
      <c r="F2" s="209"/>
      <c r="G2" s="209"/>
      <c r="H2" s="209"/>
      <c r="I2" s="209"/>
      <c r="J2" s="209"/>
      <c r="K2" s="209"/>
      <c r="L2" s="209"/>
    </row>
    <row r="3" spans="1:13" ht="27.75" customHeight="1" x14ac:dyDescent="0.25">
      <c r="A3" s="195"/>
      <c r="B3" s="198"/>
      <c r="C3" s="200"/>
      <c r="D3" s="200"/>
      <c r="E3" s="200" t="s">
        <v>12</v>
      </c>
      <c r="F3" s="200"/>
      <c r="G3" s="200"/>
      <c r="H3" s="200" t="s">
        <v>13</v>
      </c>
      <c r="I3" s="200"/>
      <c r="J3" s="200"/>
      <c r="K3" s="190" t="s">
        <v>14</v>
      </c>
      <c r="L3" s="190"/>
    </row>
    <row r="4" spans="1:13" ht="56.1" customHeight="1" x14ac:dyDescent="0.25">
      <c r="A4" s="196"/>
      <c r="B4" s="199"/>
      <c r="C4" s="200"/>
      <c r="D4" s="200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210" t="s">
        <v>431</v>
      </c>
      <c r="C6" s="211"/>
      <c r="D6" s="211"/>
      <c r="E6" s="27"/>
      <c r="F6" s="28"/>
      <c r="G6" s="29"/>
      <c r="H6" s="29"/>
      <c r="I6" s="29"/>
      <c r="J6" s="29"/>
      <c r="K6" s="29"/>
      <c r="L6" s="29"/>
      <c r="M6" s="111" t="s">
        <v>432</v>
      </c>
    </row>
    <row r="7" spans="1:13" ht="18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22.5" customHeight="1" x14ac:dyDescent="0.25">
      <c r="A8" s="119">
        <v>1</v>
      </c>
      <c r="B8" s="120" t="s">
        <v>395</v>
      </c>
      <c r="C8" s="164" t="s">
        <v>63</v>
      </c>
      <c r="D8" s="146">
        <v>5</v>
      </c>
      <c r="E8" s="123">
        <v>1055.02</v>
      </c>
      <c r="F8" s="124">
        <f t="shared" ref="F8:F11" si="0">ROUND(E8*D8,2)</f>
        <v>5275.1</v>
      </c>
      <c r="G8" s="124">
        <f t="shared" ref="G8:G11" si="1">ROUND(F8*1.2,2)</f>
        <v>6330.12</v>
      </c>
      <c r="H8" s="154"/>
      <c r="I8" s="124"/>
      <c r="J8" s="124"/>
      <c r="K8" s="126">
        <f t="shared" ref="K8:L11" si="2">F8+I8</f>
        <v>5275.1</v>
      </c>
      <c r="L8" s="124">
        <f t="shared" si="2"/>
        <v>6330.12</v>
      </c>
      <c r="M8" s="66" t="s">
        <v>25</v>
      </c>
    </row>
    <row r="9" spans="1:13" ht="22.5" customHeight="1" x14ac:dyDescent="0.25">
      <c r="A9" s="127">
        <f>A8+1</f>
        <v>2</v>
      </c>
      <c r="B9" s="128" t="s">
        <v>21</v>
      </c>
      <c r="C9" s="129" t="s">
        <v>22</v>
      </c>
      <c r="D9" s="130">
        <v>15.15</v>
      </c>
      <c r="E9" s="131">
        <v>3500</v>
      </c>
      <c r="F9" s="131">
        <f t="shared" si="0"/>
        <v>53025</v>
      </c>
      <c r="G9" s="131">
        <f t="shared" si="1"/>
        <v>63630</v>
      </c>
      <c r="H9" s="151"/>
      <c r="I9" s="131"/>
      <c r="J9" s="131"/>
      <c r="K9" s="133">
        <f t="shared" si="2"/>
        <v>53025</v>
      </c>
      <c r="L9" s="131">
        <f t="shared" si="2"/>
        <v>63630</v>
      </c>
      <c r="M9" s="40" t="s">
        <v>609</v>
      </c>
    </row>
    <row r="10" spans="1:13" ht="22.5" customHeight="1" x14ac:dyDescent="0.25">
      <c r="A10" s="119">
        <f>A9+1</f>
        <v>3</v>
      </c>
      <c r="B10" s="120" t="s">
        <v>23</v>
      </c>
      <c r="C10" s="121" t="s">
        <v>24</v>
      </c>
      <c r="D10" s="135">
        <v>4.53</v>
      </c>
      <c r="E10" s="123">
        <f>ROUND(65055.24/(297.03*0.05),2)</f>
        <v>4380.38</v>
      </c>
      <c r="F10" s="124">
        <f t="shared" si="0"/>
        <v>19843.12</v>
      </c>
      <c r="G10" s="124">
        <f t="shared" si="1"/>
        <v>23811.74</v>
      </c>
      <c r="H10" s="154"/>
      <c r="I10" s="124"/>
      <c r="J10" s="124"/>
      <c r="K10" s="126">
        <f t="shared" si="2"/>
        <v>19843.12</v>
      </c>
      <c r="L10" s="124">
        <f t="shared" si="2"/>
        <v>23811.74</v>
      </c>
      <c r="M10" s="21" t="s">
        <v>25</v>
      </c>
    </row>
    <row r="11" spans="1:13" ht="22.5" customHeight="1" x14ac:dyDescent="0.25">
      <c r="A11" s="119">
        <f t="shared" ref="A11" si="3">A10+1</f>
        <v>4</v>
      </c>
      <c r="B11" s="120" t="s">
        <v>26</v>
      </c>
      <c r="C11" s="121" t="s">
        <v>24</v>
      </c>
      <c r="D11" s="135">
        <v>6.84</v>
      </c>
      <c r="E11" s="125">
        <v>304</v>
      </c>
      <c r="F11" s="124">
        <f t="shared" si="0"/>
        <v>2079.36</v>
      </c>
      <c r="G11" s="124">
        <f t="shared" si="1"/>
        <v>2495.23</v>
      </c>
      <c r="H11" s="124"/>
      <c r="I11" s="124"/>
      <c r="J11" s="124"/>
      <c r="K11" s="126">
        <f t="shared" si="2"/>
        <v>2079.36</v>
      </c>
      <c r="L11" s="124">
        <f t="shared" si="2"/>
        <v>2495.23</v>
      </c>
      <c r="M11" s="21" t="s">
        <v>25</v>
      </c>
    </row>
    <row r="12" spans="1:13" ht="20.25" customHeight="1" x14ac:dyDescent="0.25">
      <c r="A12" s="30"/>
      <c r="B12" s="102" t="s">
        <v>227</v>
      </c>
      <c r="C12" s="38"/>
      <c r="D12" s="39"/>
      <c r="E12" s="117"/>
      <c r="F12" s="35"/>
      <c r="G12" s="35"/>
      <c r="H12" s="35"/>
      <c r="I12" s="35"/>
      <c r="J12" s="35"/>
      <c r="K12" s="32"/>
      <c r="L12" s="35"/>
      <c r="M12" s="66"/>
    </row>
    <row r="13" spans="1:13" ht="24" customHeight="1" x14ac:dyDescent="0.25">
      <c r="A13" s="119">
        <f>A11+1</f>
        <v>5</v>
      </c>
      <c r="B13" s="120" t="s">
        <v>27</v>
      </c>
      <c r="C13" s="121" t="s">
        <v>37</v>
      </c>
      <c r="D13" s="135">
        <v>18.23</v>
      </c>
      <c r="E13" s="123">
        <v>431.37</v>
      </c>
      <c r="F13" s="124">
        <f t="shared" ref="F13" si="4">ROUND(E13*D13,2)</f>
        <v>7863.88</v>
      </c>
      <c r="G13" s="124">
        <f t="shared" ref="G13" si="5">ROUND(F13*1.2,2)</f>
        <v>9436.66</v>
      </c>
      <c r="H13" s="154"/>
      <c r="I13" s="124"/>
      <c r="J13" s="124"/>
      <c r="K13" s="126">
        <f t="shared" ref="K13:L13" si="6">F13+I13</f>
        <v>7863.88</v>
      </c>
      <c r="L13" s="124">
        <f t="shared" si="6"/>
        <v>9436.66</v>
      </c>
      <c r="M13" s="66" t="s">
        <v>153</v>
      </c>
    </row>
    <row r="14" spans="1:13" ht="20.25" customHeight="1" x14ac:dyDescent="0.25">
      <c r="A14" s="51"/>
      <c r="B14" s="42" t="s">
        <v>43</v>
      </c>
      <c r="C14" s="38"/>
      <c r="D14" s="52"/>
      <c r="E14" s="53"/>
      <c r="F14" s="54"/>
      <c r="G14" s="55"/>
      <c r="H14" s="56"/>
      <c r="I14" s="57"/>
      <c r="J14" s="57"/>
      <c r="K14" s="58"/>
      <c r="L14" s="57"/>
    </row>
    <row r="15" spans="1:13" ht="24" customHeight="1" x14ac:dyDescent="0.25">
      <c r="A15" s="119">
        <f>A13+1</f>
        <v>6</v>
      </c>
      <c r="B15" s="120" t="s">
        <v>44</v>
      </c>
      <c r="C15" s="121" t="s">
        <v>24</v>
      </c>
      <c r="D15" s="135">
        <v>40.229999999999997</v>
      </c>
      <c r="E15" s="125">
        <v>308.75</v>
      </c>
      <c r="F15" s="124">
        <f t="shared" ref="F15:F22" si="7">ROUND(E15*D15,2)</f>
        <v>12421.01</v>
      </c>
      <c r="G15" s="124">
        <f t="shared" ref="G15:G22" si="8">ROUND(F15*1.2,2)</f>
        <v>14905.21</v>
      </c>
      <c r="H15" s="136"/>
      <c r="I15" s="137"/>
      <c r="J15" s="137"/>
      <c r="K15" s="125">
        <f t="shared" ref="K15:L22" si="9">F15+I15</f>
        <v>12421.01</v>
      </c>
      <c r="L15" s="123">
        <f t="shared" si="9"/>
        <v>14905.21</v>
      </c>
    </row>
    <row r="16" spans="1:13" ht="24" customHeight="1" x14ac:dyDescent="0.25">
      <c r="A16" s="119">
        <f>A15+1</f>
        <v>7</v>
      </c>
      <c r="B16" s="120" t="s">
        <v>45</v>
      </c>
      <c r="C16" s="121" t="s">
        <v>24</v>
      </c>
      <c r="D16" s="135">
        <v>1.1100000000000001</v>
      </c>
      <c r="E16" s="125">
        <v>1688.15</v>
      </c>
      <c r="F16" s="124">
        <f t="shared" si="7"/>
        <v>1873.85</v>
      </c>
      <c r="G16" s="124">
        <f t="shared" si="8"/>
        <v>2248.62</v>
      </c>
      <c r="H16" s="136"/>
      <c r="I16" s="137"/>
      <c r="J16" s="137"/>
      <c r="K16" s="125">
        <f t="shared" si="9"/>
        <v>1873.85</v>
      </c>
      <c r="L16" s="123">
        <f t="shared" si="9"/>
        <v>2248.62</v>
      </c>
    </row>
    <row r="17" spans="1:13" ht="20.25" customHeight="1" x14ac:dyDescent="0.25">
      <c r="A17" s="119">
        <f>A16+1</f>
        <v>8</v>
      </c>
      <c r="B17" s="120" t="s">
        <v>433</v>
      </c>
      <c r="C17" s="121" t="s">
        <v>331</v>
      </c>
      <c r="D17" s="135">
        <v>1.04</v>
      </c>
      <c r="E17" s="125">
        <v>1350.9</v>
      </c>
      <c r="F17" s="123">
        <f>ROUND(E17*D17,2)</f>
        <v>1404.94</v>
      </c>
      <c r="G17" s="123">
        <f t="shared" si="8"/>
        <v>1685.93</v>
      </c>
      <c r="H17" s="154"/>
      <c r="I17" s="123"/>
      <c r="J17" s="123"/>
      <c r="K17" s="125">
        <f t="shared" si="9"/>
        <v>1404.94</v>
      </c>
      <c r="L17" s="123">
        <f t="shared" si="9"/>
        <v>1685.93</v>
      </c>
      <c r="M17" s="66" t="s">
        <v>153</v>
      </c>
    </row>
    <row r="18" spans="1:13" ht="20.25" customHeight="1" x14ac:dyDescent="0.25">
      <c r="A18" s="44" t="s">
        <v>42</v>
      </c>
      <c r="B18" s="45" t="s">
        <v>154</v>
      </c>
      <c r="C18" s="46" t="s">
        <v>24</v>
      </c>
      <c r="D18" s="47">
        <f>D17*1.26</f>
        <v>1.3104</v>
      </c>
      <c r="E18" s="65"/>
      <c r="F18" s="63"/>
      <c r="G18" s="63"/>
      <c r="H18" s="65">
        <v>1299.5999999999999</v>
      </c>
      <c r="I18" s="49">
        <f>ROUND(H18*D18,2)</f>
        <v>1703</v>
      </c>
      <c r="J18" s="49">
        <f>ROUND(I18*1.2,2)</f>
        <v>2043.6</v>
      </c>
      <c r="K18" s="50">
        <f t="shared" si="9"/>
        <v>1703</v>
      </c>
      <c r="L18" s="49">
        <f t="shared" si="9"/>
        <v>2043.6</v>
      </c>
      <c r="M18" s="64"/>
    </row>
    <row r="19" spans="1:13" ht="24" customHeight="1" x14ac:dyDescent="0.25">
      <c r="A19" s="119">
        <f>A16+1</f>
        <v>8</v>
      </c>
      <c r="B19" s="138" t="s">
        <v>336</v>
      </c>
      <c r="C19" s="121" t="s">
        <v>24</v>
      </c>
      <c r="D19" s="135">
        <v>26.8</v>
      </c>
      <c r="E19" s="125">
        <v>1310.05</v>
      </c>
      <c r="F19" s="124">
        <f t="shared" si="7"/>
        <v>35109.339999999997</v>
      </c>
      <c r="G19" s="124">
        <f t="shared" si="8"/>
        <v>42131.21</v>
      </c>
      <c r="H19" s="124"/>
      <c r="I19" s="124"/>
      <c r="J19" s="124"/>
      <c r="K19" s="126">
        <f t="shared" si="9"/>
        <v>35109.339999999997</v>
      </c>
      <c r="L19" s="124">
        <f t="shared" si="9"/>
        <v>42131.21</v>
      </c>
    </row>
    <row r="20" spans="1:13" ht="20.25" customHeight="1" x14ac:dyDescent="0.25">
      <c r="A20" s="44" t="s">
        <v>442</v>
      </c>
      <c r="B20" s="45" t="s">
        <v>48</v>
      </c>
      <c r="C20" s="46" t="s">
        <v>24</v>
      </c>
      <c r="D20" s="47">
        <f>D19*1.1</f>
        <v>29.480000000000004</v>
      </c>
      <c r="E20" s="65"/>
      <c r="F20" s="49"/>
      <c r="G20" s="49"/>
      <c r="H20" s="49">
        <v>1191.3</v>
      </c>
      <c r="I20" s="49">
        <f>ROUND(H20*D20,2)</f>
        <v>35119.519999999997</v>
      </c>
      <c r="J20" s="49">
        <f>ROUND(I20*1.2,2)</f>
        <v>42143.42</v>
      </c>
      <c r="K20" s="50">
        <f t="shared" si="9"/>
        <v>35119.519999999997</v>
      </c>
      <c r="L20" s="49">
        <f t="shared" si="9"/>
        <v>42143.42</v>
      </c>
    </row>
    <row r="21" spans="1:13" s="61" customFormat="1" ht="22.5" customHeight="1" x14ac:dyDescent="0.25">
      <c r="A21" s="121">
        <f>A19+1</f>
        <v>9</v>
      </c>
      <c r="B21" s="120" t="s">
        <v>148</v>
      </c>
      <c r="C21" s="121" t="s">
        <v>24</v>
      </c>
      <c r="D21" s="135">
        <v>49.05</v>
      </c>
      <c r="E21" s="125">
        <v>118.75</v>
      </c>
      <c r="F21" s="124">
        <f t="shared" si="7"/>
        <v>5824.69</v>
      </c>
      <c r="G21" s="124">
        <f t="shared" si="8"/>
        <v>6989.63</v>
      </c>
      <c r="H21" s="136"/>
      <c r="I21" s="137"/>
      <c r="J21" s="137"/>
      <c r="K21" s="125">
        <f t="shared" si="9"/>
        <v>5824.69</v>
      </c>
      <c r="L21" s="123">
        <f t="shared" si="9"/>
        <v>6989.63</v>
      </c>
      <c r="M21" s="60"/>
    </row>
    <row r="22" spans="1:13" ht="22.5" customHeight="1" x14ac:dyDescent="0.25">
      <c r="A22" s="119">
        <f>A21+1</f>
        <v>10</v>
      </c>
      <c r="B22" s="120" t="s">
        <v>575</v>
      </c>
      <c r="C22" s="121" t="s">
        <v>24</v>
      </c>
      <c r="D22" s="135">
        <v>75.849999999999994</v>
      </c>
      <c r="E22" s="125">
        <v>188.1</v>
      </c>
      <c r="F22" s="124">
        <f t="shared" si="7"/>
        <v>14267.39</v>
      </c>
      <c r="G22" s="124">
        <f t="shared" si="8"/>
        <v>17120.87</v>
      </c>
      <c r="H22" s="125"/>
      <c r="I22" s="124"/>
      <c r="J22" s="124"/>
      <c r="K22" s="125">
        <f t="shared" si="9"/>
        <v>14267.39</v>
      </c>
      <c r="L22" s="123">
        <f t="shared" si="9"/>
        <v>17120.87</v>
      </c>
    </row>
    <row r="23" spans="1:13" ht="18" customHeight="1" x14ac:dyDescent="0.25">
      <c r="A23" s="44"/>
      <c r="B23" s="42" t="s">
        <v>52</v>
      </c>
      <c r="C23" s="38"/>
      <c r="D23" s="52"/>
      <c r="E23" s="53"/>
      <c r="F23" s="54"/>
      <c r="G23" s="55"/>
      <c r="H23" s="62"/>
      <c r="I23" s="35"/>
      <c r="J23" s="35"/>
      <c r="K23" s="32"/>
      <c r="L23" s="35"/>
    </row>
    <row r="24" spans="1:13" ht="18" customHeight="1" x14ac:dyDescent="0.25">
      <c r="A24" s="129">
        <f>A22+1</f>
        <v>11</v>
      </c>
      <c r="B24" s="149" t="s">
        <v>434</v>
      </c>
      <c r="C24" s="129" t="s">
        <v>63</v>
      </c>
      <c r="D24" s="140">
        <v>3</v>
      </c>
      <c r="E24" s="150">
        <v>2314.11</v>
      </c>
      <c r="F24" s="131">
        <f t="shared" ref="F24" si="10">ROUND(E24*D24,2)</f>
        <v>6942.33</v>
      </c>
      <c r="G24" s="131">
        <f t="shared" ref="G24" si="11">ROUND(F24*1.2,2)</f>
        <v>8330.7999999999993</v>
      </c>
      <c r="H24" s="151"/>
      <c r="I24" s="131"/>
      <c r="J24" s="131"/>
      <c r="K24" s="133">
        <f t="shared" ref="K24" si="12">F24+I24</f>
        <v>6942.33</v>
      </c>
      <c r="L24" s="131">
        <f t="shared" ref="L24" si="13">G24+J24</f>
        <v>8330.7999999999993</v>
      </c>
    </row>
    <row r="25" spans="1:13" ht="37.5" customHeight="1" x14ac:dyDescent="0.25">
      <c r="A25" s="119">
        <f>A24+1</f>
        <v>12</v>
      </c>
      <c r="B25" s="120" t="s">
        <v>163</v>
      </c>
      <c r="C25" s="121" t="s">
        <v>22</v>
      </c>
      <c r="D25" s="135">
        <v>7.94</v>
      </c>
      <c r="E25" s="125">
        <v>5050.3900000000003</v>
      </c>
      <c r="F25" s="124">
        <f t="shared" ref="F25" si="14">ROUND(E25*D25,2)</f>
        <v>40100.1</v>
      </c>
      <c r="G25" s="124">
        <f t="shared" ref="G25" si="15">ROUND(F25*1.2,2)</f>
        <v>48120.12</v>
      </c>
      <c r="H25" s="145"/>
      <c r="I25" s="124"/>
      <c r="J25" s="124"/>
      <c r="K25" s="125">
        <f t="shared" ref="K25:L41" si="16">F25+I25</f>
        <v>40100.1</v>
      </c>
      <c r="L25" s="123">
        <f t="shared" si="16"/>
        <v>48120.12</v>
      </c>
    </row>
    <row r="26" spans="1:13" ht="30.75" customHeight="1" x14ac:dyDescent="0.25">
      <c r="A26" s="44" t="s">
        <v>50</v>
      </c>
      <c r="B26" s="45" t="s">
        <v>399</v>
      </c>
      <c r="C26" s="46" t="s">
        <v>22</v>
      </c>
      <c r="D26" s="47">
        <f>D25*1.02</f>
        <v>8.0988000000000007</v>
      </c>
      <c r="E26" s="65"/>
      <c r="F26" s="63"/>
      <c r="G26" s="63"/>
      <c r="H26" s="63">
        <v>12001.35</v>
      </c>
      <c r="I26" s="63">
        <f>ROUND(H26*D26,2)</f>
        <v>97196.53</v>
      </c>
      <c r="J26" s="63">
        <f>ROUND(I26*1.2,2)</f>
        <v>116635.84</v>
      </c>
      <c r="K26" s="65">
        <f t="shared" si="16"/>
        <v>97196.53</v>
      </c>
      <c r="L26" s="63">
        <f t="shared" si="16"/>
        <v>116635.84</v>
      </c>
    </row>
    <row r="27" spans="1:13" ht="36.75" customHeight="1" x14ac:dyDescent="0.25">
      <c r="A27" s="127">
        <f>A25+1</f>
        <v>13</v>
      </c>
      <c r="B27" s="128" t="s">
        <v>165</v>
      </c>
      <c r="C27" s="129" t="s">
        <v>22</v>
      </c>
      <c r="D27" s="130">
        <v>7.94</v>
      </c>
      <c r="E27" s="133">
        <f>ROUND(1572.68*1.33,2)</f>
        <v>2091.66</v>
      </c>
      <c r="F27" s="132">
        <f t="shared" ref="F27" si="17">ROUND(E27*D27,2)</f>
        <v>16607.78</v>
      </c>
      <c r="G27" s="132">
        <f t="shared" ref="G27" si="18">ROUND(F27*1.2,2)</f>
        <v>19929.34</v>
      </c>
      <c r="H27" s="155"/>
      <c r="I27" s="132"/>
      <c r="J27" s="132"/>
      <c r="K27" s="133">
        <f t="shared" si="16"/>
        <v>16607.78</v>
      </c>
      <c r="L27" s="131">
        <f t="shared" si="16"/>
        <v>19929.34</v>
      </c>
      <c r="M27" s="66" t="s">
        <v>71</v>
      </c>
    </row>
    <row r="28" spans="1:13" ht="21" customHeight="1" x14ac:dyDescent="0.25">
      <c r="A28" s="44" t="s">
        <v>157</v>
      </c>
      <c r="B28" s="45" t="s">
        <v>166</v>
      </c>
      <c r="C28" s="46" t="s">
        <v>22</v>
      </c>
      <c r="D28" s="47">
        <f>D27*1.02</f>
        <v>8.0988000000000007</v>
      </c>
      <c r="E28" s="65"/>
      <c r="F28" s="49"/>
      <c r="G28" s="49"/>
      <c r="H28" s="49">
        <v>3124.17</v>
      </c>
      <c r="I28" s="49">
        <f>ROUND(H28*D28,2)</f>
        <v>25302.03</v>
      </c>
      <c r="J28" s="49">
        <f>ROUND(I28*1.2,2)</f>
        <v>30362.44</v>
      </c>
      <c r="K28" s="50">
        <f t="shared" si="16"/>
        <v>25302.03</v>
      </c>
      <c r="L28" s="49">
        <f t="shared" si="16"/>
        <v>30362.44</v>
      </c>
    </row>
    <row r="29" spans="1:13" ht="24.75" customHeight="1" x14ac:dyDescent="0.25">
      <c r="A29" s="44" t="s">
        <v>414</v>
      </c>
      <c r="B29" s="45" t="s">
        <v>168</v>
      </c>
      <c r="C29" s="46" t="s">
        <v>63</v>
      </c>
      <c r="D29" s="67">
        <v>3</v>
      </c>
      <c r="E29" s="65"/>
      <c r="F29" s="49"/>
      <c r="G29" s="49"/>
      <c r="H29" s="49">
        <v>1641.6</v>
      </c>
      <c r="I29" s="49">
        <f>ROUND(H29*D29,2)</f>
        <v>4924.8</v>
      </c>
      <c r="J29" s="49">
        <f>ROUND(I29*1.2,2)</f>
        <v>5909.76</v>
      </c>
      <c r="K29" s="50">
        <f t="shared" si="16"/>
        <v>4924.8</v>
      </c>
      <c r="L29" s="49">
        <f t="shared" si="16"/>
        <v>5909.76</v>
      </c>
    </row>
    <row r="30" spans="1:13" ht="36.75" customHeight="1" x14ac:dyDescent="0.25">
      <c r="A30" s="119">
        <f>A27+1</f>
        <v>14</v>
      </c>
      <c r="B30" s="120" t="s">
        <v>430</v>
      </c>
      <c r="C30" s="121" t="s">
        <v>22</v>
      </c>
      <c r="D30" s="135">
        <v>8.18</v>
      </c>
      <c r="E30" s="125">
        <v>1419.5</v>
      </c>
      <c r="F30" s="124">
        <f t="shared" ref="F30" si="19">ROUND(E30*D30,2)</f>
        <v>11611.51</v>
      </c>
      <c r="G30" s="124">
        <f t="shared" ref="G30" si="20">ROUND(F30*1.2,2)</f>
        <v>13933.81</v>
      </c>
      <c r="H30" s="145"/>
      <c r="I30" s="124"/>
      <c r="J30" s="124"/>
      <c r="K30" s="125">
        <f t="shared" si="16"/>
        <v>11611.51</v>
      </c>
      <c r="L30" s="123">
        <f t="shared" si="16"/>
        <v>13933.81</v>
      </c>
      <c r="M30" s="66"/>
    </row>
    <row r="31" spans="1:13" ht="21" customHeight="1" x14ac:dyDescent="0.25">
      <c r="A31" s="44" t="s">
        <v>443</v>
      </c>
      <c r="B31" s="45" t="s">
        <v>166</v>
      </c>
      <c r="C31" s="46" t="s">
        <v>22</v>
      </c>
      <c r="D31" s="47">
        <f>D30*1.02</f>
        <v>8.3436000000000003</v>
      </c>
      <c r="E31" s="65"/>
      <c r="F31" s="49"/>
      <c r="G31" s="49"/>
      <c r="H31" s="49">
        <v>3124.17</v>
      </c>
      <c r="I31" s="49">
        <f>ROUND(H31*D31,2)</f>
        <v>26066.82</v>
      </c>
      <c r="J31" s="49">
        <f>ROUND(I31*1.2,2)</f>
        <v>31280.18</v>
      </c>
      <c r="K31" s="50">
        <f t="shared" si="16"/>
        <v>26066.82</v>
      </c>
      <c r="L31" s="49">
        <f t="shared" si="16"/>
        <v>31280.18</v>
      </c>
    </row>
    <row r="32" spans="1:13" ht="18.75" customHeight="1" x14ac:dyDescent="0.25">
      <c r="A32" s="121">
        <f>A30+1</f>
        <v>15</v>
      </c>
      <c r="B32" s="138" t="s">
        <v>435</v>
      </c>
      <c r="C32" s="121" t="s">
        <v>63</v>
      </c>
      <c r="D32" s="147">
        <v>3</v>
      </c>
      <c r="E32" s="125">
        <v>1449.7</v>
      </c>
      <c r="F32" s="124">
        <f t="shared" ref="F32" si="21">ROUND(E32*D32,2)</f>
        <v>4349.1000000000004</v>
      </c>
      <c r="G32" s="124">
        <f t="shared" ref="G32" si="22">ROUND(F32*1.2,2)</f>
        <v>5218.92</v>
      </c>
      <c r="H32" s="145"/>
      <c r="I32" s="124"/>
      <c r="J32" s="124"/>
      <c r="K32" s="125">
        <f t="shared" si="16"/>
        <v>4349.1000000000004</v>
      </c>
      <c r="L32" s="123">
        <f t="shared" si="16"/>
        <v>5218.92</v>
      </c>
    </row>
    <row r="33" spans="1:13" ht="18.75" customHeight="1" x14ac:dyDescent="0.25">
      <c r="A33" s="44" t="s">
        <v>54</v>
      </c>
      <c r="B33" s="73" t="s">
        <v>436</v>
      </c>
      <c r="C33" s="46" t="s">
        <v>63</v>
      </c>
      <c r="D33" s="74">
        <v>3</v>
      </c>
      <c r="E33" s="65"/>
      <c r="F33" s="49"/>
      <c r="G33" s="49"/>
      <c r="H33" s="49">
        <v>24048.3</v>
      </c>
      <c r="I33" s="49">
        <f>ROUND(H33*D33,2)</f>
        <v>72144.899999999994</v>
      </c>
      <c r="J33" s="49">
        <f>ROUND(I33*1.2,2)</f>
        <v>86573.88</v>
      </c>
      <c r="K33" s="50">
        <f t="shared" si="16"/>
        <v>72144.899999999994</v>
      </c>
      <c r="L33" s="49">
        <f t="shared" si="16"/>
        <v>86573.88</v>
      </c>
      <c r="M33" s="115"/>
    </row>
    <row r="34" spans="1:13" ht="18" customHeight="1" x14ac:dyDescent="0.25">
      <c r="A34" s="129">
        <f>A32+1</f>
        <v>16</v>
      </c>
      <c r="B34" s="143" t="s">
        <v>437</v>
      </c>
      <c r="C34" s="129" t="s">
        <v>63</v>
      </c>
      <c r="D34" s="148">
        <v>5</v>
      </c>
      <c r="E34" s="133">
        <v>9349.43</v>
      </c>
      <c r="F34" s="132">
        <f t="shared" ref="F34" si="23">ROUND(E34*D34,2)</f>
        <v>46747.15</v>
      </c>
      <c r="G34" s="132">
        <f t="shared" ref="G34" si="24">ROUND(F34*1.2,2)</f>
        <v>56096.58</v>
      </c>
      <c r="H34" s="133"/>
      <c r="I34" s="132"/>
      <c r="J34" s="132"/>
      <c r="K34" s="133">
        <f t="shared" si="16"/>
        <v>46747.15</v>
      </c>
      <c r="L34" s="131">
        <f t="shared" si="16"/>
        <v>56096.58</v>
      </c>
      <c r="M34" s="66"/>
    </row>
    <row r="35" spans="1:13" ht="18" customHeight="1" x14ac:dyDescent="0.25">
      <c r="A35" s="44" t="s">
        <v>57</v>
      </c>
      <c r="B35" s="73" t="s">
        <v>438</v>
      </c>
      <c r="C35" s="46" t="s">
        <v>63</v>
      </c>
      <c r="D35" s="74">
        <v>5</v>
      </c>
      <c r="E35" s="65"/>
      <c r="F35" s="49"/>
      <c r="G35" s="49"/>
      <c r="H35" s="65">
        <v>3870</v>
      </c>
      <c r="I35" s="63">
        <f>ROUND(H35*D35,2)</f>
        <v>19350</v>
      </c>
      <c r="J35" s="63">
        <f>ROUND(I35*1.2,2)</f>
        <v>23220</v>
      </c>
      <c r="K35" s="65">
        <f t="shared" si="16"/>
        <v>19350</v>
      </c>
      <c r="L35" s="63">
        <f t="shared" si="16"/>
        <v>23220</v>
      </c>
      <c r="M35" s="66" t="s">
        <v>155</v>
      </c>
    </row>
    <row r="36" spans="1:13" ht="45" x14ac:dyDescent="0.25">
      <c r="A36" s="119">
        <f>A34+1</f>
        <v>17</v>
      </c>
      <c r="B36" s="120" t="s">
        <v>400</v>
      </c>
      <c r="C36" s="121" t="s">
        <v>63</v>
      </c>
      <c r="D36" s="146">
        <v>1</v>
      </c>
      <c r="E36" s="125">
        <v>4670.4399999999996</v>
      </c>
      <c r="F36" s="124">
        <f t="shared" ref="F36:F40" si="25">ROUND(E36*D36,2)</f>
        <v>4670.4399999999996</v>
      </c>
      <c r="G36" s="124">
        <f t="shared" ref="G36:G40" si="26">ROUND(F36*1.2,2)</f>
        <v>5604.53</v>
      </c>
      <c r="H36" s="221"/>
      <c r="I36" s="123"/>
      <c r="J36" s="123"/>
      <c r="K36" s="125">
        <f t="shared" si="16"/>
        <v>4670.4399999999996</v>
      </c>
      <c r="L36" s="123">
        <f t="shared" si="16"/>
        <v>5604.53</v>
      </c>
    </row>
    <row r="37" spans="1:13" ht="31.5" customHeight="1" x14ac:dyDescent="0.25">
      <c r="A37" s="44" t="s">
        <v>60</v>
      </c>
      <c r="B37" s="45" t="s">
        <v>401</v>
      </c>
      <c r="C37" s="46" t="s">
        <v>63</v>
      </c>
      <c r="D37" s="67">
        <v>1</v>
      </c>
      <c r="E37" s="65"/>
      <c r="F37" s="49"/>
      <c r="G37" s="49"/>
      <c r="H37" s="63">
        <v>3239.5</v>
      </c>
      <c r="I37" s="63">
        <f>ROUND(H37*D37,2)</f>
        <v>3239.5</v>
      </c>
      <c r="J37" s="63">
        <f>ROUND(I37*1.2,2)</f>
        <v>3887.4</v>
      </c>
      <c r="K37" s="65">
        <f t="shared" si="16"/>
        <v>3239.5</v>
      </c>
      <c r="L37" s="63">
        <f t="shared" si="16"/>
        <v>3887.4</v>
      </c>
    </row>
    <row r="38" spans="1:13" ht="30" x14ac:dyDescent="0.25">
      <c r="A38" s="119">
        <f>A36+1</f>
        <v>18</v>
      </c>
      <c r="B38" s="120" t="s">
        <v>548</v>
      </c>
      <c r="C38" s="121" t="s">
        <v>63</v>
      </c>
      <c r="D38" s="146">
        <v>2</v>
      </c>
      <c r="E38" s="125">
        <v>11291.18</v>
      </c>
      <c r="F38" s="124">
        <f t="shared" ref="F38" si="27">ROUND(E38*D38,2)</f>
        <v>22582.36</v>
      </c>
      <c r="G38" s="124">
        <f t="shared" ref="G38" si="28">ROUND(F38*1.2,2)</f>
        <v>27098.83</v>
      </c>
      <c r="H38" s="221"/>
      <c r="I38" s="123"/>
      <c r="J38" s="123"/>
      <c r="K38" s="125">
        <f t="shared" ref="K38:K39" si="29">F38+I38</f>
        <v>22582.36</v>
      </c>
      <c r="L38" s="123">
        <f t="shared" ref="L38:L39" si="30">G38+J38</f>
        <v>27098.83</v>
      </c>
      <c r="M38" s="21" t="s">
        <v>581</v>
      </c>
    </row>
    <row r="39" spans="1:13" ht="18" customHeight="1" x14ac:dyDescent="0.25">
      <c r="A39" s="44" t="s">
        <v>65</v>
      </c>
      <c r="B39" s="45" t="s">
        <v>549</v>
      </c>
      <c r="C39" s="46" t="s">
        <v>63</v>
      </c>
      <c r="D39" s="67">
        <v>2</v>
      </c>
      <c r="E39" s="65"/>
      <c r="F39" s="49"/>
      <c r="G39" s="49"/>
      <c r="H39" s="63">
        <v>13597.35</v>
      </c>
      <c r="I39" s="63">
        <f>ROUND(H39*D39,2)</f>
        <v>27194.7</v>
      </c>
      <c r="J39" s="63">
        <f>ROUND(I39*1.2,2)</f>
        <v>32633.64</v>
      </c>
      <c r="K39" s="65">
        <f t="shared" si="29"/>
        <v>27194.7</v>
      </c>
      <c r="L39" s="63">
        <f t="shared" si="30"/>
        <v>32633.64</v>
      </c>
      <c r="M39" s="21" t="s">
        <v>581</v>
      </c>
    </row>
    <row r="40" spans="1:13" ht="30" x14ac:dyDescent="0.25">
      <c r="A40" s="119">
        <f>A38+1</f>
        <v>19</v>
      </c>
      <c r="B40" s="120" t="s">
        <v>66</v>
      </c>
      <c r="C40" s="121" t="s">
        <v>24</v>
      </c>
      <c r="D40" s="135">
        <f>1.03+2.98+1.47</f>
        <v>5.4799999999999995</v>
      </c>
      <c r="E40" s="125">
        <v>8327.42</v>
      </c>
      <c r="F40" s="124">
        <f t="shared" si="25"/>
        <v>45634.26</v>
      </c>
      <c r="G40" s="124">
        <f t="shared" si="26"/>
        <v>54761.11</v>
      </c>
      <c r="H40" s="221"/>
      <c r="I40" s="123"/>
      <c r="J40" s="123"/>
      <c r="K40" s="125">
        <f t="shared" si="16"/>
        <v>45634.26</v>
      </c>
      <c r="L40" s="123">
        <f t="shared" si="16"/>
        <v>54761.11</v>
      </c>
    </row>
    <row r="41" spans="1:13" x14ac:dyDescent="0.25">
      <c r="A41" s="44" t="s">
        <v>67</v>
      </c>
      <c r="B41" s="45" t="s">
        <v>68</v>
      </c>
      <c r="C41" s="46" t="s">
        <v>24</v>
      </c>
      <c r="D41" s="47">
        <f>D40*1.02</f>
        <v>5.5895999999999999</v>
      </c>
      <c r="E41" s="65"/>
      <c r="F41" s="49"/>
      <c r="G41" s="49"/>
      <c r="H41" s="63">
        <v>3657.5</v>
      </c>
      <c r="I41" s="63">
        <f t="shared" ref="I41" si="31">ROUND(H41*D41,2)</f>
        <v>20443.96</v>
      </c>
      <c r="J41" s="63">
        <f t="shared" ref="J41" si="32">ROUND(I41*1.2,2)</f>
        <v>24532.75</v>
      </c>
      <c r="K41" s="65">
        <f t="shared" si="16"/>
        <v>20443.96</v>
      </c>
      <c r="L41" s="63">
        <f t="shared" si="16"/>
        <v>24532.75</v>
      </c>
      <c r="M41" s="66"/>
    </row>
    <row r="42" spans="1:13" ht="18.75" customHeight="1" x14ac:dyDescent="0.25">
      <c r="A42" s="30"/>
      <c r="B42" s="112" t="s">
        <v>447</v>
      </c>
      <c r="C42" s="91"/>
      <c r="D42" s="92"/>
      <c r="E42" s="114"/>
      <c r="F42" s="35"/>
      <c r="G42" s="35"/>
      <c r="H42" s="222"/>
      <c r="I42" s="41"/>
      <c r="J42" s="41"/>
      <c r="K42" s="59"/>
      <c r="L42" s="41"/>
    </row>
    <row r="43" spans="1:13" ht="30.75" customHeight="1" x14ac:dyDescent="0.25">
      <c r="A43" s="121">
        <f>A40+1</f>
        <v>20</v>
      </c>
      <c r="B43" s="120" t="s">
        <v>173</v>
      </c>
      <c r="C43" s="121" t="s">
        <v>24</v>
      </c>
      <c r="D43" s="135">
        <f>0.38*1+2*0.4</f>
        <v>1.1800000000000002</v>
      </c>
      <c r="E43" s="125">
        <v>17265.68</v>
      </c>
      <c r="F43" s="124">
        <f t="shared" ref="F43" si="33">ROUND(E43*D43,2)</f>
        <v>20373.5</v>
      </c>
      <c r="G43" s="124">
        <f t="shared" ref="G43" si="34">ROUND(F43*1.2,2)</f>
        <v>24448.2</v>
      </c>
      <c r="H43" s="221"/>
      <c r="I43" s="123"/>
      <c r="J43" s="123"/>
      <c r="K43" s="125">
        <f t="shared" ref="K43:L49" si="35">F43+I43</f>
        <v>20373.5</v>
      </c>
      <c r="L43" s="123">
        <f t="shared" si="35"/>
        <v>24448.2</v>
      </c>
    </row>
    <row r="44" spans="1:13" ht="18.75" customHeight="1" x14ac:dyDescent="0.25">
      <c r="A44" s="44" t="s">
        <v>72</v>
      </c>
      <c r="B44" s="45" t="s">
        <v>445</v>
      </c>
      <c r="C44" s="46" t="s">
        <v>63</v>
      </c>
      <c r="D44" s="67">
        <v>1</v>
      </c>
      <c r="E44" s="65"/>
      <c r="F44" s="49"/>
      <c r="G44" s="49"/>
      <c r="H44" s="219">
        <v>7448</v>
      </c>
      <c r="I44" s="63">
        <f t="shared" ref="I44:I45" si="36">ROUND(H44*D44,2)</f>
        <v>7448</v>
      </c>
      <c r="J44" s="63">
        <f t="shared" ref="J44:J45" si="37">ROUND(I44*1.2,2)</f>
        <v>8937.6</v>
      </c>
      <c r="K44" s="65">
        <f t="shared" si="35"/>
        <v>7448</v>
      </c>
      <c r="L44" s="63">
        <f t="shared" si="35"/>
        <v>8937.6</v>
      </c>
      <c r="M44" s="66"/>
    </row>
    <row r="45" spans="1:13" ht="18.75" customHeight="1" x14ac:dyDescent="0.25">
      <c r="A45" s="44" t="s">
        <v>167</v>
      </c>
      <c r="B45" s="45" t="s">
        <v>446</v>
      </c>
      <c r="C45" s="46" t="s">
        <v>63</v>
      </c>
      <c r="D45" s="67">
        <v>2</v>
      </c>
      <c r="E45" s="65"/>
      <c r="F45" s="49"/>
      <c r="G45" s="49"/>
      <c r="H45" s="219">
        <v>10388</v>
      </c>
      <c r="I45" s="63">
        <f t="shared" si="36"/>
        <v>20776</v>
      </c>
      <c r="J45" s="63">
        <f t="shared" si="37"/>
        <v>24931.200000000001</v>
      </c>
      <c r="K45" s="65">
        <f t="shared" si="35"/>
        <v>20776</v>
      </c>
      <c r="L45" s="63">
        <f t="shared" si="35"/>
        <v>24931.200000000001</v>
      </c>
      <c r="M45" s="66"/>
    </row>
    <row r="46" spans="1:13" ht="27.75" customHeight="1" x14ac:dyDescent="0.25">
      <c r="A46" s="121">
        <f>A43+1</f>
        <v>21</v>
      </c>
      <c r="B46" s="120" t="s">
        <v>352</v>
      </c>
      <c r="C46" s="121" t="s">
        <v>34</v>
      </c>
      <c r="D46" s="122">
        <v>14.78</v>
      </c>
      <c r="E46" s="125">
        <v>144.4</v>
      </c>
      <c r="F46" s="124">
        <f>ROUND(E46*D46,2)</f>
        <v>2134.23</v>
      </c>
      <c r="G46" s="124">
        <f t="shared" ref="G46" si="38">ROUND(F46*1.2,2)</f>
        <v>2561.08</v>
      </c>
      <c r="H46" s="125"/>
      <c r="I46" s="123"/>
      <c r="J46" s="123"/>
      <c r="K46" s="125">
        <f t="shared" si="35"/>
        <v>2134.23</v>
      </c>
      <c r="L46" s="123">
        <f t="shared" si="35"/>
        <v>2561.08</v>
      </c>
      <c r="M46" s="66" t="s">
        <v>256</v>
      </c>
    </row>
    <row r="47" spans="1:13" ht="17.25" customHeight="1" x14ac:dyDescent="0.25">
      <c r="A47" s="44" t="s">
        <v>74</v>
      </c>
      <c r="B47" s="73" t="s">
        <v>353</v>
      </c>
      <c r="C47" s="46" t="s">
        <v>215</v>
      </c>
      <c r="D47" s="108">
        <f>D46*0.3*20/16</f>
        <v>5.5424999999999986</v>
      </c>
      <c r="E47" s="65"/>
      <c r="F47" s="49"/>
      <c r="G47" s="49"/>
      <c r="H47" s="219">
        <v>237.5</v>
      </c>
      <c r="I47" s="63">
        <f>ROUND(H47*D47,2)</f>
        <v>1316.34</v>
      </c>
      <c r="J47" s="63">
        <f t="shared" ref="J47" si="39">ROUND(I47*1.2,2)</f>
        <v>1579.61</v>
      </c>
      <c r="K47" s="65">
        <f t="shared" si="35"/>
        <v>1316.34</v>
      </c>
      <c r="L47" s="63">
        <f t="shared" si="35"/>
        <v>1579.61</v>
      </c>
      <c r="M47" s="66"/>
    </row>
    <row r="48" spans="1:13" ht="28.5" customHeight="1" x14ac:dyDescent="0.25">
      <c r="A48" s="121">
        <f>A46+1</f>
        <v>22</v>
      </c>
      <c r="B48" s="120" t="s">
        <v>354</v>
      </c>
      <c r="C48" s="121" t="s">
        <v>34</v>
      </c>
      <c r="D48" s="122">
        <v>14.78</v>
      </c>
      <c r="E48" s="125">
        <v>299.76</v>
      </c>
      <c r="F48" s="124">
        <f>ROUND(E48*D48,2)</f>
        <v>4430.45</v>
      </c>
      <c r="G48" s="124">
        <f t="shared" ref="G48" si="40">ROUND(F48*1.2,2)</f>
        <v>5316.54</v>
      </c>
      <c r="H48" s="125"/>
      <c r="I48" s="123"/>
      <c r="J48" s="123"/>
      <c r="K48" s="125">
        <f t="shared" si="35"/>
        <v>4430.45</v>
      </c>
      <c r="L48" s="123">
        <f t="shared" si="35"/>
        <v>5316.54</v>
      </c>
      <c r="M48" s="66" t="s">
        <v>256</v>
      </c>
    </row>
    <row r="49" spans="1:13" x14ac:dyDescent="0.25">
      <c r="A49" s="44" t="s">
        <v>78</v>
      </c>
      <c r="B49" s="73" t="s">
        <v>355</v>
      </c>
      <c r="C49" s="46" t="s">
        <v>126</v>
      </c>
      <c r="D49" s="47">
        <f>D48*0.7*2</f>
        <v>20.691999999999997</v>
      </c>
      <c r="E49" s="65"/>
      <c r="F49" s="49"/>
      <c r="G49" s="49"/>
      <c r="H49" s="219">
        <v>296.39999999999998</v>
      </c>
      <c r="I49" s="63">
        <f t="shared" ref="I49" si="41">ROUND(H49*D49,2)</f>
        <v>6133.11</v>
      </c>
      <c r="J49" s="63">
        <f t="shared" ref="J49" si="42">ROUND(I49*1.2,2)</f>
        <v>7359.73</v>
      </c>
      <c r="K49" s="65">
        <f t="shared" si="35"/>
        <v>6133.11</v>
      </c>
      <c r="L49" s="63">
        <f t="shared" si="35"/>
        <v>7359.73</v>
      </c>
      <c r="M49" s="66"/>
    </row>
    <row r="50" spans="1:13" ht="18.75" customHeight="1" x14ac:dyDescent="0.25">
      <c r="A50" s="30"/>
      <c r="B50" s="112" t="s">
        <v>448</v>
      </c>
      <c r="C50" s="91"/>
      <c r="D50" s="92"/>
      <c r="E50" s="114"/>
      <c r="F50" s="35"/>
      <c r="G50" s="35"/>
      <c r="H50" s="222"/>
      <c r="I50" s="41"/>
      <c r="J50" s="41"/>
      <c r="K50" s="59"/>
      <c r="L50" s="41"/>
    </row>
    <row r="51" spans="1:13" ht="30.75" customHeight="1" x14ac:dyDescent="0.25">
      <c r="A51" s="121">
        <f>A48+1</f>
        <v>23</v>
      </c>
      <c r="B51" s="120" t="s">
        <v>173</v>
      </c>
      <c r="C51" s="121" t="s">
        <v>24</v>
      </c>
      <c r="D51" s="135">
        <f>0.38*1+1*0.4</f>
        <v>0.78</v>
      </c>
      <c r="E51" s="125">
        <v>17265.68</v>
      </c>
      <c r="F51" s="124">
        <f t="shared" ref="F51" si="43">ROUND(E51*D51,2)</f>
        <v>13467.23</v>
      </c>
      <c r="G51" s="124">
        <f t="shared" ref="G51" si="44">ROUND(F51*1.2,2)</f>
        <v>16160.68</v>
      </c>
      <c r="H51" s="221"/>
      <c r="I51" s="123"/>
      <c r="J51" s="123"/>
      <c r="K51" s="125">
        <f t="shared" ref="K51:K57" si="45">F51+I51</f>
        <v>13467.23</v>
      </c>
      <c r="L51" s="123">
        <f t="shared" ref="L51:L57" si="46">G51+J51</f>
        <v>16160.68</v>
      </c>
    </row>
    <row r="52" spans="1:13" ht="18.75" customHeight="1" x14ac:dyDescent="0.25">
      <c r="A52" s="44" t="s">
        <v>81</v>
      </c>
      <c r="B52" s="45" t="s">
        <v>445</v>
      </c>
      <c r="C52" s="46" t="s">
        <v>63</v>
      </c>
      <c r="D52" s="67">
        <v>1</v>
      </c>
      <c r="E52" s="65"/>
      <c r="F52" s="49"/>
      <c r="G52" s="49"/>
      <c r="H52" s="219">
        <v>4336.75</v>
      </c>
      <c r="I52" s="63">
        <f t="shared" ref="I52:I53" si="47">ROUND(H52*D52,2)</f>
        <v>4336.75</v>
      </c>
      <c r="J52" s="63">
        <f t="shared" ref="J52:J53" si="48">ROUND(I52*1.2,2)</f>
        <v>5204.1000000000004</v>
      </c>
      <c r="K52" s="65">
        <f t="shared" si="45"/>
        <v>4336.75</v>
      </c>
      <c r="L52" s="63">
        <f t="shared" si="46"/>
        <v>5204.1000000000004</v>
      </c>
      <c r="M52" s="66"/>
    </row>
    <row r="53" spans="1:13" ht="18.75" customHeight="1" x14ac:dyDescent="0.25">
      <c r="A53" s="44" t="s">
        <v>608</v>
      </c>
      <c r="B53" s="45" t="s">
        <v>446</v>
      </c>
      <c r="C53" s="46" t="s">
        <v>63</v>
      </c>
      <c r="D53" s="67">
        <v>1</v>
      </c>
      <c r="E53" s="65"/>
      <c r="F53" s="49"/>
      <c r="G53" s="49"/>
      <c r="H53" s="219">
        <v>4807</v>
      </c>
      <c r="I53" s="63">
        <f t="shared" si="47"/>
        <v>4807</v>
      </c>
      <c r="J53" s="63">
        <f t="shared" si="48"/>
        <v>5768.4</v>
      </c>
      <c r="K53" s="65">
        <f t="shared" si="45"/>
        <v>4807</v>
      </c>
      <c r="L53" s="63">
        <f t="shared" si="46"/>
        <v>5768.4</v>
      </c>
      <c r="M53" s="66"/>
    </row>
    <row r="54" spans="1:13" ht="27.75" customHeight="1" x14ac:dyDescent="0.25">
      <c r="A54" s="121">
        <f>A51+1</f>
        <v>24</v>
      </c>
      <c r="B54" s="120" t="s">
        <v>352</v>
      </c>
      <c r="C54" s="121" t="s">
        <v>34</v>
      </c>
      <c r="D54" s="122">
        <v>10.029999999999999</v>
      </c>
      <c r="E54" s="125">
        <v>144.4</v>
      </c>
      <c r="F54" s="124">
        <f>ROUND(E54*D54,2)</f>
        <v>1448.33</v>
      </c>
      <c r="G54" s="124">
        <f t="shared" ref="G54" si="49">ROUND(F54*1.2,2)</f>
        <v>1738</v>
      </c>
      <c r="H54" s="125"/>
      <c r="I54" s="123"/>
      <c r="J54" s="123"/>
      <c r="K54" s="125">
        <f t="shared" si="45"/>
        <v>1448.33</v>
      </c>
      <c r="L54" s="123">
        <f t="shared" si="46"/>
        <v>1738</v>
      </c>
      <c r="M54" s="66" t="s">
        <v>256</v>
      </c>
    </row>
    <row r="55" spans="1:13" ht="17.25" customHeight="1" x14ac:dyDescent="0.25">
      <c r="A55" s="44" t="s">
        <v>90</v>
      </c>
      <c r="B55" s="73" t="s">
        <v>353</v>
      </c>
      <c r="C55" s="46" t="s">
        <v>215</v>
      </c>
      <c r="D55" s="108">
        <f>D54*0.3*20/16</f>
        <v>3.76125</v>
      </c>
      <c r="E55" s="65"/>
      <c r="F55" s="49"/>
      <c r="G55" s="49"/>
      <c r="H55" s="219">
        <v>237.5</v>
      </c>
      <c r="I55" s="63">
        <f>ROUND(H55*D55,2)</f>
        <v>893.3</v>
      </c>
      <c r="J55" s="63">
        <f t="shared" ref="J55" si="50">ROUND(I55*1.2,2)</f>
        <v>1071.96</v>
      </c>
      <c r="K55" s="65">
        <f t="shared" si="45"/>
        <v>893.3</v>
      </c>
      <c r="L55" s="63">
        <f t="shared" si="46"/>
        <v>1071.96</v>
      </c>
      <c r="M55" s="66"/>
    </row>
    <row r="56" spans="1:13" ht="28.5" customHeight="1" x14ac:dyDescent="0.25">
      <c r="A56" s="121">
        <f>A54+1</f>
        <v>25</v>
      </c>
      <c r="B56" s="120" t="s">
        <v>354</v>
      </c>
      <c r="C56" s="121" t="s">
        <v>34</v>
      </c>
      <c r="D56" s="122">
        <v>10.029999999999999</v>
      </c>
      <c r="E56" s="125">
        <v>299.76</v>
      </c>
      <c r="F56" s="124">
        <f>ROUND(E56*D56,2)</f>
        <v>3006.59</v>
      </c>
      <c r="G56" s="124">
        <f t="shared" ref="G56" si="51">ROUND(F56*1.2,2)</f>
        <v>3607.91</v>
      </c>
      <c r="H56" s="125"/>
      <c r="I56" s="123"/>
      <c r="J56" s="123"/>
      <c r="K56" s="125">
        <f t="shared" si="45"/>
        <v>3006.59</v>
      </c>
      <c r="L56" s="123">
        <f t="shared" si="46"/>
        <v>3607.91</v>
      </c>
      <c r="M56" s="66" t="s">
        <v>256</v>
      </c>
    </row>
    <row r="57" spans="1:13" x14ac:dyDescent="0.25">
      <c r="A57" s="44" t="s">
        <v>87</v>
      </c>
      <c r="B57" s="73" t="s">
        <v>355</v>
      </c>
      <c r="C57" s="46" t="s">
        <v>126</v>
      </c>
      <c r="D57" s="47">
        <f>D56*2.5*2</f>
        <v>50.15</v>
      </c>
      <c r="E57" s="65"/>
      <c r="F57" s="49"/>
      <c r="G57" s="49"/>
      <c r="H57" s="95">
        <v>296.39999999999998</v>
      </c>
      <c r="I57" s="49">
        <f t="shared" ref="I57" si="52">ROUND(H57*D57,2)</f>
        <v>14864.46</v>
      </c>
      <c r="J57" s="49">
        <f t="shared" ref="J57" si="53">ROUND(I57*1.2,2)</f>
        <v>17837.349999999999</v>
      </c>
      <c r="K57" s="65">
        <f t="shared" si="45"/>
        <v>14864.46</v>
      </c>
      <c r="L57" s="63">
        <f t="shared" si="46"/>
        <v>17837.349999999999</v>
      </c>
      <c r="M57" s="66"/>
    </row>
    <row r="58" spans="1:13" s="87" customFormat="1" ht="24" customHeight="1" x14ac:dyDescent="0.3">
      <c r="A58" s="212" t="s">
        <v>144</v>
      </c>
      <c r="B58" s="213"/>
      <c r="C58" s="213"/>
      <c r="D58" s="213"/>
      <c r="E58" s="214"/>
      <c r="F58" s="109">
        <f>SUM(F7:F57)</f>
        <v>403093.04000000004</v>
      </c>
      <c r="G58" s="109">
        <f>ROUND(F58*1.2,2)</f>
        <v>483711.65</v>
      </c>
      <c r="H58" s="113"/>
      <c r="I58" s="109">
        <f>SUM(I7:I57)</f>
        <v>393260.72000000003</v>
      </c>
      <c r="J58" s="109">
        <f>ROUND(I58*1.2,2)</f>
        <v>471912.86</v>
      </c>
      <c r="K58" s="109">
        <f>SUM(K7:K57)</f>
        <v>796353.75999999978</v>
      </c>
      <c r="L58" s="109">
        <f>ROUND(K58*1.2,2)</f>
        <v>955624.51</v>
      </c>
      <c r="M58" s="86"/>
    </row>
    <row r="60" spans="1:13" x14ac:dyDescent="0.25">
      <c r="K60" s="88"/>
    </row>
    <row r="61" spans="1:13" x14ac:dyDescent="0.25">
      <c r="B61" s="174" t="s">
        <v>586</v>
      </c>
    </row>
    <row r="62" spans="1:13" x14ac:dyDescent="0.25">
      <c r="B62" s="175" t="s">
        <v>587</v>
      </c>
    </row>
  </sheetData>
  <mergeCells count="10">
    <mergeCell ref="B6:D6"/>
    <mergeCell ref="A58:E5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M31"/>
  <sheetViews>
    <sheetView view="pageBreakPreview" zoomScale="80" zoomScaleNormal="100" zoomScaleSheetLayoutView="80" workbookViewId="0">
      <selection activeCell="H19" sqref="H19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89" customWidth="1"/>
    <col min="8" max="8" width="16.140625" style="89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194" t="s">
        <v>0</v>
      </c>
      <c r="B1" s="197" t="s">
        <v>8</v>
      </c>
      <c r="C1" s="200" t="s">
        <v>9</v>
      </c>
      <c r="D1" s="200" t="s">
        <v>10</v>
      </c>
      <c r="E1" s="206" t="s">
        <v>11</v>
      </c>
      <c r="F1" s="207"/>
      <c r="G1" s="207"/>
      <c r="H1" s="207"/>
      <c r="I1" s="207"/>
      <c r="J1" s="207"/>
      <c r="K1" s="207"/>
      <c r="L1" s="207"/>
    </row>
    <row r="2" spans="1:13" ht="14.45" customHeight="1" x14ac:dyDescent="0.25">
      <c r="A2" s="195"/>
      <c r="B2" s="198"/>
      <c r="C2" s="200"/>
      <c r="D2" s="200"/>
      <c r="E2" s="208"/>
      <c r="F2" s="209"/>
      <c r="G2" s="209"/>
      <c r="H2" s="209"/>
      <c r="I2" s="209"/>
      <c r="J2" s="209"/>
      <c r="K2" s="209"/>
      <c r="L2" s="209"/>
    </row>
    <row r="3" spans="1:13" ht="27.75" customHeight="1" x14ac:dyDescent="0.25">
      <c r="A3" s="195"/>
      <c r="B3" s="198"/>
      <c r="C3" s="200"/>
      <c r="D3" s="200"/>
      <c r="E3" s="200" t="s">
        <v>12</v>
      </c>
      <c r="F3" s="200"/>
      <c r="G3" s="200"/>
      <c r="H3" s="200" t="s">
        <v>13</v>
      </c>
      <c r="I3" s="200"/>
      <c r="J3" s="200"/>
      <c r="K3" s="190" t="s">
        <v>14</v>
      </c>
      <c r="L3" s="190"/>
    </row>
    <row r="4" spans="1:13" ht="56.1" customHeight="1" x14ac:dyDescent="0.25">
      <c r="A4" s="196"/>
      <c r="B4" s="199"/>
      <c r="C4" s="200"/>
      <c r="D4" s="200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210" t="s">
        <v>449</v>
      </c>
      <c r="C6" s="211"/>
      <c r="D6" s="211"/>
      <c r="E6" s="27"/>
      <c r="F6" s="28"/>
      <c r="G6" s="29"/>
      <c r="H6" s="29"/>
      <c r="I6" s="29"/>
      <c r="J6" s="29"/>
      <c r="K6" s="29"/>
      <c r="L6" s="29"/>
      <c r="M6" s="111" t="s">
        <v>432</v>
      </c>
    </row>
    <row r="7" spans="1:13" ht="18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22.5" customHeight="1" x14ac:dyDescent="0.25">
      <c r="A8" s="119">
        <v>1</v>
      </c>
      <c r="B8" s="120" t="s">
        <v>395</v>
      </c>
      <c r="C8" s="164" t="s">
        <v>63</v>
      </c>
      <c r="D8" s="146">
        <v>36</v>
      </c>
      <c r="E8" s="123">
        <v>1055.02</v>
      </c>
      <c r="F8" s="124">
        <f t="shared" ref="F8:F11" si="0">ROUND(E8*D8,2)</f>
        <v>37980.720000000001</v>
      </c>
      <c r="G8" s="124">
        <f t="shared" ref="G8:G11" si="1">ROUND(F8*1.2,2)</f>
        <v>45576.86</v>
      </c>
      <c r="H8" s="154"/>
      <c r="I8" s="124"/>
      <c r="J8" s="124"/>
      <c r="K8" s="126">
        <f t="shared" ref="K8:L11" si="2">F8+I8</f>
        <v>37980.720000000001</v>
      </c>
      <c r="L8" s="124">
        <f t="shared" si="2"/>
        <v>45576.86</v>
      </c>
      <c r="M8" s="66" t="s">
        <v>25</v>
      </c>
    </row>
    <row r="9" spans="1:13" ht="22.5" customHeight="1" x14ac:dyDescent="0.25">
      <c r="A9" s="127">
        <f>A8+1</f>
        <v>2</v>
      </c>
      <c r="B9" s="128" t="s">
        <v>21</v>
      </c>
      <c r="C9" s="129" t="s">
        <v>22</v>
      </c>
      <c r="D9" s="130">
        <v>41</v>
      </c>
      <c r="E9" s="131">
        <v>3500</v>
      </c>
      <c r="F9" s="131">
        <f t="shared" si="0"/>
        <v>143500</v>
      </c>
      <c r="G9" s="131">
        <f t="shared" si="1"/>
        <v>172200</v>
      </c>
      <c r="H9" s="151"/>
      <c r="I9" s="131"/>
      <c r="J9" s="131"/>
      <c r="K9" s="133">
        <f t="shared" si="2"/>
        <v>143500</v>
      </c>
      <c r="L9" s="131">
        <f t="shared" si="2"/>
        <v>172200</v>
      </c>
      <c r="M9" s="40" t="s">
        <v>609</v>
      </c>
    </row>
    <row r="10" spans="1:13" ht="22.5" customHeight="1" x14ac:dyDescent="0.25">
      <c r="A10" s="119">
        <f>A9+1</f>
        <v>3</v>
      </c>
      <c r="B10" s="120" t="s">
        <v>23</v>
      </c>
      <c r="C10" s="121" t="s">
        <v>24</v>
      </c>
      <c r="D10" s="135">
        <v>16.600000000000001</v>
      </c>
      <c r="E10" s="123">
        <f>ROUND(65055.24/(297.03*0.05),2)</f>
        <v>4380.38</v>
      </c>
      <c r="F10" s="124">
        <f t="shared" si="0"/>
        <v>72714.31</v>
      </c>
      <c r="G10" s="124">
        <f t="shared" si="1"/>
        <v>87257.17</v>
      </c>
      <c r="H10" s="154"/>
      <c r="I10" s="124"/>
      <c r="J10" s="124"/>
      <c r="K10" s="126">
        <f t="shared" si="2"/>
        <v>72714.31</v>
      </c>
      <c r="L10" s="124">
        <f t="shared" si="2"/>
        <v>87257.17</v>
      </c>
      <c r="M10" s="21" t="s">
        <v>25</v>
      </c>
    </row>
    <row r="11" spans="1:13" ht="22.5" customHeight="1" x14ac:dyDescent="0.25">
      <c r="A11" s="119">
        <f t="shared" ref="A11" si="3">A10+1</f>
        <v>4</v>
      </c>
      <c r="B11" s="120" t="s">
        <v>26</v>
      </c>
      <c r="C11" s="121" t="s">
        <v>24</v>
      </c>
      <c r="D11" s="135">
        <v>20.55</v>
      </c>
      <c r="E11" s="125">
        <v>304</v>
      </c>
      <c r="F11" s="124">
        <f t="shared" si="0"/>
        <v>6247.2</v>
      </c>
      <c r="G11" s="124">
        <f t="shared" si="1"/>
        <v>7496.64</v>
      </c>
      <c r="H11" s="124"/>
      <c r="I11" s="124"/>
      <c r="J11" s="124"/>
      <c r="K11" s="126">
        <f t="shared" si="2"/>
        <v>6247.2</v>
      </c>
      <c r="L11" s="124">
        <f t="shared" si="2"/>
        <v>7496.64</v>
      </c>
      <c r="M11" s="21" t="s">
        <v>25</v>
      </c>
    </row>
    <row r="12" spans="1:13" ht="20.25" customHeight="1" x14ac:dyDescent="0.25">
      <c r="A12" s="30"/>
      <c r="B12" s="102" t="s">
        <v>227</v>
      </c>
      <c r="C12" s="38"/>
      <c r="D12" s="39"/>
      <c r="E12" s="103"/>
      <c r="F12" s="35"/>
      <c r="G12" s="35"/>
      <c r="H12" s="35"/>
      <c r="I12" s="35"/>
      <c r="J12" s="35"/>
      <c r="K12" s="32"/>
      <c r="L12" s="35"/>
      <c r="M12" s="66"/>
    </row>
    <row r="13" spans="1:13" ht="24" customHeight="1" x14ac:dyDescent="0.25">
      <c r="A13" s="119">
        <f>A11+1</f>
        <v>5</v>
      </c>
      <c r="B13" s="138" t="s">
        <v>27</v>
      </c>
      <c r="C13" s="121" t="s">
        <v>37</v>
      </c>
      <c r="D13" s="135">
        <v>62.25</v>
      </c>
      <c r="E13" s="123">
        <v>431.37</v>
      </c>
      <c r="F13" s="124">
        <f t="shared" ref="F13" si="4">ROUND(E13*D13,2)</f>
        <v>26852.78</v>
      </c>
      <c r="G13" s="124">
        <f t="shared" ref="G13" si="5">ROUND(F13*1.2,2)</f>
        <v>32223.34</v>
      </c>
      <c r="H13" s="154"/>
      <c r="I13" s="124"/>
      <c r="J13" s="124"/>
      <c r="K13" s="126">
        <f t="shared" ref="K13:L13" si="6">F13+I13</f>
        <v>26852.78</v>
      </c>
      <c r="L13" s="124">
        <f t="shared" si="6"/>
        <v>32223.34</v>
      </c>
      <c r="M13" s="66" t="s">
        <v>153</v>
      </c>
    </row>
    <row r="14" spans="1:13" ht="20.25" customHeight="1" x14ac:dyDescent="0.25">
      <c r="A14" s="51"/>
      <c r="B14" s="42" t="s">
        <v>43</v>
      </c>
      <c r="C14" s="38"/>
      <c r="D14" s="52"/>
      <c r="E14" s="53"/>
      <c r="F14" s="54"/>
      <c r="G14" s="55"/>
      <c r="H14" s="56"/>
      <c r="I14" s="57"/>
      <c r="J14" s="57"/>
      <c r="K14" s="58"/>
      <c r="L14" s="57"/>
    </row>
    <row r="15" spans="1:13" ht="24" customHeight="1" x14ac:dyDescent="0.25">
      <c r="A15" s="119">
        <f>A13+1</f>
        <v>6</v>
      </c>
      <c r="B15" s="120" t="s">
        <v>44</v>
      </c>
      <c r="C15" s="121" t="s">
        <v>24</v>
      </c>
      <c r="D15" s="135">
        <v>84.17</v>
      </c>
      <c r="E15" s="154">
        <v>308.75</v>
      </c>
      <c r="F15" s="124">
        <f t="shared" ref="F15:F22" si="7">ROUND(E15*D15,2)</f>
        <v>25987.49</v>
      </c>
      <c r="G15" s="124">
        <f t="shared" ref="G15:G22" si="8">ROUND(F15*1.2,2)</f>
        <v>31184.99</v>
      </c>
      <c r="H15" s="136"/>
      <c r="I15" s="137"/>
      <c r="J15" s="137"/>
      <c r="K15" s="125">
        <f t="shared" ref="K15:L22" si="9">F15+I15</f>
        <v>25987.49</v>
      </c>
      <c r="L15" s="123">
        <f t="shared" si="9"/>
        <v>31184.99</v>
      </c>
    </row>
    <row r="16" spans="1:13" ht="24" customHeight="1" x14ac:dyDescent="0.25">
      <c r="A16" s="119">
        <f>A15+1</f>
        <v>7</v>
      </c>
      <c r="B16" s="120" t="s">
        <v>45</v>
      </c>
      <c r="C16" s="121" t="s">
        <v>24</v>
      </c>
      <c r="D16" s="135">
        <v>2.6</v>
      </c>
      <c r="E16" s="125">
        <v>1688.15</v>
      </c>
      <c r="F16" s="124">
        <f t="shared" si="7"/>
        <v>4389.1899999999996</v>
      </c>
      <c r="G16" s="124">
        <f t="shared" si="8"/>
        <v>5267.03</v>
      </c>
      <c r="H16" s="136"/>
      <c r="I16" s="137"/>
      <c r="J16" s="137"/>
      <c r="K16" s="125">
        <f t="shared" si="9"/>
        <v>4389.1899999999996</v>
      </c>
      <c r="L16" s="123">
        <f t="shared" si="9"/>
        <v>5267.03</v>
      </c>
    </row>
    <row r="17" spans="1:13" ht="20.25" customHeight="1" x14ac:dyDescent="0.25">
      <c r="A17" s="119">
        <f>A16+1</f>
        <v>8</v>
      </c>
      <c r="B17" s="120" t="s">
        <v>451</v>
      </c>
      <c r="C17" s="121" t="s">
        <v>331</v>
      </c>
      <c r="D17" s="135">
        <v>3.66</v>
      </c>
      <c r="E17" s="125">
        <v>1310.05</v>
      </c>
      <c r="F17" s="123">
        <f>ROUND(E17*D17,2)</f>
        <v>4794.78</v>
      </c>
      <c r="G17" s="123">
        <f t="shared" si="8"/>
        <v>5753.74</v>
      </c>
      <c r="H17" s="154"/>
      <c r="I17" s="123"/>
      <c r="J17" s="123"/>
      <c r="K17" s="125">
        <f t="shared" si="9"/>
        <v>4794.78</v>
      </c>
      <c r="L17" s="123">
        <f t="shared" si="9"/>
        <v>5753.74</v>
      </c>
      <c r="M17" s="66"/>
    </row>
    <row r="18" spans="1:13" ht="20.25" customHeight="1" x14ac:dyDescent="0.25">
      <c r="A18" s="44" t="s">
        <v>42</v>
      </c>
      <c r="B18" s="45" t="s">
        <v>48</v>
      </c>
      <c r="C18" s="46" t="s">
        <v>24</v>
      </c>
      <c r="D18" s="47">
        <f>D17*1.1</f>
        <v>4.0260000000000007</v>
      </c>
      <c r="E18" s="65"/>
      <c r="F18" s="49"/>
      <c r="G18" s="49"/>
      <c r="H18" s="49">
        <v>1191.3</v>
      </c>
      <c r="I18" s="49">
        <f>ROUND(H18*D18,2)</f>
        <v>4796.17</v>
      </c>
      <c r="J18" s="49">
        <f>ROUND(I18*1.2,2)</f>
        <v>5755.4</v>
      </c>
      <c r="K18" s="50">
        <f t="shared" si="9"/>
        <v>4796.17</v>
      </c>
      <c r="L18" s="49">
        <f t="shared" si="9"/>
        <v>5755.4</v>
      </c>
      <c r="M18" s="64"/>
    </row>
    <row r="19" spans="1:13" ht="24" customHeight="1" x14ac:dyDescent="0.25">
      <c r="A19" s="119">
        <f>A17+1</f>
        <v>9</v>
      </c>
      <c r="B19" s="138" t="s">
        <v>336</v>
      </c>
      <c r="C19" s="121" t="s">
        <v>24</v>
      </c>
      <c r="D19" s="135">
        <v>26.99</v>
      </c>
      <c r="E19" s="125">
        <v>1310.05</v>
      </c>
      <c r="F19" s="124">
        <f t="shared" si="7"/>
        <v>35358.25</v>
      </c>
      <c r="G19" s="124">
        <f t="shared" si="8"/>
        <v>42429.9</v>
      </c>
      <c r="H19" s="124"/>
      <c r="I19" s="124"/>
      <c r="J19" s="124"/>
      <c r="K19" s="126">
        <f t="shared" si="9"/>
        <v>35358.25</v>
      </c>
      <c r="L19" s="124">
        <f t="shared" si="9"/>
        <v>42429.9</v>
      </c>
    </row>
    <row r="20" spans="1:13" ht="20.25" customHeight="1" x14ac:dyDescent="0.25">
      <c r="A20" s="44" t="s">
        <v>442</v>
      </c>
      <c r="B20" s="45" t="s">
        <v>48</v>
      </c>
      <c r="C20" s="46" t="s">
        <v>24</v>
      </c>
      <c r="D20" s="47">
        <f>D19*1.1</f>
        <v>29.689</v>
      </c>
      <c r="E20" s="65"/>
      <c r="F20" s="49"/>
      <c r="G20" s="49"/>
      <c r="H20" s="49">
        <v>1191.3</v>
      </c>
      <c r="I20" s="49">
        <f>ROUND(H20*D20,2)</f>
        <v>35368.51</v>
      </c>
      <c r="J20" s="49">
        <f>ROUND(I20*1.2,2)</f>
        <v>42442.21</v>
      </c>
      <c r="K20" s="50">
        <f t="shared" si="9"/>
        <v>35368.51</v>
      </c>
      <c r="L20" s="49">
        <f t="shared" si="9"/>
        <v>42442.21</v>
      </c>
    </row>
    <row r="21" spans="1:13" s="61" customFormat="1" ht="22.5" customHeight="1" x14ac:dyDescent="0.25">
      <c r="A21" s="121">
        <f>A19+1</f>
        <v>10</v>
      </c>
      <c r="B21" s="120" t="s">
        <v>148</v>
      </c>
      <c r="C21" s="121" t="s">
        <v>24</v>
      </c>
      <c r="D21" s="135">
        <v>96.29</v>
      </c>
      <c r="E21" s="125">
        <v>118.75</v>
      </c>
      <c r="F21" s="124">
        <f t="shared" si="7"/>
        <v>11434.44</v>
      </c>
      <c r="G21" s="124">
        <f t="shared" si="8"/>
        <v>13721.33</v>
      </c>
      <c r="H21" s="136"/>
      <c r="I21" s="137"/>
      <c r="J21" s="137"/>
      <c r="K21" s="125">
        <f t="shared" si="9"/>
        <v>11434.44</v>
      </c>
      <c r="L21" s="123">
        <f t="shared" si="9"/>
        <v>13721.33</v>
      </c>
      <c r="M21" s="60"/>
    </row>
    <row r="22" spans="1:13" ht="22.5" customHeight="1" x14ac:dyDescent="0.25">
      <c r="A22" s="119">
        <f>A21+1</f>
        <v>11</v>
      </c>
      <c r="B22" s="120" t="s">
        <v>575</v>
      </c>
      <c r="C22" s="121" t="s">
        <v>24</v>
      </c>
      <c r="D22" s="135">
        <v>96.29</v>
      </c>
      <c r="E22" s="125">
        <v>188.1</v>
      </c>
      <c r="F22" s="124">
        <f t="shared" si="7"/>
        <v>18112.150000000001</v>
      </c>
      <c r="G22" s="124">
        <f t="shared" si="8"/>
        <v>21734.58</v>
      </c>
      <c r="H22" s="125"/>
      <c r="I22" s="124"/>
      <c r="J22" s="124"/>
      <c r="K22" s="125">
        <f t="shared" si="9"/>
        <v>18112.150000000001</v>
      </c>
      <c r="L22" s="123">
        <f t="shared" si="9"/>
        <v>21734.58</v>
      </c>
    </row>
    <row r="23" spans="1:13" ht="18" customHeight="1" x14ac:dyDescent="0.25">
      <c r="A23" s="44"/>
      <c r="B23" s="42" t="s">
        <v>52</v>
      </c>
      <c r="C23" s="38"/>
      <c r="D23" s="52"/>
      <c r="E23" s="53"/>
      <c r="F23" s="54"/>
      <c r="G23" s="55"/>
      <c r="H23" s="62"/>
      <c r="I23" s="35"/>
      <c r="J23" s="35"/>
      <c r="K23" s="32"/>
      <c r="L23" s="35"/>
    </row>
    <row r="24" spans="1:13" ht="25.5" customHeight="1" x14ac:dyDescent="0.25">
      <c r="A24" s="119">
        <f>A22+1</f>
        <v>12</v>
      </c>
      <c r="B24" s="120" t="s">
        <v>430</v>
      </c>
      <c r="C24" s="121" t="s">
        <v>22</v>
      </c>
      <c r="D24" s="135">
        <v>32.42</v>
      </c>
      <c r="E24" s="125">
        <v>1419.5</v>
      </c>
      <c r="F24" s="124">
        <f t="shared" ref="F24" si="10">ROUND(E24*D24,2)</f>
        <v>46020.19</v>
      </c>
      <c r="G24" s="124">
        <f t="shared" ref="G24" si="11">ROUND(F24*1.2,2)</f>
        <v>55224.23</v>
      </c>
      <c r="H24" s="145"/>
      <c r="I24" s="124"/>
      <c r="J24" s="124"/>
      <c r="K24" s="125">
        <f t="shared" ref="K24:L27" si="12">F24+I24</f>
        <v>46020.19</v>
      </c>
      <c r="L24" s="123">
        <f t="shared" si="12"/>
        <v>55224.23</v>
      </c>
      <c r="M24" s="66"/>
    </row>
    <row r="25" spans="1:13" ht="21" customHeight="1" x14ac:dyDescent="0.25">
      <c r="A25" s="44" t="s">
        <v>50</v>
      </c>
      <c r="B25" s="45" t="s">
        <v>166</v>
      </c>
      <c r="C25" s="46" t="s">
        <v>22</v>
      </c>
      <c r="D25" s="47">
        <f>D24*1.02</f>
        <v>33.068400000000004</v>
      </c>
      <c r="E25" s="48"/>
      <c r="F25" s="49"/>
      <c r="G25" s="49"/>
      <c r="H25" s="49">
        <v>3479.85</v>
      </c>
      <c r="I25" s="49">
        <f>ROUND(H25*D25,2)</f>
        <v>115073.07</v>
      </c>
      <c r="J25" s="49">
        <f>ROUND(I25*1.2,2)</f>
        <v>138087.67999999999</v>
      </c>
      <c r="K25" s="50">
        <f t="shared" si="12"/>
        <v>115073.07</v>
      </c>
      <c r="L25" s="49">
        <f t="shared" si="12"/>
        <v>138087.67999999999</v>
      </c>
    </row>
    <row r="26" spans="1:13" ht="18" customHeight="1" x14ac:dyDescent="0.25">
      <c r="A26" s="119">
        <f>A24+1</f>
        <v>13</v>
      </c>
      <c r="B26" s="120" t="s">
        <v>229</v>
      </c>
      <c r="C26" s="121" t="s">
        <v>37</v>
      </c>
      <c r="D26" s="135">
        <v>17.25</v>
      </c>
      <c r="E26" s="154">
        <v>308.75</v>
      </c>
      <c r="F26" s="124">
        <f t="shared" ref="F26:F27" si="13">ROUND(E26*D26,2)</f>
        <v>5325.94</v>
      </c>
      <c r="G26" s="124">
        <f t="shared" ref="G26:G27" si="14">ROUND(F26*1.2,2)</f>
        <v>6391.13</v>
      </c>
      <c r="H26" s="154"/>
      <c r="I26" s="123"/>
      <c r="J26" s="123"/>
      <c r="K26" s="125">
        <f t="shared" si="12"/>
        <v>5325.94</v>
      </c>
      <c r="L26" s="123">
        <f t="shared" si="12"/>
        <v>6391.13</v>
      </c>
      <c r="M26" s="66"/>
    </row>
    <row r="27" spans="1:13" ht="18" customHeight="1" x14ac:dyDescent="0.25">
      <c r="A27" s="127">
        <f>A26+1</f>
        <v>14</v>
      </c>
      <c r="B27" s="128" t="s">
        <v>230</v>
      </c>
      <c r="C27" s="129" t="s">
        <v>37</v>
      </c>
      <c r="D27" s="130">
        <v>17.25</v>
      </c>
      <c r="E27" s="151">
        <v>350</v>
      </c>
      <c r="F27" s="132">
        <f t="shared" si="13"/>
        <v>6037.5</v>
      </c>
      <c r="G27" s="132">
        <f t="shared" si="14"/>
        <v>7245</v>
      </c>
      <c r="H27" s="151"/>
      <c r="I27" s="131"/>
      <c r="J27" s="131"/>
      <c r="K27" s="133">
        <f t="shared" si="12"/>
        <v>6037.5</v>
      </c>
      <c r="L27" s="131">
        <f t="shared" si="12"/>
        <v>7245</v>
      </c>
      <c r="M27" s="66"/>
    </row>
    <row r="28" spans="1:13" s="87" customFormat="1" ht="24" customHeight="1" x14ac:dyDescent="0.3">
      <c r="A28" s="212" t="s">
        <v>144</v>
      </c>
      <c r="B28" s="213"/>
      <c r="C28" s="213"/>
      <c r="D28" s="213"/>
      <c r="E28" s="214"/>
      <c r="F28" s="109">
        <f>SUM(F7:F27)</f>
        <v>444754.94000000006</v>
      </c>
      <c r="G28" s="109">
        <f>ROUND(F28*1.2,2)</f>
        <v>533705.93000000005</v>
      </c>
      <c r="H28" s="113"/>
      <c r="I28" s="109">
        <f>SUM(I7:I27)</f>
        <v>155237.75</v>
      </c>
      <c r="J28" s="109">
        <f>ROUND(I28*1.2,2)</f>
        <v>186285.3</v>
      </c>
      <c r="K28" s="109">
        <f>SUM(K7:K27)</f>
        <v>599992.68999999994</v>
      </c>
      <c r="L28" s="109">
        <f>ROUND(K28*1.2,2)</f>
        <v>719991.23</v>
      </c>
      <c r="M28" s="86"/>
    </row>
    <row r="29" spans="1:13" s="87" customFormat="1" ht="24" customHeight="1" x14ac:dyDescent="0.3">
      <c r="A29" s="188"/>
      <c r="B29" s="188"/>
      <c r="C29" s="188"/>
      <c r="D29" s="188"/>
      <c r="E29" s="188"/>
      <c r="F29" s="189"/>
      <c r="G29" s="189"/>
      <c r="H29" s="113"/>
      <c r="I29" s="189"/>
      <c r="J29" s="189"/>
      <c r="K29" s="189"/>
      <c r="L29" s="189"/>
      <c r="M29" s="86"/>
    </row>
    <row r="30" spans="1:13" x14ac:dyDescent="0.25">
      <c r="B30" s="174" t="s">
        <v>586</v>
      </c>
    </row>
    <row r="31" spans="1:13" x14ac:dyDescent="0.25">
      <c r="B31" s="175" t="s">
        <v>587</v>
      </c>
      <c r="K31" s="88"/>
    </row>
  </sheetData>
  <mergeCells count="10">
    <mergeCell ref="B6:D6"/>
    <mergeCell ref="A28:E2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M118"/>
  <sheetViews>
    <sheetView view="pageBreakPreview" topLeftCell="A89" zoomScale="80" zoomScaleNormal="100" zoomScaleSheetLayoutView="80" workbookViewId="0">
      <selection activeCell="I63" sqref="I63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89" customWidth="1"/>
    <col min="8" max="8" width="16.140625" style="89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194" t="s">
        <v>0</v>
      </c>
      <c r="B1" s="197" t="s">
        <v>8</v>
      </c>
      <c r="C1" s="200" t="s">
        <v>9</v>
      </c>
      <c r="D1" s="200" t="s">
        <v>10</v>
      </c>
      <c r="E1" s="206" t="s">
        <v>11</v>
      </c>
      <c r="F1" s="207"/>
      <c r="G1" s="207"/>
      <c r="H1" s="207"/>
      <c r="I1" s="207"/>
      <c r="J1" s="207"/>
      <c r="K1" s="207"/>
      <c r="L1" s="207"/>
    </row>
    <row r="2" spans="1:13" ht="14.45" customHeight="1" x14ac:dyDescent="0.25">
      <c r="A2" s="195"/>
      <c r="B2" s="198"/>
      <c r="C2" s="200"/>
      <c r="D2" s="200"/>
      <c r="E2" s="208"/>
      <c r="F2" s="209"/>
      <c r="G2" s="209"/>
      <c r="H2" s="209"/>
      <c r="I2" s="209"/>
      <c r="J2" s="209"/>
      <c r="K2" s="209"/>
      <c r="L2" s="209"/>
    </row>
    <row r="3" spans="1:13" ht="27.75" customHeight="1" x14ac:dyDescent="0.25">
      <c r="A3" s="195"/>
      <c r="B3" s="198"/>
      <c r="C3" s="200"/>
      <c r="D3" s="200"/>
      <c r="E3" s="200" t="s">
        <v>12</v>
      </c>
      <c r="F3" s="200"/>
      <c r="G3" s="200"/>
      <c r="H3" s="200" t="s">
        <v>13</v>
      </c>
      <c r="I3" s="200"/>
      <c r="J3" s="200"/>
      <c r="K3" s="190" t="s">
        <v>14</v>
      </c>
      <c r="L3" s="190"/>
    </row>
    <row r="4" spans="1:13" ht="56.1" customHeight="1" x14ac:dyDescent="0.25">
      <c r="A4" s="196"/>
      <c r="B4" s="199"/>
      <c r="C4" s="200"/>
      <c r="D4" s="200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210" t="s">
        <v>225</v>
      </c>
      <c r="C6" s="211"/>
      <c r="D6" s="211"/>
      <c r="E6" s="27"/>
      <c r="F6" s="28"/>
      <c r="G6" s="29"/>
      <c r="H6" s="29"/>
      <c r="I6" s="29"/>
      <c r="J6" s="29"/>
      <c r="K6" s="29"/>
      <c r="L6" s="29"/>
    </row>
    <row r="7" spans="1:13" ht="24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18" customHeight="1" x14ac:dyDescent="0.25">
      <c r="A8" s="127">
        <v>1</v>
      </c>
      <c r="B8" s="128" t="s">
        <v>21</v>
      </c>
      <c r="C8" s="129" t="s">
        <v>22</v>
      </c>
      <c r="D8" s="130">
        <v>105.48</v>
      </c>
      <c r="E8" s="131">
        <v>3500</v>
      </c>
      <c r="F8" s="131">
        <f t="shared" ref="F8:F10" si="0">ROUND(E8*D8,2)</f>
        <v>369180</v>
      </c>
      <c r="G8" s="131">
        <f t="shared" ref="G8:G10" si="1">ROUND(F8*1.2,2)</f>
        <v>443016</v>
      </c>
      <c r="H8" s="151"/>
      <c r="I8" s="131"/>
      <c r="J8" s="131"/>
      <c r="K8" s="133">
        <f t="shared" ref="K8:L10" si="2">F8+I8</f>
        <v>369180</v>
      </c>
      <c r="L8" s="131">
        <f t="shared" si="2"/>
        <v>443016</v>
      </c>
      <c r="M8" s="40" t="s">
        <v>609</v>
      </c>
    </row>
    <row r="9" spans="1:13" ht="18" customHeight="1" x14ac:dyDescent="0.25">
      <c r="A9" s="119">
        <f>A8+1</f>
        <v>2</v>
      </c>
      <c r="B9" s="120" t="s">
        <v>23</v>
      </c>
      <c r="C9" s="121" t="s">
        <v>24</v>
      </c>
      <c r="D9" s="135">
        <v>28.91</v>
      </c>
      <c r="E9" s="123">
        <f>ROUND(65055.24/(297.03*0.05),2)</f>
        <v>4380.38</v>
      </c>
      <c r="F9" s="124">
        <f t="shared" si="0"/>
        <v>126636.79</v>
      </c>
      <c r="G9" s="124">
        <f t="shared" si="1"/>
        <v>151964.15</v>
      </c>
      <c r="H9" s="154"/>
      <c r="I9" s="124"/>
      <c r="J9" s="124"/>
      <c r="K9" s="126">
        <f t="shared" si="2"/>
        <v>126636.79</v>
      </c>
      <c r="L9" s="124">
        <f t="shared" si="2"/>
        <v>151964.15</v>
      </c>
      <c r="M9" s="21" t="s">
        <v>226</v>
      </c>
    </row>
    <row r="10" spans="1:13" ht="20.25" customHeight="1" x14ac:dyDescent="0.25">
      <c r="A10" s="119">
        <f t="shared" ref="A10" si="3">A9+1</f>
        <v>3</v>
      </c>
      <c r="B10" s="120" t="s">
        <v>26</v>
      </c>
      <c r="C10" s="121" t="s">
        <v>24</v>
      </c>
      <c r="D10" s="135">
        <v>42.1</v>
      </c>
      <c r="E10" s="125">
        <v>304</v>
      </c>
      <c r="F10" s="124">
        <f t="shared" si="0"/>
        <v>12798.4</v>
      </c>
      <c r="G10" s="124">
        <f t="shared" si="1"/>
        <v>15358.08</v>
      </c>
      <c r="H10" s="124"/>
      <c r="I10" s="124"/>
      <c r="J10" s="124"/>
      <c r="K10" s="126">
        <f t="shared" si="2"/>
        <v>12798.4</v>
      </c>
      <c r="L10" s="124">
        <f t="shared" si="2"/>
        <v>15358.08</v>
      </c>
      <c r="M10" s="21" t="s">
        <v>226</v>
      </c>
    </row>
    <row r="11" spans="1:13" ht="20.25" customHeight="1" x14ac:dyDescent="0.25">
      <c r="A11" s="30"/>
      <c r="B11" s="102" t="s">
        <v>227</v>
      </c>
      <c r="C11" s="38"/>
      <c r="D11" s="39"/>
      <c r="E11" s="103"/>
      <c r="F11" s="35"/>
      <c r="G11" s="35"/>
      <c r="H11" s="35"/>
      <c r="I11" s="35"/>
      <c r="J11" s="35"/>
      <c r="K11" s="32"/>
      <c r="L11" s="35"/>
      <c r="M11" s="66"/>
    </row>
    <row r="12" spans="1:13" ht="20.25" customHeight="1" x14ac:dyDescent="0.25">
      <c r="A12" s="119">
        <f>A10+1</f>
        <v>4</v>
      </c>
      <c r="B12" s="138" t="s">
        <v>27</v>
      </c>
      <c r="C12" s="121" t="s">
        <v>37</v>
      </c>
      <c r="D12" s="135">
        <v>110.98</v>
      </c>
      <c r="E12" s="123">
        <v>431.37</v>
      </c>
      <c r="F12" s="124">
        <f t="shared" ref="F12" si="4">ROUND(E12*D12,2)</f>
        <v>47873.440000000002</v>
      </c>
      <c r="G12" s="124">
        <f t="shared" ref="G12" si="5">ROUND(F12*1.2,2)</f>
        <v>57448.13</v>
      </c>
      <c r="H12" s="154"/>
      <c r="I12" s="124"/>
      <c r="J12" s="124"/>
      <c r="K12" s="126">
        <f t="shared" ref="K12:L12" si="6">F12+I12</f>
        <v>47873.440000000002</v>
      </c>
      <c r="L12" s="124">
        <f t="shared" si="6"/>
        <v>57448.13</v>
      </c>
      <c r="M12" s="66" t="s">
        <v>153</v>
      </c>
    </row>
    <row r="13" spans="1:13" ht="20.25" customHeight="1" x14ac:dyDescent="0.25">
      <c r="A13" s="51"/>
      <c r="B13" s="42" t="s">
        <v>43</v>
      </c>
      <c r="C13" s="38"/>
      <c r="D13" s="52"/>
      <c r="E13" s="53"/>
      <c r="F13" s="54"/>
      <c r="G13" s="55"/>
      <c r="H13" s="56"/>
      <c r="I13" s="57"/>
      <c r="J13" s="57"/>
      <c r="K13" s="58"/>
      <c r="L13" s="57"/>
    </row>
    <row r="14" spans="1:13" ht="20.25" customHeight="1" x14ac:dyDescent="0.25">
      <c r="A14" s="119">
        <f>A12+1</f>
        <v>5</v>
      </c>
      <c r="B14" s="120" t="s">
        <v>44</v>
      </c>
      <c r="C14" s="121" t="s">
        <v>24</v>
      </c>
      <c r="D14" s="135">
        <v>138.57</v>
      </c>
      <c r="E14" s="154">
        <v>308.75</v>
      </c>
      <c r="F14" s="124">
        <f t="shared" ref="F14:F23" si="7">ROUND(E14*D14,2)</f>
        <v>42783.49</v>
      </c>
      <c r="G14" s="124">
        <f t="shared" ref="G14:G23" si="8">ROUND(F14*1.2,2)</f>
        <v>51340.19</v>
      </c>
      <c r="H14" s="136"/>
      <c r="I14" s="137"/>
      <c r="J14" s="137"/>
      <c r="K14" s="125">
        <f t="shared" ref="K14:L23" si="9">F14+I14</f>
        <v>42783.49</v>
      </c>
      <c r="L14" s="123">
        <f t="shared" si="9"/>
        <v>51340.19</v>
      </c>
    </row>
    <row r="15" spans="1:13" ht="20.25" customHeight="1" x14ac:dyDescent="0.25">
      <c r="A15" s="119">
        <f>A14+1</f>
        <v>6</v>
      </c>
      <c r="B15" s="120" t="s">
        <v>45</v>
      </c>
      <c r="C15" s="121" t="s">
        <v>24</v>
      </c>
      <c r="D15" s="135">
        <v>4.29</v>
      </c>
      <c r="E15" s="154">
        <v>1688.15</v>
      </c>
      <c r="F15" s="124">
        <f t="shared" si="7"/>
        <v>7242.16</v>
      </c>
      <c r="G15" s="124">
        <f t="shared" si="8"/>
        <v>8690.59</v>
      </c>
      <c r="H15" s="136"/>
      <c r="I15" s="137"/>
      <c r="J15" s="137"/>
      <c r="K15" s="125">
        <f t="shared" si="9"/>
        <v>7242.16</v>
      </c>
      <c r="L15" s="123">
        <f t="shared" si="9"/>
        <v>8690.59</v>
      </c>
    </row>
    <row r="16" spans="1:13" ht="20.25" customHeight="1" x14ac:dyDescent="0.25">
      <c r="A16" s="119">
        <f>A15+1</f>
        <v>7</v>
      </c>
      <c r="B16" s="120" t="s">
        <v>46</v>
      </c>
      <c r="C16" s="121" t="s">
        <v>24</v>
      </c>
      <c r="D16" s="135">
        <v>2.17</v>
      </c>
      <c r="E16" s="154">
        <v>1310.05</v>
      </c>
      <c r="F16" s="124">
        <f t="shared" si="7"/>
        <v>2842.81</v>
      </c>
      <c r="G16" s="124">
        <f t="shared" si="8"/>
        <v>3411.37</v>
      </c>
      <c r="H16" s="136"/>
      <c r="I16" s="137"/>
      <c r="J16" s="137"/>
      <c r="K16" s="125">
        <f t="shared" si="9"/>
        <v>2842.81</v>
      </c>
      <c r="L16" s="123">
        <f t="shared" si="9"/>
        <v>3411.37</v>
      </c>
    </row>
    <row r="17" spans="1:13" ht="20.25" customHeight="1" x14ac:dyDescent="0.25">
      <c r="A17" s="44" t="s">
        <v>39</v>
      </c>
      <c r="B17" s="45" t="s">
        <v>48</v>
      </c>
      <c r="C17" s="46" t="s">
        <v>24</v>
      </c>
      <c r="D17" s="47">
        <f>2.17*1.1</f>
        <v>2.387</v>
      </c>
      <c r="E17" s="48"/>
      <c r="F17" s="49"/>
      <c r="G17" s="49"/>
      <c r="H17" s="49">
        <v>1191.3</v>
      </c>
      <c r="I17" s="49">
        <f>ROUND(H17*D17,2)</f>
        <v>2843.63</v>
      </c>
      <c r="J17" s="49">
        <f>ROUND(I17*1.2,2)</f>
        <v>3412.36</v>
      </c>
      <c r="K17" s="50">
        <f t="shared" si="9"/>
        <v>2843.63</v>
      </c>
      <c r="L17" s="49">
        <f t="shared" si="9"/>
        <v>3412.36</v>
      </c>
    </row>
    <row r="18" spans="1:13" ht="20.25" customHeight="1" x14ac:dyDescent="0.25">
      <c r="A18" s="121">
        <f>A16+1</f>
        <v>8</v>
      </c>
      <c r="B18" s="120" t="s">
        <v>228</v>
      </c>
      <c r="C18" s="121" t="s">
        <v>24</v>
      </c>
      <c r="D18" s="135">
        <v>33.78</v>
      </c>
      <c r="E18" s="154">
        <v>1310.05</v>
      </c>
      <c r="F18" s="124">
        <f t="shared" si="7"/>
        <v>44253.49</v>
      </c>
      <c r="G18" s="124">
        <f t="shared" si="8"/>
        <v>53104.19</v>
      </c>
      <c r="H18" s="124"/>
      <c r="I18" s="124"/>
      <c r="J18" s="124"/>
      <c r="K18" s="126">
        <f t="shared" si="9"/>
        <v>44253.49</v>
      </c>
      <c r="L18" s="124">
        <f t="shared" si="9"/>
        <v>53104.19</v>
      </c>
    </row>
    <row r="19" spans="1:13" ht="20.25" customHeight="1" x14ac:dyDescent="0.25">
      <c r="A19" s="44" t="s">
        <v>42</v>
      </c>
      <c r="B19" s="45" t="s">
        <v>48</v>
      </c>
      <c r="C19" s="46" t="s">
        <v>24</v>
      </c>
      <c r="D19" s="47">
        <f>D18*1.1</f>
        <v>37.158000000000001</v>
      </c>
      <c r="E19" s="48"/>
      <c r="F19" s="49"/>
      <c r="G19" s="49"/>
      <c r="H19" s="49">
        <v>1191.3</v>
      </c>
      <c r="I19" s="49">
        <f>ROUND(H19*D19,2)</f>
        <v>44266.33</v>
      </c>
      <c r="J19" s="49">
        <f>ROUND(I19*1.2,2)</f>
        <v>53119.6</v>
      </c>
      <c r="K19" s="50">
        <f t="shared" si="9"/>
        <v>44266.33</v>
      </c>
      <c r="L19" s="49">
        <f t="shared" si="9"/>
        <v>53119.6</v>
      </c>
    </row>
    <row r="20" spans="1:13" s="61" customFormat="1" ht="21.75" customHeight="1" x14ac:dyDescent="0.25">
      <c r="A20" s="121">
        <f>A18+1</f>
        <v>9</v>
      </c>
      <c r="B20" s="120" t="s">
        <v>148</v>
      </c>
      <c r="C20" s="121" t="s">
        <v>24</v>
      </c>
      <c r="D20" s="135">
        <v>171.97</v>
      </c>
      <c r="E20" s="154">
        <v>118.75</v>
      </c>
      <c r="F20" s="124">
        <f t="shared" si="7"/>
        <v>20421.439999999999</v>
      </c>
      <c r="G20" s="124">
        <f t="shared" si="8"/>
        <v>24505.73</v>
      </c>
      <c r="H20" s="136"/>
      <c r="I20" s="137"/>
      <c r="J20" s="137"/>
      <c r="K20" s="125">
        <f t="shared" si="9"/>
        <v>20421.439999999999</v>
      </c>
      <c r="L20" s="123">
        <f t="shared" si="9"/>
        <v>24505.73</v>
      </c>
      <c r="M20" s="60"/>
    </row>
    <row r="21" spans="1:13" ht="18.75" customHeight="1" x14ac:dyDescent="0.25">
      <c r="A21" s="119">
        <f>A20+1</f>
        <v>10</v>
      </c>
      <c r="B21" s="120" t="s">
        <v>574</v>
      </c>
      <c r="C21" s="121" t="s">
        <v>24</v>
      </c>
      <c r="D21" s="135">
        <v>205.75</v>
      </c>
      <c r="E21" s="154">
        <v>188.1</v>
      </c>
      <c r="F21" s="124">
        <f t="shared" si="7"/>
        <v>38701.58</v>
      </c>
      <c r="G21" s="124">
        <f t="shared" si="8"/>
        <v>46441.9</v>
      </c>
      <c r="H21" s="125"/>
      <c r="I21" s="124"/>
      <c r="J21" s="124"/>
      <c r="K21" s="125">
        <f t="shared" si="9"/>
        <v>38701.58</v>
      </c>
      <c r="L21" s="123">
        <f t="shared" si="9"/>
        <v>46441.9</v>
      </c>
    </row>
    <row r="22" spans="1:13" ht="18" customHeight="1" x14ac:dyDescent="0.25">
      <c r="A22" s="119">
        <f>A21+1</f>
        <v>11</v>
      </c>
      <c r="B22" s="120" t="s">
        <v>229</v>
      </c>
      <c r="C22" s="121" t="s">
        <v>37</v>
      </c>
      <c r="D22" s="135">
        <v>66.099999999999994</v>
      </c>
      <c r="E22" s="154">
        <v>308.75</v>
      </c>
      <c r="F22" s="124">
        <f t="shared" si="7"/>
        <v>20408.38</v>
      </c>
      <c r="G22" s="124">
        <f t="shared" si="8"/>
        <v>24490.06</v>
      </c>
      <c r="H22" s="154"/>
      <c r="I22" s="123"/>
      <c r="J22" s="123"/>
      <c r="K22" s="125">
        <f t="shared" si="9"/>
        <v>20408.38</v>
      </c>
      <c r="L22" s="123">
        <f t="shared" si="9"/>
        <v>24490.06</v>
      </c>
      <c r="M22" s="66"/>
    </row>
    <row r="23" spans="1:13" ht="18" customHeight="1" x14ac:dyDescent="0.25">
      <c r="A23" s="127">
        <f>A22+1</f>
        <v>12</v>
      </c>
      <c r="B23" s="128" t="s">
        <v>230</v>
      </c>
      <c r="C23" s="129" t="s">
        <v>37</v>
      </c>
      <c r="D23" s="130">
        <v>66.099999999999994</v>
      </c>
      <c r="E23" s="151">
        <v>350</v>
      </c>
      <c r="F23" s="132">
        <f t="shared" si="7"/>
        <v>23135</v>
      </c>
      <c r="G23" s="132">
        <f t="shared" si="8"/>
        <v>27762</v>
      </c>
      <c r="H23" s="151"/>
      <c r="I23" s="131"/>
      <c r="J23" s="131"/>
      <c r="K23" s="133">
        <f t="shared" si="9"/>
        <v>23135</v>
      </c>
      <c r="L23" s="131">
        <f t="shared" si="9"/>
        <v>27762</v>
      </c>
      <c r="M23" s="66"/>
    </row>
    <row r="24" spans="1:13" ht="18" customHeight="1" x14ac:dyDescent="0.25">
      <c r="A24" s="44"/>
      <c r="B24" s="42" t="s">
        <v>52</v>
      </c>
      <c r="C24" s="38"/>
      <c r="D24" s="52"/>
      <c r="E24" s="53"/>
      <c r="F24" s="54"/>
      <c r="G24" s="55"/>
      <c r="H24" s="62"/>
      <c r="I24" s="35"/>
      <c r="J24" s="35"/>
      <c r="K24" s="32"/>
      <c r="L24" s="35"/>
    </row>
    <row r="25" spans="1:13" ht="18" customHeight="1" x14ac:dyDescent="0.25">
      <c r="A25" s="129">
        <f>A23+1</f>
        <v>13</v>
      </c>
      <c r="B25" s="128" t="s">
        <v>231</v>
      </c>
      <c r="C25" s="129" t="s">
        <v>160</v>
      </c>
      <c r="D25" s="140">
        <v>2</v>
      </c>
      <c r="E25" s="151">
        <f>9339.8/530*315</f>
        <v>5551.0132075471693</v>
      </c>
      <c r="F25" s="131">
        <f t="shared" ref="F25:F27" si="10">ROUND(E25*D25,2)</f>
        <v>11102.03</v>
      </c>
      <c r="G25" s="131">
        <f t="shared" ref="G25:G27" si="11">ROUND(F25*1.2,2)</f>
        <v>13322.44</v>
      </c>
      <c r="H25" s="151"/>
      <c r="I25" s="131"/>
      <c r="J25" s="131"/>
      <c r="K25" s="133">
        <f t="shared" ref="K25:L40" si="12">F25+I25</f>
        <v>11102.03</v>
      </c>
      <c r="L25" s="131">
        <f t="shared" si="12"/>
        <v>13322.44</v>
      </c>
      <c r="M25" s="66" t="s">
        <v>232</v>
      </c>
    </row>
    <row r="26" spans="1:13" ht="18" customHeight="1" x14ac:dyDescent="0.25">
      <c r="A26" s="127">
        <f>A25+1</f>
        <v>14</v>
      </c>
      <c r="B26" s="128" t="s">
        <v>162</v>
      </c>
      <c r="C26" s="129" t="s">
        <v>160</v>
      </c>
      <c r="D26" s="140">
        <v>2</v>
      </c>
      <c r="E26" s="151">
        <f>ROUND(1863.6*1.33,2)</f>
        <v>2478.59</v>
      </c>
      <c r="F26" s="131">
        <f t="shared" si="10"/>
        <v>4957.18</v>
      </c>
      <c r="G26" s="131">
        <f t="shared" si="11"/>
        <v>5948.62</v>
      </c>
      <c r="H26" s="151"/>
      <c r="I26" s="131"/>
      <c r="J26" s="131"/>
      <c r="K26" s="133">
        <f t="shared" si="12"/>
        <v>4957.18</v>
      </c>
      <c r="L26" s="131">
        <f t="shared" si="12"/>
        <v>5948.62</v>
      </c>
      <c r="M26" s="66"/>
    </row>
    <row r="27" spans="1:13" ht="33.75" customHeight="1" x14ac:dyDescent="0.25">
      <c r="A27" s="119">
        <f>A26+1</f>
        <v>15</v>
      </c>
      <c r="B27" s="120" t="s">
        <v>56</v>
      </c>
      <c r="C27" s="121" t="s">
        <v>22</v>
      </c>
      <c r="D27" s="135">
        <v>27.01</v>
      </c>
      <c r="E27" s="154">
        <v>1450.65</v>
      </c>
      <c r="F27" s="124">
        <f t="shared" si="10"/>
        <v>39182.06</v>
      </c>
      <c r="G27" s="124">
        <f t="shared" si="11"/>
        <v>47018.47</v>
      </c>
      <c r="H27" s="136"/>
      <c r="I27" s="137"/>
      <c r="J27" s="137"/>
      <c r="K27" s="125">
        <f t="shared" si="12"/>
        <v>39182.06</v>
      </c>
      <c r="L27" s="123">
        <f t="shared" si="12"/>
        <v>47018.47</v>
      </c>
      <c r="M27" s="66"/>
    </row>
    <row r="28" spans="1:13" ht="32.25" customHeight="1" x14ac:dyDescent="0.25">
      <c r="A28" s="44" t="s">
        <v>54</v>
      </c>
      <c r="B28" s="45" t="s">
        <v>58</v>
      </c>
      <c r="C28" s="46" t="s">
        <v>22</v>
      </c>
      <c r="D28" s="47">
        <f>1.02*27.01</f>
        <v>27.550200000000004</v>
      </c>
      <c r="E28" s="49"/>
      <c r="F28" s="49"/>
      <c r="G28" s="49"/>
      <c r="H28" s="63">
        <v>4493.5</v>
      </c>
      <c r="I28" s="63">
        <f>ROUND(H28*D28,2)</f>
        <v>123796.82</v>
      </c>
      <c r="J28" s="63">
        <f>ROUND(I28*1.2,2)</f>
        <v>148556.18</v>
      </c>
      <c r="K28" s="65">
        <f t="shared" si="12"/>
        <v>123796.82</v>
      </c>
      <c r="L28" s="63">
        <f t="shared" si="12"/>
        <v>148556.18</v>
      </c>
      <c r="M28" s="66"/>
    </row>
    <row r="29" spans="1:13" ht="30" x14ac:dyDescent="0.25">
      <c r="A29" s="119">
        <f>A27+1</f>
        <v>16</v>
      </c>
      <c r="B29" s="120" t="s">
        <v>59</v>
      </c>
      <c r="C29" s="121" t="s">
        <v>22</v>
      </c>
      <c r="D29" s="135">
        <v>27.01</v>
      </c>
      <c r="E29" s="154">
        <v>1084.9000000000001</v>
      </c>
      <c r="F29" s="124">
        <f t="shared" ref="F29" si="13">ROUND(E29*D29,2)</f>
        <v>29303.15</v>
      </c>
      <c r="G29" s="124">
        <f t="shared" ref="G29" si="14">ROUND(F29*1.2,2)</f>
        <v>35163.78</v>
      </c>
      <c r="H29" s="136"/>
      <c r="I29" s="137"/>
      <c r="J29" s="137"/>
      <c r="K29" s="125">
        <f t="shared" si="12"/>
        <v>29303.15</v>
      </c>
      <c r="L29" s="123">
        <f t="shared" si="12"/>
        <v>35163.78</v>
      </c>
    </row>
    <row r="30" spans="1:13" ht="20.25" customHeight="1" x14ac:dyDescent="0.25">
      <c r="A30" s="44" t="s">
        <v>57</v>
      </c>
      <c r="B30" s="45" t="s">
        <v>233</v>
      </c>
      <c r="C30" s="46" t="s">
        <v>22</v>
      </c>
      <c r="D30" s="47">
        <f>1.02*27.01</f>
        <v>27.550200000000004</v>
      </c>
      <c r="E30" s="48"/>
      <c r="F30" s="49"/>
      <c r="G30" s="49"/>
      <c r="H30" s="63">
        <v>376.2</v>
      </c>
      <c r="I30" s="49">
        <f>ROUND(H30*D30,2)</f>
        <v>10364.39</v>
      </c>
      <c r="J30" s="49">
        <f>ROUND(I30*1.2,2)</f>
        <v>12437.27</v>
      </c>
      <c r="K30" s="50">
        <f t="shared" si="12"/>
        <v>10364.39</v>
      </c>
      <c r="L30" s="49">
        <f t="shared" si="12"/>
        <v>12437.27</v>
      </c>
      <c r="M30" s="64"/>
    </row>
    <row r="31" spans="1:13" ht="21" customHeight="1" x14ac:dyDescent="0.25">
      <c r="A31" s="44" t="s">
        <v>234</v>
      </c>
      <c r="B31" s="45" t="s">
        <v>62</v>
      </c>
      <c r="C31" s="46" t="s">
        <v>63</v>
      </c>
      <c r="D31" s="67">
        <v>13</v>
      </c>
      <c r="E31" s="48"/>
      <c r="F31" s="49"/>
      <c r="G31" s="49"/>
      <c r="H31" s="49">
        <v>788.5</v>
      </c>
      <c r="I31" s="49">
        <f>ROUND(H31*D31,2)</f>
        <v>10250.5</v>
      </c>
      <c r="J31" s="49">
        <f>ROUND(I31*1.2,2)</f>
        <v>12300.6</v>
      </c>
      <c r="K31" s="50">
        <f t="shared" si="12"/>
        <v>10250.5</v>
      </c>
      <c r="L31" s="49">
        <f t="shared" si="12"/>
        <v>12300.6</v>
      </c>
      <c r="M31" s="66"/>
    </row>
    <row r="32" spans="1:13" ht="38.25" customHeight="1" x14ac:dyDescent="0.25">
      <c r="A32" s="119">
        <f>A29+1</f>
        <v>17</v>
      </c>
      <c r="B32" s="138" t="s">
        <v>66</v>
      </c>
      <c r="C32" s="121" t="s">
        <v>24</v>
      </c>
      <c r="D32" s="165">
        <v>1.77</v>
      </c>
      <c r="E32" s="154">
        <v>8327.42</v>
      </c>
      <c r="F32" s="124">
        <f t="shared" ref="F32" si="15">ROUND(E32*D32,2)</f>
        <v>14739.53</v>
      </c>
      <c r="G32" s="124">
        <f t="shared" ref="G32" si="16">ROUND(F32*1.2,2)</f>
        <v>17687.439999999999</v>
      </c>
      <c r="H32" s="136"/>
      <c r="I32" s="137"/>
      <c r="J32" s="137"/>
      <c r="K32" s="125">
        <f t="shared" si="12"/>
        <v>14739.53</v>
      </c>
      <c r="L32" s="123">
        <f t="shared" si="12"/>
        <v>17687.439999999999</v>
      </c>
    </row>
    <row r="33" spans="1:13" ht="19.5" customHeight="1" x14ac:dyDescent="0.25">
      <c r="A33" s="44" t="s">
        <v>60</v>
      </c>
      <c r="B33" s="45" t="s">
        <v>68</v>
      </c>
      <c r="C33" s="46" t="s">
        <v>24</v>
      </c>
      <c r="D33" s="47">
        <f>1.02*1.77</f>
        <v>1.8054000000000001</v>
      </c>
      <c r="E33" s="48"/>
      <c r="F33" s="49"/>
      <c r="G33" s="49"/>
      <c r="H33" s="49">
        <v>3657.5</v>
      </c>
      <c r="I33" s="49">
        <f>ROUND(H33*D33,2)</f>
        <v>6603.25</v>
      </c>
      <c r="J33" s="49">
        <f>ROUND(I33*1.2,2)</f>
        <v>7923.9</v>
      </c>
      <c r="K33" s="50">
        <f t="shared" si="12"/>
        <v>6603.25</v>
      </c>
      <c r="L33" s="49">
        <f t="shared" si="12"/>
        <v>7923.9</v>
      </c>
      <c r="M33" s="64"/>
    </row>
    <row r="34" spans="1:13" ht="45.75" customHeight="1" x14ac:dyDescent="0.25">
      <c r="A34" s="121">
        <f>A32+1</f>
        <v>18</v>
      </c>
      <c r="B34" s="120" t="s">
        <v>64</v>
      </c>
      <c r="C34" s="121" t="s">
        <v>63</v>
      </c>
      <c r="D34" s="146">
        <v>1</v>
      </c>
      <c r="E34" s="154">
        <v>3190.34</v>
      </c>
      <c r="F34" s="124">
        <f t="shared" ref="F34" si="17">ROUND(E34*D34,2)</f>
        <v>3190.34</v>
      </c>
      <c r="G34" s="124">
        <f t="shared" ref="G34" si="18">ROUND(F34*1.2,2)</f>
        <v>3828.41</v>
      </c>
      <c r="H34" s="136"/>
      <c r="I34" s="137"/>
      <c r="J34" s="137"/>
      <c r="K34" s="125">
        <f t="shared" si="12"/>
        <v>3190.34</v>
      </c>
      <c r="L34" s="123">
        <f t="shared" si="12"/>
        <v>3828.41</v>
      </c>
    </row>
    <row r="35" spans="1:13" ht="32.25" customHeight="1" x14ac:dyDescent="0.25">
      <c r="A35" s="44" t="s">
        <v>65</v>
      </c>
      <c r="B35" s="45" t="s">
        <v>235</v>
      </c>
      <c r="C35" s="46" t="s">
        <v>63</v>
      </c>
      <c r="D35" s="67">
        <v>1</v>
      </c>
      <c r="E35" s="48"/>
      <c r="F35" s="49"/>
      <c r="G35" s="49"/>
      <c r="H35" s="49">
        <v>731.5</v>
      </c>
      <c r="I35" s="49">
        <f>ROUND(H35*D35,2)</f>
        <v>731.5</v>
      </c>
      <c r="J35" s="49">
        <f>ROUND(I35*1.2,2)</f>
        <v>877.8</v>
      </c>
      <c r="K35" s="50">
        <f t="shared" si="12"/>
        <v>731.5</v>
      </c>
      <c r="L35" s="49">
        <f t="shared" si="12"/>
        <v>877.8</v>
      </c>
    </row>
    <row r="36" spans="1:13" ht="30" customHeight="1" x14ac:dyDescent="0.25">
      <c r="A36" s="121">
        <f>A34+1</f>
        <v>19</v>
      </c>
      <c r="B36" s="120" t="s">
        <v>53</v>
      </c>
      <c r="C36" s="121" t="s">
        <v>22</v>
      </c>
      <c r="D36" s="146">
        <v>51</v>
      </c>
      <c r="E36" s="154">
        <v>966.15</v>
      </c>
      <c r="F36" s="124">
        <f t="shared" ref="F36:F40" si="19">ROUND(E36*D36,2)</f>
        <v>49273.65</v>
      </c>
      <c r="G36" s="124">
        <f t="shared" ref="G36:G40" si="20">ROUND(F36*1.2,2)</f>
        <v>59128.38</v>
      </c>
      <c r="H36" s="136"/>
      <c r="I36" s="137"/>
      <c r="J36" s="137"/>
      <c r="K36" s="125">
        <f t="shared" si="12"/>
        <v>49273.65</v>
      </c>
      <c r="L36" s="123">
        <f t="shared" si="12"/>
        <v>59128.38</v>
      </c>
      <c r="M36" s="66"/>
    </row>
    <row r="37" spans="1:13" ht="20.25" customHeight="1" x14ac:dyDescent="0.25">
      <c r="A37" s="44" t="s">
        <v>67</v>
      </c>
      <c r="B37" s="45" t="s">
        <v>233</v>
      </c>
      <c r="C37" s="46" t="s">
        <v>22</v>
      </c>
      <c r="D37" s="47">
        <f>1.02*51</f>
        <v>52.02</v>
      </c>
      <c r="E37" s="48"/>
      <c r="F37" s="49"/>
      <c r="G37" s="49"/>
      <c r="H37" s="63">
        <v>376.2</v>
      </c>
      <c r="I37" s="49">
        <f>ROUND(H37*D37,2)</f>
        <v>19569.919999999998</v>
      </c>
      <c r="J37" s="49">
        <f>ROUND(I37*1.2,2)</f>
        <v>23483.9</v>
      </c>
      <c r="K37" s="50">
        <f t="shared" si="12"/>
        <v>19569.919999999998</v>
      </c>
      <c r="L37" s="49">
        <f t="shared" si="12"/>
        <v>23483.9</v>
      </c>
      <c r="M37" s="64"/>
    </row>
    <row r="38" spans="1:13" ht="31.5" customHeight="1" x14ac:dyDescent="0.25">
      <c r="A38" s="121">
        <f>A36+1</f>
        <v>20</v>
      </c>
      <c r="B38" s="120" t="s">
        <v>236</v>
      </c>
      <c r="C38" s="121" t="s">
        <v>63</v>
      </c>
      <c r="D38" s="146">
        <v>1</v>
      </c>
      <c r="E38" s="154">
        <v>3791.45</v>
      </c>
      <c r="F38" s="124">
        <f t="shared" si="19"/>
        <v>3791.45</v>
      </c>
      <c r="G38" s="124">
        <f t="shared" si="20"/>
        <v>4549.74</v>
      </c>
      <c r="H38" s="136"/>
      <c r="I38" s="137"/>
      <c r="J38" s="137"/>
      <c r="K38" s="125">
        <f t="shared" si="12"/>
        <v>3791.45</v>
      </c>
      <c r="L38" s="123">
        <f t="shared" si="12"/>
        <v>4549.74</v>
      </c>
    </row>
    <row r="39" spans="1:13" ht="23.25" customHeight="1" x14ac:dyDescent="0.25">
      <c r="A39" s="44" t="s">
        <v>72</v>
      </c>
      <c r="B39" s="45" t="s">
        <v>237</v>
      </c>
      <c r="C39" s="46" t="s">
        <v>63</v>
      </c>
      <c r="D39" s="67">
        <v>1</v>
      </c>
      <c r="E39" s="48"/>
      <c r="F39" s="49"/>
      <c r="G39" s="49"/>
      <c r="H39" s="49">
        <v>6897</v>
      </c>
      <c r="I39" s="49">
        <f>ROUND(H39*D39,2)</f>
        <v>6897</v>
      </c>
      <c r="J39" s="49">
        <f>ROUND(I39*1.2,2)</f>
        <v>8276.4</v>
      </c>
      <c r="K39" s="50">
        <f t="shared" si="12"/>
        <v>6897</v>
      </c>
      <c r="L39" s="49">
        <f t="shared" si="12"/>
        <v>8276.4</v>
      </c>
    </row>
    <row r="40" spans="1:13" ht="29.25" customHeight="1" x14ac:dyDescent="0.25">
      <c r="A40" s="121">
        <f>A38+1</f>
        <v>21</v>
      </c>
      <c r="B40" s="120" t="s">
        <v>238</v>
      </c>
      <c r="C40" s="121" t="s">
        <v>63</v>
      </c>
      <c r="D40" s="146">
        <v>1</v>
      </c>
      <c r="E40" s="154">
        <v>1389.85</v>
      </c>
      <c r="F40" s="124">
        <f t="shared" si="19"/>
        <v>1389.85</v>
      </c>
      <c r="G40" s="124">
        <f t="shared" si="20"/>
        <v>1667.82</v>
      </c>
      <c r="H40" s="136"/>
      <c r="I40" s="137"/>
      <c r="J40" s="137"/>
      <c r="K40" s="125">
        <f t="shared" si="12"/>
        <v>1389.85</v>
      </c>
      <c r="L40" s="123">
        <f t="shared" si="12"/>
        <v>1667.82</v>
      </c>
      <c r="M40" s="66"/>
    </row>
    <row r="41" spans="1:13" ht="21.75" customHeight="1" x14ac:dyDescent="0.25">
      <c r="A41" s="44" t="s">
        <v>74</v>
      </c>
      <c r="B41" s="45" t="s">
        <v>141</v>
      </c>
      <c r="C41" s="46" t="s">
        <v>63</v>
      </c>
      <c r="D41" s="67">
        <v>1</v>
      </c>
      <c r="E41" s="48"/>
      <c r="F41" s="49"/>
      <c r="G41" s="49"/>
      <c r="H41" s="49">
        <v>585.20000000000005</v>
      </c>
      <c r="I41" s="49">
        <f>ROUND(H41*D41,2)</f>
        <v>585.20000000000005</v>
      </c>
      <c r="J41" s="49">
        <f>ROUND(I41*1.2,2)</f>
        <v>702.24</v>
      </c>
      <c r="K41" s="50">
        <f t="shared" ref="K41:L41" si="21">F41+I41</f>
        <v>585.20000000000005</v>
      </c>
      <c r="L41" s="49">
        <f t="shared" si="21"/>
        <v>702.24</v>
      </c>
      <c r="M41" s="66"/>
    </row>
    <row r="42" spans="1:13" ht="21.75" customHeight="1" x14ac:dyDescent="0.25">
      <c r="A42" s="30"/>
      <c r="B42" s="105" t="s">
        <v>239</v>
      </c>
      <c r="C42" s="38"/>
      <c r="D42" s="39"/>
      <c r="E42" s="34"/>
      <c r="F42" s="35"/>
      <c r="G42" s="35"/>
      <c r="H42" s="62"/>
      <c r="I42" s="35"/>
      <c r="J42" s="35"/>
      <c r="K42" s="59"/>
      <c r="L42" s="41"/>
    </row>
    <row r="43" spans="1:13" ht="15.75" x14ac:dyDescent="0.25">
      <c r="A43" s="44"/>
      <c r="B43" s="42" t="s">
        <v>43</v>
      </c>
      <c r="C43" s="38"/>
      <c r="D43" s="39"/>
      <c r="E43" s="34"/>
      <c r="F43" s="35"/>
      <c r="G43" s="35"/>
      <c r="H43" s="35"/>
      <c r="I43" s="35"/>
      <c r="J43" s="35"/>
      <c r="K43" s="32"/>
      <c r="L43" s="35"/>
    </row>
    <row r="44" spans="1:13" ht="18.75" customHeight="1" x14ac:dyDescent="0.25">
      <c r="A44" s="119">
        <f>A40+1</f>
        <v>22</v>
      </c>
      <c r="B44" s="120" t="s">
        <v>44</v>
      </c>
      <c r="C44" s="121" t="s">
        <v>24</v>
      </c>
      <c r="D44" s="135">
        <v>168.14</v>
      </c>
      <c r="E44" s="154">
        <v>308.75</v>
      </c>
      <c r="F44" s="124">
        <f t="shared" ref="F44:F46" si="22">ROUND(E44*D44,2)</f>
        <v>51913.23</v>
      </c>
      <c r="G44" s="124">
        <f t="shared" ref="G44:G46" si="23">ROUND(F44*1.2,2)</f>
        <v>62295.88</v>
      </c>
      <c r="H44" s="136"/>
      <c r="I44" s="137"/>
      <c r="J44" s="137"/>
      <c r="K44" s="125">
        <f t="shared" ref="K44:L58" si="24">F44+I44</f>
        <v>51913.23</v>
      </c>
      <c r="L44" s="123">
        <f t="shared" si="24"/>
        <v>62295.88</v>
      </c>
    </row>
    <row r="45" spans="1:13" ht="18.75" customHeight="1" x14ac:dyDescent="0.25">
      <c r="A45" s="121">
        <f>A44+1</f>
        <v>23</v>
      </c>
      <c r="B45" s="120" t="s">
        <v>45</v>
      </c>
      <c r="C45" s="121" t="s">
        <v>24</v>
      </c>
      <c r="D45" s="135">
        <v>5.2</v>
      </c>
      <c r="E45" s="154">
        <v>1688.15</v>
      </c>
      <c r="F45" s="124">
        <f t="shared" si="22"/>
        <v>8778.3799999999992</v>
      </c>
      <c r="G45" s="124">
        <f t="shared" si="23"/>
        <v>10534.06</v>
      </c>
      <c r="H45" s="136"/>
      <c r="I45" s="137"/>
      <c r="J45" s="137"/>
      <c r="K45" s="125">
        <f t="shared" si="24"/>
        <v>8778.3799999999992</v>
      </c>
      <c r="L45" s="123">
        <f t="shared" si="24"/>
        <v>10534.06</v>
      </c>
    </row>
    <row r="46" spans="1:13" ht="18.75" customHeight="1" x14ac:dyDescent="0.25">
      <c r="A46" s="121">
        <f>A45+1</f>
        <v>24</v>
      </c>
      <c r="B46" s="120" t="s">
        <v>240</v>
      </c>
      <c r="C46" s="121" t="s">
        <v>24</v>
      </c>
      <c r="D46" s="135">
        <v>2.57</v>
      </c>
      <c r="E46" s="125">
        <v>1350.9</v>
      </c>
      <c r="F46" s="123">
        <f t="shared" si="22"/>
        <v>3471.81</v>
      </c>
      <c r="G46" s="123">
        <f t="shared" si="23"/>
        <v>4166.17</v>
      </c>
      <c r="H46" s="154"/>
      <c r="I46" s="123"/>
      <c r="J46" s="123"/>
      <c r="K46" s="125">
        <f t="shared" si="24"/>
        <v>3471.81</v>
      </c>
      <c r="L46" s="123">
        <f t="shared" si="24"/>
        <v>4166.17</v>
      </c>
      <c r="M46" s="21" t="s">
        <v>153</v>
      </c>
    </row>
    <row r="47" spans="1:13" ht="18.75" customHeight="1" x14ac:dyDescent="0.25">
      <c r="A47" s="44" t="s">
        <v>84</v>
      </c>
      <c r="B47" s="45" t="s">
        <v>154</v>
      </c>
      <c r="C47" s="46" t="s">
        <v>24</v>
      </c>
      <c r="D47" s="47">
        <f>2.57*1.26</f>
        <v>3.2382</v>
      </c>
      <c r="E47" s="48"/>
      <c r="F47" s="63"/>
      <c r="G47" s="63"/>
      <c r="H47" s="65">
        <v>1299.5999999999999</v>
      </c>
      <c r="I47" s="49">
        <f>ROUND(H47*D47,2)</f>
        <v>4208.3599999999997</v>
      </c>
      <c r="J47" s="49">
        <f>ROUND(I47*1.2,2)</f>
        <v>5050.03</v>
      </c>
      <c r="K47" s="50">
        <f t="shared" si="24"/>
        <v>4208.3599999999997</v>
      </c>
      <c r="L47" s="49">
        <f t="shared" si="24"/>
        <v>5050.03</v>
      </c>
      <c r="M47" s="64"/>
    </row>
    <row r="48" spans="1:13" ht="18.75" customHeight="1" x14ac:dyDescent="0.25">
      <c r="A48" s="121">
        <f>A46+1</f>
        <v>25</v>
      </c>
      <c r="B48" s="138" t="s">
        <v>241</v>
      </c>
      <c r="C48" s="121" t="s">
        <v>24</v>
      </c>
      <c r="D48" s="135">
        <v>128.63</v>
      </c>
      <c r="E48" s="154">
        <v>1310.05</v>
      </c>
      <c r="F48" s="123">
        <f t="shared" ref="F48" si="25">ROUND(E48*D48,2)</f>
        <v>168511.73</v>
      </c>
      <c r="G48" s="123">
        <f t="shared" ref="G48" si="26">ROUND(F48*1.2,2)</f>
        <v>202214.08</v>
      </c>
      <c r="H48" s="154"/>
      <c r="I48" s="124"/>
      <c r="J48" s="124"/>
      <c r="K48" s="126">
        <f t="shared" si="24"/>
        <v>168511.73</v>
      </c>
      <c r="L48" s="124">
        <f t="shared" si="24"/>
        <v>202214.08</v>
      </c>
    </row>
    <row r="49" spans="1:13" ht="18.75" customHeight="1" x14ac:dyDescent="0.25">
      <c r="A49" s="44" t="s">
        <v>87</v>
      </c>
      <c r="B49" s="45" t="s">
        <v>48</v>
      </c>
      <c r="C49" s="46" t="s">
        <v>24</v>
      </c>
      <c r="D49" s="47">
        <f>128.63*1.1</f>
        <v>141.49299999999999</v>
      </c>
      <c r="E49" s="48"/>
      <c r="F49" s="49"/>
      <c r="G49" s="49"/>
      <c r="H49" s="49">
        <v>1191.3</v>
      </c>
      <c r="I49" s="49">
        <f>ROUND(H49*D49,2)</f>
        <v>168560.61</v>
      </c>
      <c r="J49" s="49">
        <f>ROUND(I49*1.2,2)</f>
        <v>202272.73</v>
      </c>
      <c r="K49" s="50">
        <f t="shared" si="24"/>
        <v>168560.61</v>
      </c>
      <c r="L49" s="49">
        <f t="shared" si="24"/>
        <v>202272.73</v>
      </c>
    </row>
    <row r="50" spans="1:13" ht="18.75" customHeight="1" x14ac:dyDescent="0.25">
      <c r="A50" s="121">
        <f>A48+1</f>
        <v>26</v>
      </c>
      <c r="B50" s="120" t="s">
        <v>575</v>
      </c>
      <c r="C50" s="121" t="s">
        <v>24</v>
      </c>
      <c r="D50" s="135">
        <v>128.63</v>
      </c>
      <c r="E50" s="154">
        <v>188.1</v>
      </c>
      <c r="F50" s="124">
        <f t="shared" ref="F50" si="27">ROUND(E50*D50,2)</f>
        <v>24195.3</v>
      </c>
      <c r="G50" s="124">
        <f t="shared" ref="G50:G51" si="28">ROUND(F50*1.2,2)</f>
        <v>29034.36</v>
      </c>
      <c r="H50" s="125"/>
      <c r="I50" s="124"/>
      <c r="J50" s="124"/>
      <c r="K50" s="125">
        <f t="shared" si="24"/>
        <v>24195.3</v>
      </c>
      <c r="L50" s="123">
        <f t="shared" si="24"/>
        <v>29034.36</v>
      </c>
    </row>
    <row r="51" spans="1:13" ht="18.75" customHeight="1" x14ac:dyDescent="0.25">
      <c r="A51" s="121">
        <f>A50+1</f>
        <v>27</v>
      </c>
      <c r="B51" s="120" t="s">
        <v>51</v>
      </c>
      <c r="C51" s="121" t="s">
        <v>37</v>
      </c>
      <c r="D51" s="135">
        <v>263.3</v>
      </c>
      <c r="E51" s="154">
        <v>308.75</v>
      </c>
      <c r="F51" s="124">
        <f>ROUND(E51*D51,2)</f>
        <v>81293.88</v>
      </c>
      <c r="G51" s="124">
        <f t="shared" si="28"/>
        <v>97552.66</v>
      </c>
      <c r="H51" s="125"/>
      <c r="I51" s="124"/>
      <c r="J51" s="124"/>
      <c r="K51" s="125">
        <f t="shared" si="24"/>
        <v>81293.88</v>
      </c>
      <c r="L51" s="123">
        <f t="shared" si="24"/>
        <v>97552.66</v>
      </c>
    </row>
    <row r="52" spans="1:13" ht="18.75" customHeight="1" x14ac:dyDescent="0.25">
      <c r="A52" s="44"/>
      <c r="B52" s="42" t="s">
        <v>242</v>
      </c>
      <c r="C52" s="38"/>
      <c r="D52" s="39"/>
      <c r="E52" s="34"/>
      <c r="F52" s="35"/>
      <c r="G52" s="35"/>
      <c r="H52" s="62"/>
      <c r="I52" s="35"/>
      <c r="J52" s="35"/>
      <c r="K52" s="32">
        <f t="shared" si="24"/>
        <v>0</v>
      </c>
      <c r="L52" s="35">
        <f t="shared" si="24"/>
        <v>0</v>
      </c>
    </row>
    <row r="53" spans="1:13" ht="18.75" customHeight="1" x14ac:dyDescent="0.25">
      <c r="A53" s="121">
        <f>A51+1</f>
        <v>28</v>
      </c>
      <c r="B53" s="138" t="s">
        <v>243</v>
      </c>
      <c r="C53" s="121" t="s">
        <v>24</v>
      </c>
      <c r="D53" s="135">
        <v>1.31</v>
      </c>
      <c r="E53" s="154">
        <v>3780.05</v>
      </c>
      <c r="F53" s="124">
        <f>ROUND(E53*D53,2)</f>
        <v>4951.87</v>
      </c>
      <c r="G53" s="124">
        <f t="shared" ref="G53" si="29">ROUND(F53*1.2,2)</f>
        <v>5942.24</v>
      </c>
      <c r="H53" s="125"/>
      <c r="I53" s="124"/>
      <c r="J53" s="124"/>
      <c r="K53" s="125">
        <f t="shared" si="24"/>
        <v>4951.87</v>
      </c>
      <c r="L53" s="123">
        <f t="shared" si="24"/>
        <v>5942.24</v>
      </c>
      <c r="M53" s="21" t="s">
        <v>582</v>
      </c>
    </row>
    <row r="54" spans="1:13" ht="18.75" customHeight="1" x14ac:dyDescent="0.25">
      <c r="A54" s="44" t="s">
        <v>97</v>
      </c>
      <c r="B54" s="73" t="s">
        <v>244</v>
      </c>
      <c r="C54" s="46" t="s">
        <v>24</v>
      </c>
      <c r="D54" s="71">
        <f>1.02*1.31</f>
        <v>1.3362000000000001</v>
      </c>
      <c r="E54" s="48"/>
      <c r="F54" s="49"/>
      <c r="G54" s="49"/>
      <c r="H54" s="219">
        <v>6230</v>
      </c>
      <c r="I54" s="63">
        <f>ROUND(H54*D54,2)</f>
        <v>8324.5300000000007</v>
      </c>
      <c r="J54" s="63">
        <f>ROUND(I54*1.2,2)</f>
        <v>9989.44</v>
      </c>
      <c r="K54" s="65">
        <f t="shared" si="24"/>
        <v>8324.5300000000007</v>
      </c>
      <c r="L54" s="63">
        <f t="shared" si="24"/>
        <v>9989.44</v>
      </c>
      <c r="M54" s="21" t="s">
        <v>76</v>
      </c>
    </row>
    <row r="55" spans="1:13" ht="18.75" customHeight="1" x14ac:dyDescent="0.25">
      <c r="A55" s="121">
        <f>A53+1</f>
        <v>29</v>
      </c>
      <c r="B55" s="120" t="s">
        <v>245</v>
      </c>
      <c r="C55" s="121" t="s">
        <v>24</v>
      </c>
      <c r="D55" s="135">
        <v>3.92</v>
      </c>
      <c r="E55" s="154">
        <v>8001.85</v>
      </c>
      <c r="F55" s="124">
        <f>ROUND(E55*D55,2)</f>
        <v>31367.25</v>
      </c>
      <c r="G55" s="124">
        <f t="shared" ref="G55" si="30">ROUND(F55*1.2,2)</f>
        <v>37640.699999999997</v>
      </c>
      <c r="H55" s="125"/>
      <c r="I55" s="123"/>
      <c r="J55" s="123"/>
      <c r="K55" s="125">
        <f t="shared" si="24"/>
        <v>31367.25</v>
      </c>
      <c r="L55" s="123">
        <f t="shared" si="24"/>
        <v>37640.699999999997</v>
      </c>
      <c r="M55" s="21" t="s">
        <v>582</v>
      </c>
    </row>
    <row r="56" spans="1:13" ht="18.75" customHeight="1" x14ac:dyDescent="0.25">
      <c r="A56" s="44" t="s">
        <v>100</v>
      </c>
      <c r="B56" s="73" t="s">
        <v>246</v>
      </c>
      <c r="C56" s="46" t="s">
        <v>24</v>
      </c>
      <c r="D56" s="71">
        <f>1.02*3.92</f>
        <v>3.9984000000000002</v>
      </c>
      <c r="E56" s="48"/>
      <c r="F56" s="49"/>
      <c r="G56" s="49"/>
      <c r="H56" s="219">
        <v>6230</v>
      </c>
      <c r="I56" s="63">
        <f>ROUND(H56*D56,2)</f>
        <v>24910.03</v>
      </c>
      <c r="J56" s="63">
        <f>ROUND(I56*1.2,2)</f>
        <v>29892.04</v>
      </c>
      <c r="K56" s="65">
        <f t="shared" si="24"/>
        <v>24910.03</v>
      </c>
      <c r="L56" s="63">
        <f t="shared" si="24"/>
        <v>29892.04</v>
      </c>
      <c r="M56" s="21" t="s">
        <v>76</v>
      </c>
    </row>
    <row r="57" spans="1:13" ht="18.75" customHeight="1" x14ac:dyDescent="0.25">
      <c r="A57" s="44" t="s">
        <v>247</v>
      </c>
      <c r="B57" s="73" t="s">
        <v>248</v>
      </c>
      <c r="C57" s="46" t="s">
        <v>126</v>
      </c>
      <c r="D57" s="81">
        <f>434.5</f>
        <v>434.5</v>
      </c>
      <c r="E57" s="48"/>
      <c r="F57" s="49"/>
      <c r="G57" s="49"/>
      <c r="H57" s="219">
        <v>80.75</v>
      </c>
      <c r="I57" s="63">
        <f t="shared" ref="I57:I58" si="31">ROUND(H57*D57,2)</f>
        <v>35085.879999999997</v>
      </c>
      <c r="J57" s="63">
        <f t="shared" ref="J57:J58" si="32">ROUND(I57*1.2,2)</f>
        <v>42103.06</v>
      </c>
      <c r="K57" s="65">
        <f t="shared" si="24"/>
        <v>35085.879999999997</v>
      </c>
      <c r="L57" s="63">
        <f t="shared" si="24"/>
        <v>42103.06</v>
      </c>
      <c r="M57" s="21" t="s">
        <v>249</v>
      </c>
    </row>
    <row r="58" spans="1:13" ht="18.75" customHeight="1" x14ac:dyDescent="0.25">
      <c r="A58" s="44" t="s">
        <v>250</v>
      </c>
      <c r="B58" s="73" t="s">
        <v>251</v>
      </c>
      <c r="C58" s="46" t="s">
        <v>126</v>
      </c>
      <c r="D58" s="71">
        <f>14.55+4.92</f>
        <v>19.47</v>
      </c>
      <c r="E58" s="48"/>
      <c r="F58" s="49"/>
      <c r="G58" s="49"/>
      <c r="H58" s="219">
        <v>80.75</v>
      </c>
      <c r="I58" s="63">
        <f t="shared" si="31"/>
        <v>1572.2</v>
      </c>
      <c r="J58" s="63">
        <f t="shared" si="32"/>
        <v>1886.64</v>
      </c>
      <c r="K58" s="65">
        <f t="shared" si="24"/>
        <v>1572.2</v>
      </c>
      <c r="L58" s="63">
        <f t="shared" si="24"/>
        <v>1886.64</v>
      </c>
      <c r="M58" s="21" t="s">
        <v>249</v>
      </c>
    </row>
    <row r="59" spans="1:13" ht="18.75" customHeight="1" x14ac:dyDescent="0.25">
      <c r="A59" s="44"/>
      <c r="B59" s="42" t="s">
        <v>252</v>
      </c>
      <c r="C59" s="38"/>
      <c r="D59" s="96"/>
      <c r="E59" s="34"/>
      <c r="F59" s="35"/>
      <c r="G59" s="35"/>
      <c r="H59" s="222"/>
      <c r="I59" s="41"/>
      <c r="J59" s="41"/>
      <c r="K59" s="59"/>
      <c r="L59" s="41"/>
    </row>
    <row r="60" spans="1:13" ht="18.75" customHeight="1" x14ac:dyDescent="0.25">
      <c r="A60" s="127">
        <f>A55+1</f>
        <v>30</v>
      </c>
      <c r="B60" s="143" t="s">
        <v>253</v>
      </c>
      <c r="C60" s="129" t="s">
        <v>63</v>
      </c>
      <c r="D60" s="166">
        <v>63</v>
      </c>
      <c r="E60" s="151">
        <f>ROUND(1452.55*1.33,2)</f>
        <v>1931.89</v>
      </c>
      <c r="F60" s="132">
        <f>ROUND(E60*D60,2)</f>
        <v>121709.07</v>
      </c>
      <c r="G60" s="132">
        <f t="shared" ref="G60" si="33">ROUND(F60*1.2,2)</f>
        <v>146050.88</v>
      </c>
      <c r="H60" s="133"/>
      <c r="I60" s="131"/>
      <c r="J60" s="131"/>
      <c r="K60" s="133">
        <f t="shared" ref="K60:L65" si="34">F60+I60</f>
        <v>121709.07</v>
      </c>
      <c r="L60" s="131">
        <f t="shared" si="34"/>
        <v>146050.88</v>
      </c>
      <c r="M60" s="66"/>
    </row>
    <row r="61" spans="1:13" ht="18.75" customHeight="1" x14ac:dyDescent="0.25">
      <c r="A61" s="44" t="s">
        <v>103</v>
      </c>
      <c r="B61" s="73" t="s">
        <v>254</v>
      </c>
      <c r="C61" s="46" t="s">
        <v>63</v>
      </c>
      <c r="D61" s="82">
        <v>63</v>
      </c>
      <c r="E61" s="48"/>
      <c r="F61" s="49"/>
      <c r="G61" s="49"/>
      <c r="H61" s="219">
        <f>ROUND(3900/1.2*1.15,2)</f>
        <v>3737.5</v>
      </c>
      <c r="I61" s="63">
        <f t="shared" ref="I61" si="35">ROUND(H61*D61,2)</f>
        <v>235462.5</v>
      </c>
      <c r="J61" s="63">
        <f t="shared" ref="J61" si="36">ROUND(I61*1.2,2)</f>
        <v>282555</v>
      </c>
      <c r="K61" s="65">
        <f t="shared" si="34"/>
        <v>235462.5</v>
      </c>
      <c r="L61" s="63">
        <f t="shared" si="34"/>
        <v>282555</v>
      </c>
      <c r="M61" s="66" t="s">
        <v>76</v>
      </c>
    </row>
    <row r="62" spans="1:13" ht="18.75" customHeight="1" x14ac:dyDescent="0.25">
      <c r="A62" s="121">
        <f>A60+1</f>
        <v>31</v>
      </c>
      <c r="B62" s="138" t="s">
        <v>255</v>
      </c>
      <c r="C62" s="121" t="s">
        <v>34</v>
      </c>
      <c r="D62" s="139">
        <v>35.51</v>
      </c>
      <c r="E62" s="154">
        <v>144.4</v>
      </c>
      <c r="F62" s="124">
        <f>ROUND(E62*D62,2)</f>
        <v>5127.6400000000003</v>
      </c>
      <c r="G62" s="124">
        <f t="shared" ref="G62" si="37">ROUND(F62*1.2,2)</f>
        <v>6153.17</v>
      </c>
      <c r="H62" s="125"/>
      <c r="I62" s="123"/>
      <c r="J62" s="123"/>
      <c r="K62" s="125">
        <f t="shared" si="34"/>
        <v>5127.6400000000003</v>
      </c>
      <c r="L62" s="123">
        <f t="shared" si="34"/>
        <v>6153.17</v>
      </c>
      <c r="M62" s="66" t="s">
        <v>256</v>
      </c>
    </row>
    <row r="63" spans="1:13" ht="18.75" customHeight="1" x14ac:dyDescent="0.25">
      <c r="A63" s="44" t="s">
        <v>106</v>
      </c>
      <c r="B63" s="73" t="s">
        <v>257</v>
      </c>
      <c r="C63" s="46" t="s">
        <v>215</v>
      </c>
      <c r="D63" s="71">
        <f>MROUND(35.51*0.3*20/16,2)</f>
        <v>14</v>
      </c>
      <c r="E63" s="48"/>
      <c r="F63" s="49"/>
      <c r="G63" s="49"/>
      <c r="H63" s="219">
        <v>237.5</v>
      </c>
      <c r="I63" s="63">
        <f t="shared" ref="I63" si="38">ROUND(H63*D63,2)</f>
        <v>3325</v>
      </c>
      <c r="J63" s="63">
        <f t="shared" ref="J63" si="39">ROUND(I63*1.2,2)</f>
        <v>3990</v>
      </c>
      <c r="K63" s="65">
        <f t="shared" si="34"/>
        <v>3325</v>
      </c>
      <c r="L63" s="63">
        <f t="shared" si="34"/>
        <v>3990</v>
      </c>
    </row>
    <row r="64" spans="1:13" ht="18.75" customHeight="1" x14ac:dyDescent="0.25">
      <c r="A64" s="121">
        <f>A62+1</f>
        <v>32</v>
      </c>
      <c r="B64" s="138" t="s">
        <v>258</v>
      </c>
      <c r="C64" s="121" t="s">
        <v>34</v>
      </c>
      <c r="D64" s="139">
        <v>35.51</v>
      </c>
      <c r="E64" s="154">
        <v>299.76</v>
      </c>
      <c r="F64" s="124">
        <f>ROUND(E64*D64,2)</f>
        <v>10644.48</v>
      </c>
      <c r="G64" s="124">
        <f t="shared" ref="G64" si="40">ROUND(F64*1.2,2)</f>
        <v>12773.38</v>
      </c>
      <c r="H64" s="125"/>
      <c r="I64" s="123"/>
      <c r="J64" s="123"/>
      <c r="K64" s="125">
        <f t="shared" si="34"/>
        <v>10644.48</v>
      </c>
      <c r="L64" s="123">
        <f t="shared" si="34"/>
        <v>12773.38</v>
      </c>
      <c r="M64" s="66" t="s">
        <v>256</v>
      </c>
    </row>
    <row r="65" spans="1:13" ht="18.75" customHeight="1" x14ac:dyDescent="0.25">
      <c r="A65" s="44" t="s">
        <v>109</v>
      </c>
      <c r="B65" s="73" t="s">
        <v>259</v>
      </c>
      <c r="C65" s="46" t="s">
        <v>126</v>
      </c>
      <c r="D65" s="71">
        <f>MROUND(35.51*0.7*2,2)</f>
        <v>50</v>
      </c>
      <c r="E65" s="48"/>
      <c r="F65" s="49"/>
      <c r="G65" s="49"/>
      <c r="H65" s="219">
        <v>296.39999999999998</v>
      </c>
      <c r="I65" s="63">
        <f t="shared" ref="I65" si="41">ROUND(H65*D65,2)</f>
        <v>14820</v>
      </c>
      <c r="J65" s="63">
        <f t="shared" ref="J65" si="42">ROUND(I65*1.2,2)</f>
        <v>17784</v>
      </c>
      <c r="K65" s="65">
        <f t="shared" si="34"/>
        <v>14820</v>
      </c>
      <c r="L65" s="63">
        <f t="shared" si="34"/>
        <v>17784</v>
      </c>
    </row>
    <row r="66" spans="1:13" s="61" customFormat="1" ht="20.25" customHeight="1" x14ac:dyDescent="0.25">
      <c r="A66" s="44"/>
      <c r="B66" s="106" t="s">
        <v>260</v>
      </c>
      <c r="C66" s="38"/>
      <c r="D66" s="96"/>
      <c r="E66" s="35"/>
      <c r="F66" s="35"/>
      <c r="G66" s="35"/>
      <c r="H66" s="41"/>
      <c r="I66" s="41"/>
      <c r="J66" s="41"/>
      <c r="K66" s="59"/>
      <c r="L66" s="41"/>
      <c r="M66" s="60"/>
    </row>
    <row r="67" spans="1:13" ht="18.75" customHeight="1" x14ac:dyDescent="0.25">
      <c r="A67" s="119">
        <f>A64+1</f>
        <v>33</v>
      </c>
      <c r="B67" s="120" t="s">
        <v>245</v>
      </c>
      <c r="C67" s="121" t="s">
        <v>24</v>
      </c>
      <c r="D67" s="135">
        <v>3.69</v>
      </c>
      <c r="E67" s="154">
        <v>8001.85</v>
      </c>
      <c r="F67" s="124">
        <f>ROUND(E67*D67,2)</f>
        <v>29526.83</v>
      </c>
      <c r="G67" s="124">
        <f t="shared" ref="G67" si="43">ROUND(F67*1.2,2)</f>
        <v>35432.199999999997</v>
      </c>
      <c r="H67" s="125"/>
      <c r="I67" s="123"/>
      <c r="J67" s="123"/>
      <c r="K67" s="125">
        <f t="shared" ref="K67:L80" si="44">F67+I67</f>
        <v>29526.83</v>
      </c>
      <c r="L67" s="123">
        <f t="shared" si="44"/>
        <v>35432.199999999997</v>
      </c>
      <c r="M67" s="21" t="s">
        <v>582</v>
      </c>
    </row>
    <row r="68" spans="1:13" ht="18.75" customHeight="1" x14ac:dyDescent="0.25">
      <c r="A68" s="44" t="s">
        <v>112</v>
      </c>
      <c r="B68" s="73" t="s">
        <v>246</v>
      </c>
      <c r="C68" s="46" t="s">
        <v>24</v>
      </c>
      <c r="D68" s="71">
        <v>3.69</v>
      </c>
      <c r="E68" s="48"/>
      <c r="F68" s="49"/>
      <c r="G68" s="49"/>
      <c r="H68" s="219">
        <v>6230</v>
      </c>
      <c r="I68" s="63">
        <f>ROUND(H68*D68,2)</f>
        <v>22988.7</v>
      </c>
      <c r="J68" s="63">
        <f>ROUND(I68*1.2,2)</f>
        <v>27586.44</v>
      </c>
      <c r="K68" s="65">
        <f t="shared" si="44"/>
        <v>22988.7</v>
      </c>
      <c r="L68" s="63">
        <f t="shared" si="44"/>
        <v>27586.44</v>
      </c>
      <c r="M68" s="21" t="s">
        <v>76</v>
      </c>
    </row>
    <row r="69" spans="1:13" ht="18.75" customHeight="1" x14ac:dyDescent="0.25">
      <c r="A69" s="44" t="s">
        <v>261</v>
      </c>
      <c r="B69" s="73" t="s">
        <v>248</v>
      </c>
      <c r="C69" s="46" t="s">
        <v>126</v>
      </c>
      <c r="D69" s="81">
        <f>434.5</f>
        <v>434.5</v>
      </c>
      <c r="E69" s="48"/>
      <c r="F69" s="49"/>
      <c r="G69" s="49"/>
      <c r="H69" s="219">
        <v>80.75</v>
      </c>
      <c r="I69" s="63">
        <f t="shared" ref="I69:I70" si="45">ROUND(H69*D69,2)</f>
        <v>35085.879999999997</v>
      </c>
      <c r="J69" s="63">
        <f t="shared" ref="J69:J70" si="46">ROUND(I69*1.2,2)</f>
        <v>42103.06</v>
      </c>
      <c r="K69" s="65">
        <f t="shared" si="44"/>
        <v>35085.879999999997</v>
      </c>
      <c r="L69" s="63">
        <f t="shared" si="44"/>
        <v>42103.06</v>
      </c>
      <c r="M69" s="21" t="s">
        <v>249</v>
      </c>
    </row>
    <row r="70" spans="1:13" ht="18.75" customHeight="1" x14ac:dyDescent="0.25">
      <c r="A70" s="44" t="s">
        <v>262</v>
      </c>
      <c r="B70" s="73" t="s">
        <v>251</v>
      </c>
      <c r="C70" s="46" t="s">
        <v>126</v>
      </c>
      <c r="D70" s="71">
        <f>14.55+4.92</f>
        <v>19.47</v>
      </c>
      <c r="E70" s="48"/>
      <c r="F70" s="49"/>
      <c r="G70" s="49"/>
      <c r="H70" s="219">
        <v>80.75</v>
      </c>
      <c r="I70" s="63">
        <f t="shared" si="45"/>
        <v>1572.2</v>
      </c>
      <c r="J70" s="63">
        <f t="shared" si="46"/>
        <v>1886.64</v>
      </c>
      <c r="K70" s="65">
        <f t="shared" si="44"/>
        <v>1572.2</v>
      </c>
      <c r="L70" s="63">
        <f t="shared" si="44"/>
        <v>1886.64</v>
      </c>
      <c r="M70" s="21" t="s">
        <v>249</v>
      </c>
    </row>
    <row r="71" spans="1:13" ht="18.75" customHeight="1" x14ac:dyDescent="0.25">
      <c r="A71" s="119">
        <f>A67+1</f>
        <v>34</v>
      </c>
      <c r="B71" s="138" t="s">
        <v>263</v>
      </c>
      <c r="C71" s="121" t="s">
        <v>34</v>
      </c>
      <c r="D71" s="139">
        <v>16.920000000000002</v>
      </c>
      <c r="E71" s="154">
        <v>144.4</v>
      </c>
      <c r="F71" s="124">
        <f>ROUND(E71*D71,2)</f>
        <v>2443.25</v>
      </c>
      <c r="G71" s="124">
        <f t="shared" ref="G71" si="47">ROUND(F71*1.2,2)</f>
        <v>2931.9</v>
      </c>
      <c r="H71" s="125"/>
      <c r="I71" s="123"/>
      <c r="J71" s="123"/>
      <c r="K71" s="125">
        <f t="shared" si="44"/>
        <v>2443.25</v>
      </c>
      <c r="L71" s="123">
        <f t="shared" si="44"/>
        <v>2931.9</v>
      </c>
      <c r="M71" s="66" t="s">
        <v>256</v>
      </c>
    </row>
    <row r="72" spans="1:13" ht="18.75" customHeight="1" x14ac:dyDescent="0.25">
      <c r="A72" s="44" t="s">
        <v>116</v>
      </c>
      <c r="B72" s="73" t="s">
        <v>257</v>
      </c>
      <c r="C72" s="46" t="s">
        <v>215</v>
      </c>
      <c r="D72" s="71">
        <f>MROUND(16.92*0.3*20/16,2)</f>
        <v>6</v>
      </c>
      <c r="E72" s="48"/>
      <c r="F72" s="49"/>
      <c r="G72" s="49"/>
      <c r="H72" s="219">
        <v>237.5</v>
      </c>
      <c r="I72" s="63">
        <f t="shared" ref="I72" si="48">ROUND(H72*D72,2)</f>
        <v>1425</v>
      </c>
      <c r="J72" s="63">
        <f t="shared" ref="J72" si="49">ROUND(I72*1.2,2)</f>
        <v>1710</v>
      </c>
      <c r="K72" s="65">
        <f t="shared" si="44"/>
        <v>1425</v>
      </c>
      <c r="L72" s="63">
        <f t="shared" si="44"/>
        <v>1710</v>
      </c>
      <c r="M72" s="66"/>
    </row>
    <row r="73" spans="1:13" ht="18.75" customHeight="1" x14ac:dyDescent="0.25">
      <c r="A73" s="121">
        <f>A71+1</f>
        <v>35</v>
      </c>
      <c r="B73" s="120" t="s">
        <v>264</v>
      </c>
      <c r="C73" s="121" t="s">
        <v>34</v>
      </c>
      <c r="D73" s="139">
        <v>16.920000000000002</v>
      </c>
      <c r="E73" s="154">
        <v>299.76</v>
      </c>
      <c r="F73" s="124">
        <f>ROUND(E73*D73,2)</f>
        <v>5071.9399999999996</v>
      </c>
      <c r="G73" s="124">
        <f t="shared" ref="G73" si="50">ROUND(F73*1.2,2)</f>
        <v>6086.33</v>
      </c>
      <c r="H73" s="125"/>
      <c r="I73" s="123"/>
      <c r="J73" s="123"/>
      <c r="K73" s="125">
        <f t="shared" si="44"/>
        <v>5071.9399999999996</v>
      </c>
      <c r="L73" s="123">
        <f t="shared" si="44"/>
        <v>6086.33</v>
      </c>
      <c r="M73" s="66" t="s">
        <v>256</v>
      </c>
    </row>
    <row r="74" spans="1:13" ht="18.75" customHeight="1" x14ac:dyDescent="0.25">
      <c r="A74" s="44" t="s">
        <v>118</v>
      </c>
      <c r="B74" s="73" t="s">
        <v>259</v>
      </c>
      <c r="C74" s="46" t="s">
        <v>126</v>
      </c>
      <c r="D74" s="71">
        <f>MROUND(16.92*0.7*2,2)</f>
        <v>24</v>
      </c>
      <c r="E74" s="48"/>
      <c r="F74" s="49"/>
      <c r="G74" s="49"/>
      <c r="H74" s="219">
        <v>296.39999999999998</v>
      </c>
      <c r="I74" s="63">
        <f t="shared" ref="I74" si="51">ROUND(H74*D74,2)</f>
        <v>7113.6</v>
      </c>
      <c r="J74" s="63">
        <f t="shared" ref="J74" si="52">ROUND(I74*1.2,2)</f>
        <v>8536.32</v>
      </c>
      <c r="K74" s="65">
        <f t="shared" si="44"/>
        <v>7113.6</v>
      </c>
      <c r="L74" s="63">
        <f t="shared" si="44"/>
        <v>8536.32</v>
      </c>
    </row>
    <row r="75" spans="1:13" ht="18.75" customHeight="1" x14ac:dyDescent="0.25">
      <c r="A75" s="121">
        <f>A73+1</f>
        <v>36</v>
      </c>
      <c r="B75" s="120" t="s">
        <v>265</v>
      </c>
      <c r="C75" s="121" t="s">
        <v>24</v>
      </c>
      <c r="D75" s="167">
        <f>0.08*2</f>
        <v>0.16</v>
      </c>
      <c r="E75" s="154">
        <v>17265.68</v>
      </c>
      <c r="F75" s="124">
        <f>ROUND(E75*D75,2)</f>
        <v>2762.51</v>
      </c>
      <c r="G75" s="124">
        <f t="shared" ref="G75" si="53">ROUND(F75*1.2,2)</f>
        <v>3315.01</v>
      </c>
      <c r="H75" s="125"/>
      <c r="I75" s="123"/>
      <c r="J75" s="123"/>
      <c r="K75" s="125">
        <f t="shared" si="44"/>
        <v>2762.51</v>
      </c>
      <c r="L75" s="123">
        <f t="shared" si="44"/>
        <v>3315.01</v>
      </c>
    </row>
    <row r="76" spans="1:13" ht="18.75" customHeight="1" x14ac:dyDescent="0.25">
      <c r="A76" s="44" t="s">
        <v>211</v>
      </c>
      <c r="B76" s="73" t="s">
        <v>180</v>
      </c>
      <c r="C76" s="46" t="s">
        <v>63</v>
      </c>
      <c r="D76" s="67">
        <v>2</v>
      </c>
      <c r="E76" s="48"/>
      <c r="F76" s="49"/>
      <c r="G76" s="49"/>
      <c r="H76" s="219">
        <f>ROUND(1150/1.2*1.15,2)</f>
        <v>1102.08</v>
      </c>
      <c r="I76" s="63">
        <f t="shared" ref="I76" si="54">ROUND(H76*D76,2)</f>
        <v>2204.16</v>
      </c>
      <c r="J76" s="63">
        <f t="shared" ref="J76" si="55">ROUND(I76*1.2,2)</f>
        <v>2644.99</v>
      </c>
      <c r="K76" s="65">
        <f t="shared" si="44"/>
        <v>2204.16</v>
      </c>
      <c r="L76" s="63">
        <f t="shared" si="44"/>
        <v>2644.99</v>
      </c>
    </row>
    <row r="77" spans="1:13" ht="18.75" customHeight="1" x14ac:dyDescent="0.25">
      <c r="A77" s="121">
        <f>A75+1</f>
        <v>37</v>
      </c>
      <c r="B77" s="120" t="s">
        <v>266</v>
      </c>
      <c r="C77" s="121" t="s">
        <v>63</v>
      </c>
      <c r="D77" s="135">
        <f>0.74*2</f>
        <v>1.48</v>
      </c>
      <c r="E77" s="154">
        <v>17265.68</v>
      </c>
      <c r="F77" s="124">
        <f>ROUND(E77*D77,2)</f>
        <v>25553.21</v>
      </c>
      <c r="G77" s="124">
        <f t="shared" ref="G77" si="56">ROUND(F77*1.2,2)</f>
        <v>30663.85</v>
      </c>
      <c r="H77" s="125"/>
      <c r="I77" s="123"/>
      <c r="J77" s="123"/>
      <c r="K77" s="125">
        <f t="shared" si="44"/>
        <v>25553.21</v>
      </c>
      <c r="L77" s="123">
        <f t="shared" si="44"/>
        <v>30663.85</v>
      </c>
      <c r="M77" s="66"/>
    </row>
    <row r="78" spans="1:13" ht="18.75" customHeight="1" x14ac:dyDescent="0.25">
      <c r="A78" s="44" t="s">
        <v>121</v>
      </c>
      <c r="B78" s="73" t="s">
        <v>267</v>
      </c>
      <c r="C78" s="46" t="s">
        <v>63</v>
      </c>
      <c r="D78" s="67">
        <v>2</v>
      </c>
      <c r="E78" s="48"/>
      <c r="F78" s="49"/>
      <c r="G78" s="49"/>
      <c r="H78" s="219">
        <f>ROUND(((30870+14210)/2)/1.2*1.15,2)</f>
        <v>21600.83</v>
      </c>
      <c r="I78" s="63">
        <f t="shared" ref="I78" si="57">ROUND(H78*D78,2)</f>
        <v>43201.66</v>
      </c>
      <c r="J78" s="63">
        <f t="shared" ref="J78" si="58">ROUND(I78*1.2,2)</f>
        <v>51841.99</v>
      </c>
      <c r="K78" s="65">
        <f t="shared" si="44"/>
        <v>43201.66</v>
      </c>
      <c r="L78" s="63">
        <f t="shared" si="44"/>
        <v>51841.99</v>
      </c>
      <c r="M78" s="21" t="s">
        <v>76</v>
      </c>
    </row>
    <row r="79" spans="1:13" ht="28.5" customHeight="1" x14ac:dyDescent="0.25">
      <c r="A79" s="129">
        <f>A77+1</f>
        <v>38</v>
      </c>
      <c r="B79" s="143" t="s">
        <v>268</v>
      </c>
      <c r="C79" s="129" t="s">
        <v>63</v>
      </c>
      <c r="D79" s="140">
        <v>2</v>
      </c>
      <c r="E79" s="151">
        <f>ROUND(4508.53*1.33,2)</f>
        <v>5996.34</v>
      </c>
      <c r="F79" s="132">
        <f>ROUND(E79*D79,2)</f>
        <v>11992.68</v>
      </c>
      <c r="G79" s="132">
        <f t="shared" ref="G79" si="59">ROUND(F79*1.2,2)</f>
        <v>14391.22</v>
      </c>
      <c r="H79" s="133"/>
      <c r="I79" s="131"/>
      <c r="J79" s="131"/>
      <c r="K79" s="133">
        <f t="shared" si="44"/>
        <v>11992.68</v>
      </c>
      <c r="L79" s="131">
        <f t="shared" si="44"/>
        <v>14391.22</v>
      </c>
      <c r="M79" s="66" t="s">
        <v>71</v>
      </c>
    </row>
    <row r="80" spans="1:13" ht="18.75" customHeight="1" x14ac:dyDescent="0.25">
      <c r="A80" s="44" t="s">
        <v>124</v>
      </c>
      <c r="B80" s="73" t="s">
        <v>269</v>
      </c>
      <c r="C80" s="46" t="s">
        <v>63</v>
      </c>
      <c r="D80" s="67">
        <v>2</v>
      </c>
      <c r="E80" s="48"/>
      <c r="F80" s="49"/>
      <c r="G80" s="49"/>
      <c r="H80" s="219">
        <f>ROUND(15850/1.2*1.15,2)</f>
        <v>15189.58</v>
      </c>
      <c r="I80" s="63">
        <f t="shared" ref="I80" si="60">ROUND(H80*D80,2)</f>
        <v>30379.16</v>
      </c>
      <c r="J80" s="63">
        <f t="shared" ref="J80" si="61">ROUND(I80*1.2,2)</f>
        <v>36454.99</v>
      </c>
      <c r="K80" s="65">
        <f t="shared" si="44"/>
        <v>30379.16</v>
      </c>
      <c r="L80" s="63">
        <f t="shared" si="44"/>
        <v>36454.99</v>
      </c>
    </row>
    <row r="81" spans="1:13" ht="18.75" customHeight="1" x14ac:dyDescent="0.25">
      <c r="A81" s="44"/>
      <c r="B81" s="106" t="s">
        <v>270</v>
      </c>
      <c r="C81" s="38"/>
      <c r="D81" s="72"/>
      <c r="E81" s="34"/>
      <c r="F81" s="35"/>
      <c r="G81" s="35"/>
      <c r="H81" s="41"/>
      <c r="I81" s="41"/>
      <c r="J81" s="41"/>
      <c r="K81" s="59"/>
      <c r="L81" s="41"/>
    </row>
    <row r="82" spans="1:13" ht="28.5" customHeight="1" x14ac:dyDescent="0.25">
      <c r="A82" s="129">
        <f>A79+1</f>
        <v>39</v>
      </c>
      <c r="B82" s="143" t="s">
        <v>271</v>
      </c>
      <c r="C82" s="129" t="s">
        <v>63</v>
      </c>
      <c r="D82" s="148">
        <v>1</v>
      </c>
      <c r="E82" s="151">
        <v>11232.26</v>
      </c>
      <c r="F82" s="132">
        <f t="shared" ref="F82:F105" si="62">ROUND(E82*D82,2)</f>
        <v>11232.26</v>
      </c>
      <c r="G82" s="132">
        <f t="shared" ref="G82:G105" si="63">ROUND(F82*1.2,2)</f>
        <v>13478.71</v>
      </c>
      <c r="H82" s="133"/>
      <c r="I82" s="131"/>
      <c r="J82" s="131"/>
      <c r="K82" s="133">
        <f t="shared" ref="K82:L105" si="64">F82+I82</f>
        <v>11232.26</v>
      </c>
      <c r="L82" s="131">
        <f t="shared" si="64"/>
        <v>13478.71</v>
      </c>
      <c r="M82" s="66" t="s">
        <v>71</v>
      </c>
    </row>
    <row r="83" spans="1:13" ht="18.75" customHeight="1" x14ac:dyDescent="0.25">
      <c r="A83" s="44" t="s">
        <v>128</v>
      </c>
      <c r="B83" s="73" t="s">
        <v>272</v>
      </c>
      <c r="C83" s="46" t="s">
        <v>63</v>
      </c>
      <c r="D83" s="74">
        <v>1</v>
      </c>
      <c r="E83" s="48"/>
      <c r="F83" s="49"/>
      <c r="G83" s="49"/>
      <c r="H83" s="65">
        <f>ROUND(97090*1.15,2)</f>
        <v>111653.5</v>
      </c>
      <c r="I83" s="63">
        <f>ROUND(H83*D83,2)</f>
        <v>111653.5</v>
      </c>
      <c r="J83" s="63">
        <f>ROUND(I83*1.2,2)</f>
        <v>133984.20000000001</v>
      </c>
      <c r="K83" s="65">
        <f t="shared" si="64"/>
        <v>111653.5</v>
      </c>
      <c r="L83" s="63">
        <f t="shared" si="64"/>
        <v>133984.20000000001</v>
      </c>
      <c r="M83" s="21" t="s">
        <v>76</v>
      </c>
    </row>
    <row r="84" spans="1:13" ht="18.75" customHeight="1" x14ac:dyDescent="0.25">
      <c r="A84" s="121">
        <f>A82+1</f>
        <v>40</v>
      </c>
      <c r="B84" s="138" t="s">
        <v>275</v>
      </c>
      <c r="C84" s="121" t="s">
        <v>63</v>
      </c>
      <c r="D84" s="147">
        <v>4</v>
      </c>
      <c r="E84" s="154">
        <v>14312.75</v>
      </c>
      <c r="F84" s="124">
        <f t="shared" si="62"/>
        <v>57251</v>
      </c>
      <c r="G84" s="124">
        <f t="shared" si="63"/>
        <v>68701.2</v>
      </c>
      <c r="H84" s="125"/>
      <c r="I84" s="123"/>
      <c r="J84" s="123"/>
      <c r="K84" s="125">
        <f t="shared" si="64"/>
        <v>57251</v>
      </c>
      <c r="L84" s="123">
        <f t="shared" si="64"/>
        <v>68701.2</v>
      </c>
    </row>
    <row r="85" spans="1:13" ht="18.75" customHeight="1" x14ac:dyDescent="0.25">
      <c r="A85" s="44" t="s">
        <v>132</v>
      </c>
      <c r="B85" s="73" t="s">
        <v>276</v>
      </c>
      <c r="C85" s="46" t="s">
        <v>63</v>
      </c>
      <c r="D85" s="74">
        <v>4</v>
      </c>
      <c r="E85" s="48"/>
      <c r="F85" s="49"/>
      <c r="G85" s="49"/>
      <c r="H85" s="220">
        <v>109202.5</v>
      </c>
      <c r="I85" s="63">
        <f>ROUND(H85*D85,2)</f>
        <v>436810</v>
      </c>
      <c r="J85" s="63">
        <f>ROUND(I85*1.2,2)</f>
        <v>524172</v>
      </c>
      <c r="K85" s="65">
        <f t="shared" si="64"/>
        <v>436810</v>
      </c>
      <c r="L85" s="63">
        <f t="shared" si="64"/>
        <v>524172</v>
      </c>
    </row>
    <row r="86" spans="1:13" ht="18.75" customHeight="1" x14ac:dyDescent="0.25">
      <c r="A86" s="44" t="s">
        <v>277</v>
      </c>
      <c r="B86" s="73" t="s">
        <v>274</v>
      </c>
      <c r="C86" s="46" t="s">
        <v>63</v>
      </c>
      <c r="D86" s="74">
        <v>8</v>
      </c>
      <c r="E86" s="48"/>
      <c r="F86" s="49"/>
      <c r="G86" s="49"/>
      <c r="H86" s="65">
        <f>ROUND(443.35*1.15,2)</f>
        <v>509.85</v>
      </c>
      <c r="I86" s="63">
        <f>ROUND(H86*D86,2)</f>
        <v>4078.8</v>
      </c>
      <c r="J86" s="63">
        <f>ROUND(I86*1.2,2)</f>
        <v>4894.5600000000004</v>
      </c>
      <c r="K86" s="65">
        <f t="shared" si="64"/>
        <v>4078.8</v>
      </c>
      <c r="L86" s="63">
        <f t="shared" si="64"/>
        <v>4894.5600000000004</v>
      </c>
      <c r="M86" s="21" t="s">
        <v>76</v>
      </c>
    </row>
    <row r="87" spans="1:13" ht="18.75" customHeight="1" x14ac:dyDescent="0.25">
      <c r="A87" s="129">
        <f>A84+1</f>
        <v>41</v>
      </c>
      <c r="B87" s="143" t="s">
        <v>278</v>
      </c>
      <c r="C87" s="129" t="s">
        <v>63</v>
      </c>
      <c r="D87" s="148">
        <v>2</v>
      </c>
      <c r="E87" s="151">
        <f>ROUND(1468.66*1.33,2)</f>
        <v>1953.32</v>
      </c>
      <c r="F87" s="132">
        <f t="shared" si="62"/>
        <v>3906.64</v>
      </c>
      <c r="G87" s="132">
        <f t="shared" si="63"/>
        <v>4687.97</v>
      </c>
      <c r="H87" s="133"/>
      <c r="I87" s="131"/>
      <c r="J87" s="131"/>
      <c r="K87" s="133">
        <f t="shared" si="64"/>
        <v>3906.64</v>
      </c>
      <c r="L87" s="131">
        <f t="shared" si="64"/>
        <v>4687.97</v>
      </c>
    </row>
    <row r="88" spans="1:13" ht="18.75" customHeight="1" x14ac:dyDescent="0.25">
      <c r="A88" s="44" t="s">
        <v>134</v>
      </c>
      <c r="B88" s="73" t="s">
        <v>279</v>
      </c>
      <c r="C88" s="46" t="s">
        <v>63</v>
      </c>
      <c r="D88" s="74">
        <v>2</v>
      </c>
      <c r="E88" s="48"/>
      <c r="F88" s="49"/>
      <c r="G88" s="49"/>
      <c r="H88" s="65">
        <f>ROUND(19016.5*1.15,2)</f>
        <v>21868.98</v>
      </c>
      <c r="I88" s="63">
        <f>ROUND(H88*D88,2)</f>
        <v>43737.96</v>
      </c>
      <c r="J88" s="63">
        <f>ROUND(I88*1.2,2)</f>
        <v>52485.55</v>
      </c>
      <c r="K88" s="65">
        <f t="shared" si="64"/>
        <v>43737.96</v>
      </c>
      <c r="L88" s="63">
        <f t="shared" si="64"/>
        <v>52485.55</v>
      </c>
      <c r="M88" s="21" t="s">
        <v>76</v>
      </c>
    </row>
    <row r="89" spans="1:13" ht="18.75" customHeight="1" x14ac:dyDescent="0.25">
      <c r="A89" s="44" t="s">
        <v>498</v>
      </c>
      <c r="B89" s="73" t="s">
        <v>286</v>
      </c>
      <c r="C89" s="46" t="s">
        <v>63</v>
      </c>
      <c r="D89" s="74">
        <v>2</v>
      </c>
      <c r="E89" s="48"/>
      <c r="F89" s="49"/>
      <c r="G89" s="49"/>
      <c r="H89" s="65">
        <f>ROUND(71.06*1.15,2)</f>
        <v>81.72</v>
      </c>
      <c r="I89" s="63">
        <f>ROUND(H89*D89,2)</f>
        <v>163.44</v>
      </c>
      <c r="J89" s="63">
        <f>ROUND(I89*1.2,2)</f>
        <v>196.13</v>
      </c>
      <c r="K89" s="65">
        <f>F89+I89</f>
        <v>163.44</v>
      </c>
      <c r="L89" s="63">
        <f>G89+J89</f>
        <v>196.13</v>
      </c>
      <c r="M89" s="21" t="s">
        <v>76</v>
      </c>
    </row>
    <row r="90" spans="1:13" ht="30.75" customHeight="1" x14ac:dyDescent="0.25">
      <c r="A90" s="129">
        <f>A87+1</f>
        <v>42</v>
      </c>
      <c r="B90" s="143" t="s">
        <v>223</v>
      </c>
      <c r="C90" s="129" t="s">
        <v>63</v>
      </c>
      <c r="D90" s="148">
        <v>2</v>
      </c>
      <c r="E90" s="151">
        <f>ROUND(7253.94*1.33,2)</f>
        <v>9647.74</v>
      </c>
      <c r="F90" s="132">
        <f t="shared" si="62"/>
        <v>19295.48</v>
      </c>
      <c r="G90" s="132">
        <f t="shared" si="63"/>
        <v>23154.58</v>
      </c>
      <c r="H90" s="133"/>
      <c r="I90" s="131"/>
      <c r="J90" s="131"/>
      <c r="K90" s="133">
        <f t="shared" si="64"/>
        <v>19295.48</v>
      </c>
      <c r="L90" s="131">
        <f t="shared" si="64"/>
        <v>23154.58</v>
      </c>
      <c r="M90" s="66"/>
    </row>
    <row r="91" spans="1:13" ht="18.75" customHeight="1" x14ac:dyDescent="0.25">
      <c r="A91" s="44" t="s">
        <v>137</v>
      </c>
      <c r="B91" s="73" t="s">
        <v>224</v>
      </c>
      <c r="C91" s="46" t="s">
        <v>63</v>
      </c>
      <c r="D91" s="74">
        <v>2</v>
      </c>
      <c r="E91" s="48"/>
      <c r="F91" s="49"/>
      <c r="G91" s="49"/>
      <c r="H91" s="220">
        <f>ROUND(11010.8*1.15,2)</f>
        <v>12662.42</v>
      </c>
      <c r="I91" s="63">
        <f>ROUND(H91*D91,2)</f>
        <v>25324.84</v>
      </c>
      <c r="J91" s="63">
        <f>ROUND(I91*1.2,2)</f>
        <v>30389.81</v>
      </c>
      <c r="K91" s="65">
        <f t="shared" si="64"/>
        <v>25324.84</v>
      </c>
      <c r="L91" s="63">
        <f t="shared" si="64"/>
        <v>30389.81</v>
      </c>
      <c r="M91" s="21" t="s">
        <v>76</v>
      </c>
    </row>
    <row r="92" spans="1:13" ht="33" customHeight="1" x14ac:dyDescent="0.25">
      <c r="A92" s="121">
        <f>A90+1</f>
        <v>43</v>
      </c>
      <c r="B92" s="138" t="s">
        <v>280</v>
      </c>
      <c r="C92" s="121" t="s">
        <v>63</v>
      </c>
      <c r="D92" s="147">
        <v>1</v>
      </c>
      <c r="E92" s="154">
        <v>7035.89</v>
      </c>
      <c r="F92" s="124">
        <f t="shared" si="62"/>
        <v>7035.89</v>
      </c>
      <c r="G92" s="124">
        <f t="shared" si="63"/>
        <v>8443.07</v>
      </c>
      <c r="H92" s="125"/>
      <c r="I92" s="123"/>
      <c r="J92" s="123"/>
      <c r="K92" s="125">
        <f t="shared" si="64"/>
        <v>7035.89</v>
      </c>
      <c r="L92" s="123">
        <f t="shared" si="64"/>
        <v>8443.07</v>
      </c>
      <c r="M92" s="66"/>
    </row>
    <row r="93" spans="1:13" ht="18.75" customHeight="1" x14ac:dyDescent="0.25">
      <c r="A93" s="44" t="s">
        <v>140</v>
      </c>
      <c r="B93" s="73" t="s">
        <v>281</v>
      </c>
      <c r="C93" s="46" t="s">
        <v>63</v>
      </c>
      <c r="D93" s="74">
        <v>1</v>
      </c>
      <c r="E93" s="48"/>
      <c r="F93" s="49"/>
      <c r="G93" s="49"/>
      <c r="H93" s="65">
        <f>ROUND(29167*1.15,2)</f>
        <v>33542.050000000003</v>
      </c>
      <c r="I93" s="63">
        <f>ROUND(H93*D93,2)</f>
        <v>33542.050000000003</v>
      </c>
      <c r="J93" s="63">
        <f>ROUND(I93*1.2,2)</f>
        <v>40250.46</v>
      </c>
      <c r="K93" s="65">
        <f t="shared" si="64"/>
        <v>33542.050000000003</v>
      </c>
      <c r="L93" s="63">
        <f t="shared" si="64"/>
        <v>40250.46</v>
      </c>
      <c r="M93" s="21" t="s">
        <v>76</v>
      </c>
    </row>
    <row r="94" spans="1:13" ht="18.75" customHeight="1" x14ac:dyDescent="0.25">
      <c r="A94" s="44" t="s">
        <v>282</v>
      </c>
      <c r="B94" s="73" t="s">
        <v>286</v>
      </c>
      <c r="C94" s="46" t="s">
        <v>63</v>
      </c>
      <c r="D94" s="74">
        <v>1</v>
      </c>
      <c r="E94" s="48"/>
      <c r="F94" s="49"/>
      <c r="G94" s="49"/>
      <c r="H94" s="65">
        <v>81.72</v>
      </c>
      <c r="I94" s="63">
        <f>ROUND(H94*D94,2)</f>
        <v>81.72</v>
      </c>
      <c r="J94" s="63">
        <f>ROUND(I94*1.2,2)</f>
        <v>98.06</v>
      </c>
      <c r="K94" s="65">
        <f t="shared" si="64"/>
        <v>81.72</v>
      </c>
      <c r="L94" s="63">
        <f t="shared" si="64"/>
        <v>98.06</v>
      </c>
      <c r="M94" s="21" t="s">
        <v>76</v>
      </c>
    </row>
    <row r="95" spans="1:13" ht="18.75" customHeight="1" x14ac:dyDescent="0.25">
      <c r="A95" s="121">
        <f>A92+1</f>
        <v>44</v>
      </c>
      <c r="B95" s="138" t="s">
        <v>283</v>
      </c>
      <c r="C95" s="121" t="s">
        <v>63</v>
      </c>
      <c r="D95" s="147">
        <v>3</v>
      </c>
      <c r="E95" s="154">
        <v>1389.85</v>
      </c>
      <c r="F95" s="124">
        <f t="shared" si="62"/>
        <v>4169.55</v>
      </c>
      <c r="G95" s="124">
        <f t="shared" si="63"/>
        <v>5003.46</v>
      </c>
      <c r="H95" s="125"/>
      <c r="I95" s="123"/>
      <c r="J95" s="123"/>
      <c r="K95" s="125">
        <f t="shared" si="64"/>
        <v>4169.55</v>
      </c>
      <c r="L95" s="123">
        <f t="shared" si="64"/>
        <v>5003.46</v>
      </c>
      <c r="M95" s="21" t="s">
        <v>583</v>
      </c>
    </row>
    <row r="96" spans="1:13" ht="18.75" customHeight="1" x14ac:dyDescent="0.25">
      <c r="A96" s="44" t="s">
        <v>143</v>
      </c>
      <c r="B96" s="73" t="s">
        <v>284</v>
      </c>
      <c r="C96" s="46" t="s">
        <v>63</v>
      </c>
      <c r="D96" s="74">
        <v>3</v>
      </c>
      <c r="E96" s="48"/>
      <c r="F96" s="49"/>
      <c r="G96" s="49"/>
      <c r="H96" s="63">
        <v>585.20000000000005</v>
      </c>
      <c r="I96" s="63">
        <f>ROUND(H96*D96,2)</f>
        <v>1755.6</v>
      </c>
      <c r="J96" s="63">
        <f>ROUND(I96*1.2,2)</f>
        <v>2106.7199999999998</v>
      </c>
      <c r="K96" s="65">
        <f t="shared" si="64"/>
        <v>1755.6</v>
      </c>
      <c r="L96" s="63">
        <f t="shared" si="64"/>
        <v>2106.7199999999998</v>
      </c>
    </row>
    <row r="97" spans="1:13" ht="18.75" customHeight="1" x14ac:dyDescent="0.25">
      <c r="A97" s="121">
        <f>A95+1</f>
        <v>45</v>
      </c>
      <c r="B97" s="138" t="s">
        <v>199</v>
      </c>
      <c r="C97" s="121" t="s">
        <v>63</v>
      </c>
      <c r="D97" s="147">
        <v>3</v>
      </c>
      <c r="E97" s="154">
        <v>3601.88</v>
      </c>
      <c r="F97" s="124">
        <f t="shared" si="62"/>
        <v>10805.64</v>
      </c>
      <c r="G97" s="124">
        <f t="shared" si="63"/>
        <v>12966.77</v>
      </c>
      <c r="H97" s="125"/>
      <c r="I97" s="123"/>
      <c r="J97" s="123"/>
      <c r="K97" s="125">
        <f t="shared" si="64"/>
        <v>10805.64</v>
      </c>
      <c r="L97" s="123">
        <f t="shared" si="64"/>
        <v>12966.77</v>
      </c>
      <c r="M97" s="21" t="s">
        <v>583</v>
      </c>
    </row>
    <row r="98" spans="1:13" ht="18.75" customHeight="1" x14ac:dyDescent="0.25">
      <c r="A98" s="44" t="s">
        <v>285</v>
      </c>
      <c r="B98" s="73" t="s">
        <v>200</v>
      </c>
      <c r="C98" s="46" t="s">
        <v>63</v>
      </c>
      <c r="D98" s="74">
        <v>3</v>
      </c>
      <c r="E98" s="48"/>
      <c r="F98" s="49"/>
      <c r="G98" s="49"/>
      <c r="H98" s="219">
        <v>6897</v>
      </c>
      <c r="I98" s="63">
        <f>ROUND(H98*D98,2)</f>
        <v>20691</v>
      </c>
      <c r="J98" s="63">
        <f>ROUND(I98*1.2,2)</f>
        <v>24829.200000000001</v>
      </c>
      <c r="K98" s="65">
        <f t="shared" si="64"/>
        <v>20691</v>
      </c>
      <c r="L98" s="63">
        <f t="shared" si="64"/>
        <v>24829.200000000001</v>
      </c>
    </row>
    <row r="99" spans="1:13" ht="18.75" customHeight="1" x14ac:dyDescent="0.25">
      <c r="A99" s="121">
        <f>A97+1</f>
        <v>46</v>
      </c>
      <c r="B99" s="138" t="s">
        <v>287</v>
      </c>
      <c r="C99" s="121" t="s">
        <v>63</v>
      </c>
      <c r="D99" s="147">
        <v>1</v>
      </c>
      <c r="E99" s="154">
        <v>4704.3999999999996</v>
      </c>
      <c r="F99" s="124">
        <f t="shared" si="62"/>
        <v>4704.3999999999996</v>
      </c>
      <c r="G99" s="124">
        <f t="shared" si="63"/>
        <v>5645.28</v>
      </c>
      <c r="H99" s="125"/>
      <c r="I99" s="123"/>
      <c r="J99" s="123"/>
      <c r="K99" s="125">
        <f t="shared" si="64"/>
        <v>4704.3999999999996</v>
      </c>
      <c r="L99" s="123">
        <f t="shared" si="64"/>
        <v>5645.28</v>
      </c>
      <c r="M99" s="21" t="s">
        <v>583</v>
      </c>
    </row>
    <row r="100" spans="1:13" ht="18.75" customHeight="1" x14ac:dyDescent="0.25">
      <c r="A100" s="44" t="s">
        <v>288</v>
      </c>
      <c r="B100" s="73" t="s">
        <v>289</v>
      </c>
      <c r="C100" s="46" t="s">
        <v>63</v>
      </c>
      <c r="D100" s="74">
        <v>1</v>
      </c>
      <c r="E100" s="48"/>
      <c r="F100" s="49"/>
      <c r="G100" s="49"/>
      <c r="H100" s="65">
        <f>ROUND(1916*1.15,2)</f>
        <v>2203.4</v>
      </c>
      <c r="I100" s="63">
        <f>ROUND(H100*D100,2)</f>
        <v>2203.4</v>
      </c>
      <c r="J100" s="63">
        <f>ROUND(I100*1.2,2)</f>
        <v>2644.08</v>
      </c>
      <c r="K100" s="65">
        <f t="shared" si="64"/>
        <v>2203.4</v>
      </c>
      <c r="L100" s="63">
        <f t="shared" si="64"/>
        <v>2644.08</v>
      </c>
      <c r="M100" s="21" t="s">
        <v>76</v>
      </c>
    </row>
    <row r="101" spans="1:13" ht="18.75" customHeight="1" x14ac:dyDescent="0.25">
      <c r="A101" s="121">
        <f>A99+1</f>
        <v>47</v>
      </c>
      <c r="B101" s="138" t="s">
        <v>290</v>
      </c>
      <c r="C101" s="121" t="s">
        <v>63</v>
      </c>
      <c r="D101" s="147">
        <v>1</v>
      </c>
      <c r="E101" s="154">
        <v>4704.3999999999996</v>
      </c>
      <c r="F101" s="124">
        <f t="shared" si="62"/>
        <v>4704.3999999999996</v>
      </c>
      <c r="G101" s="124">
        <f t="shared" si="63"/>
        <v>5645.28</v>
      </c>
      <c r="H101" s="125"/>
      <c r="I101" s="123"/>
      <c r="J101" s="123"/>
      <c r="K101" s="125">
        <f t="shared" si="64"/>
        <v>4704.3999999999996</v>
      </c>
      <c r="L101" s="123">
        <f t="shared" si="64"/>
        <v>5645.28</v>
      </c>
      <c r="M101" s="21" t="s">
        <v>583</v>
      </c>
    </row>
    <row r="102" spans="1:13" ht="18.75" customHeight="1" x14ac:dyDescent="0.25">
      <c r="A102" s="44" t="s">
        <v>291</v>
      </c>
      <c r="B102" s="73" t="s">
        <v>292</v>
      </c>
      <c r="C102" s="46" t="s">
        <v>63</v>
      </c>
      <c r="D102" s="74">
        <v>1</v>
      </c>
      <c r="E102" s="48"/>
      <c r="F102" s="49"/>
      <c r="G102" s="49"/>
      <c r="H102" s="65">
        <f>ROUND(2885*1.15,2)</f>
        <v>3317.75</v>
      </c>
      <c r="I102" s="63">
        <f>ROUND(H102*D102,2)</f>
        <v>3317.75</v>
      </c>
      <c r="J102" s="63">
        <f>ROUND(I102*1.2,2)</f>
        <v>3981.3</v>
      </c>
      <c r="K102" s="65">
        <f t="shared" si="64"/>
        <v>3317.75</v>
      </c>
      <c r="L102" s="63">
        <f t="shared" si="64"/>
        <v>3981.3</v>
      </c>
      <c r="M102" s="21" t="s">
        <v>76</v>
      </c>
    </row>
    <row r="103" spans="1:13" ht="18.75" customHeight="1" x14ac:dyDescent="0.25">
      <c r="A103" s="129">
        <f>A101+1</f>
        <v>48</v>
      </c>
      <c r="B103" s="143" t="s">
        <v>293</v>
      </c>
      <c r="C103" s="129" t="s">
        <v>63</v>
      </c>
      <c r="D103" s="148">
        <v>2</v>
      </c>
      <c r="E103" s="151">
        <f>ROUND(1468.66*1.33,2)</f>
        <v>1953.32</v>
      </c>
      <c r="F103" s="132">
        <f t="shared" si="62"/>
        <v>3906.64</v>
      </c>
      <c r="G103" s="132">
        <f t="shared" si="63"/>
        <v>4687.97</v>
      </c>
      <c r="H103" s="133"/>
      <c r="I103" s="131"/>
      <c r="J103" s="131"/>
      <c r="K103" s="133">
        <f t="shared" si="64"/>
        <v>3906.64</v>
      </c>
      <c r="L103" s="131">
        <f t="shared" si="64"/>
        <v>4687.97</v>
      </c>
    </row>
    <row r="104" spans="1:13" ht="18.75" customHeight="1" x14ac:dyDescent="0.25">
      <c r="A104" s="44" t="s">
        <v>294</v>
      </c>
      <c r="B104" s="73" t="s">
        <v>295</v>
      </c>
      <c r="C104" s="46" t="s">
        <v>63</v>
      </c>
      <c r="D104" s="74">
        <v>2</v>
      </c>
      <c r="E104" s="48"/>
      <c r="F104" s="49"/>
      <c r="G104" s="49"/>
      <c r="H104" s="65">
        <f>ROUND(1782*1.15,2)</f>
        <v>2049.3000000000002</v>
      </c>
      <c r="I104" s="63">
        <f>ROUND(H104*D104,2)</f>
        <v>4098.6000000000004</v>
      </c>
      <c r="J104" s="63">
        <f>ROUND(I104*1.2,2)</f>
        <v>4918.32</v>
      </c>
      <c r="K104" s="65">
        <f t="shared" si="64"/>
        <v>4098.6000000000004</v>
      </c>
      <c r="L104" s="63">
        <f t="shared" si="64"/>
        <v>4918.32</v>
      </c>
      <c r="M104" s="21" t="s">
        <v>76</v>
      </c>
    </row>
    <row r="105" spans="1:13" ht="18.75" customHeight="1" x14ac:dyDescent="0.25">
      <c r="A105" s="121">
        <f>A103+1</f>
        <v>49</v>
      </c>
      <c r="B105" s="138" t="s">
        <v>296</v>
      </c>
      <c r="C105" s="121" t="s">
        <v>22</v>
      </c>
      <c r="D105" s="153">
        <v>2.2000000000000002</v>
      </c>
      <c r="E105" s="154">
        <v>1419.5</v>
      </c>
      <c r="F105" s="124">
        <f t="shared" si="62"/>
        <v>3122.9</v>
      </c>
      <c r="G105" s="124">
        <f t="shared" si="63"/>
        <v>3747.48</v>
      </c>
      <c r="H105" s="125"/>
      <c r="I105" s="123"/>
      <c r="J105" s="123"/>
      <c r="K105" s="125">
        <f t="shared" si="64"/>
        <v>3122.9</v>
      </c>
      <c r="L105" s="123">
        <f t="shared" si="64"/>
        <v>3747.48</v>
      </c>
    </row>
    <row r="106" spans="1:13" ht="18.75" customHeight="1" x14ac:dyDescent="0.25">
      <c r="A106" s="44" t="s">
        <v>297</v>
      </c>
      <c r="B106" s="45" t="s">
        <v>166</v>
      </c>
      <c r="C106" s="46" t="s">
        <v>22</v>
      </c>
      <c r="D106" s="47">
        <v>2.2000000000000002</v>
      </c>
      <c r="E106" s="48"/>
      <c r="F106" s="49"/>
      <c r="G106" s="49"/>
      <c r="H106" s="63">
        <v>3124.14</v>
      </c>
      <c r="I106" s="63">
        <f>ROUND(H106*D106,2)</f>
        <v>6873.11</v>
      </c>
      <c r="J106" s="63">
        <f>ROUND(I106*1.2,2)</f>
        <v>8247.73</v>
      </c>
      <c r="K106" s="65">
        <f t="shared" ref="K106:L112" si="65">F106+I106</f>
        <v>6873.11</v>
      </c>
      <c r="L106" s="63">
        <f t="shared" si="65"/>
        <v>8247.73</v>
      </c>
    </row>
    <row r="107" spans="1:13" ht="18.75" customHeight="1" x14ac:dyDescent="0.25">
      <c r="A107" s="121">
        <f>A105+1</f>
        <v>50</v>
      </c>
      <c r="B107" s="138" t="s">
        <v>298</v>
      </c>
      <c r="C107" s="121" t="s">
        <v>63</v>
      </c>
      <c r="D107" s="147">
        <v>4</v>
      </c>
      <c r="E107" s="154">
        <v>6039.48</v>
      </c>
      <c r="F107" s="124">
        <f t="shared" ref="F107:F111" si="66">ROUND(E107*D107,2)</f>
        <v>24157.919999999998</v>
      </c>
      <c r="G107" s="124">
        <f t="shared" ref="G107:G111" si="67">ROUND(F107*1.2,2)</f>
        <v>28989.5</v>
      </c>
      <c r="H107" s="125"/>
      <c r="I107" s="123"/>
      <c r="J107" s="123"/>
      <c r="K107" s="125">
        <f t="shared" si="65"/>
        <v>24157.919999999998</v>
      </c>
      <c r="L107" s="123">
        <f t="shared" si="65"/>
        <v>28989.5</v>
      </c>
    </row>
    <row r="108" spans="1:13" ht="18.75" customHeight="1" x14ac:dyDescent="0.25">
      <c r="A108" s="44" t="s">
        <v>299</v>
      </c>
      <c r="B108" s="73" t="s">
        <v>300</v>
      </c>
      <c r="C108" s="46" t="s">
        <v>63</v>
      </c>
      <c r="D108" s="74">
        <v>4</v>
      </c>
      <c r="E108" s="48"/>
      <c r="F108" s="49"/>
      <c r="G108" s="49"/>
      <c r="H108" s="219">
        <v>2638.15</v>
      </c>
      <c r="I108" s="63">
        <f>ROUND(H108*D108,2)</f>
        <v>10552.6</v>
      </c>
      <c r="J108" s="63">
        <f>ROUND(I108*1.2,2)</f>
        <v>12663.12</v>
      </c>
      <c r="K108" s="65">
        <f t="shared" si="65"/>
        <v>10552.6</v>
      </c>
      <c r="L108" s="63">
        <f t="shared" si="65"/>
        <v>12663.12</v>
      </c>
    </row>
    <row r="109" spans="1:13" ht="18.75" customHeight="1" x14ac:dyDescent="0.25">
      <c r="A109" s="129">
        <f>A107+1</f>
        <v>51</v>
      </c>
      <c r="B109" s="143" t="s">
        <v>301</v>
      </c>
      <c r="C109" s="129" t="s">
        <v>63</v>
      </c>
      <c r="D109" s="148">
        <v>3</v>
      </c>
      <c r="E109" s="151">
        <f>ROUND(1468.66*1.33,2)</f>
        <v>1953.32</v>
      </c>
      <c r="F109" s="132">
        <f t="shared" si="66"/>
        <v>5859.96</v>
      </c>
      <c r="G109" s="132">
        <f t="shared" si="67"/>
        <v>7031.95</v>
      </c>
      <c r="H109" s="133"/>
      <c r="I109" s="131"/>
      <c r="J109" s="131"/>
      <c r="K109" s="133">
        <f t="shared" si="65"/>
        <v>5859.96</v>
      </c>
      <c r="L109" s="131">
        <f t="shared" si="65"/>
        <v>7031.95</v>
      </c>
    </row>
    <row r="110" spans="1:13" ht="18.75" customHeight="1" x14ac:dyDescent="0.25">
      <c r="A110" s="44" t="s">
        <v>302</v>
      </c>
      <c r="B110" s="73" t="s">
        <v>303</v>
      </c>
      <c r="C110" s="46" t="s">
        <v>63</v>
      </c>
      <c r="D110" s="74">
        <v>3</v>
      </c>
      <c r="E110" s="48"/>
      <c r="F110" s="49"/>
      <c r="G110" s="49"/>
      <c r="H110" s="65">
        <f>ROUND(3675.94*1.15,2)</f>
        <v>4227.33</v>
      </c>
      <c r="I110" s="63">
        <f>ROUND(H110*D110,2)</f>
        <v>12681.99</v>
      </c>
      <c r="J110" s="63">
        <f>ROUND(I110*1.2,2)</f>
        <v>15218.39</v>
      </c>
      <c r="K110" s="65">
        <f t="shared" si="65"/>
        <v>12681.99</v>
      </c>
      <c r="L110" s="63">
        <f t="shared" si="65"/>
        <v>15218.39</v>
      </c>
      <c r="M110" s="21" t="s">
        <v>76</v>
      </c>
    </row>
    <row r="111" spans="1:13" ht="18.75" customHeight="1" x14ac:dyDescent="0.25">
      <c r="A111" s="121">
        <f>A109+1</f>
        <v>52</v>
      </c>
      <c r="B111" s="138" t="s">
        <v>304</v>
      </c>
      <c r="C111" s="121" t="s">
        <v>63</v>
      </c>
      <c r="D111" s="147">
        <v>4</v>
      </c>
      <c r="E111" s="154">
        <v>6546.68</v>
      </c>
      <c r="F111" s="124">
        <f t="shared" si="66"/>
        <v>26186.720000000001</v>
      </c>
      <c r="G111" s="124">
        <f t="shared" si="67"/>
        <v>31424.06</v>
      </c>
      <c r="H111" s="125"/>
      <c r="I111" s="123"/>
      <c r="J111" s="123"/>
      <c r="K111" s="125">
        <f t="shared" si="65"/>
        <v>26186.720000000001</v>
      </c>
      <c r="L111" s="123">
        <f t="shared" si="65"/>
        <v>31424.06</v>
      </c>
    </row>
    <row r="112" spans="1:13" ht="18.75" customHeight="1" x14ac:dyDescent="0.25">
      <c r="A112" s="44" t="s">
        <v>305</v>
      </c>
      <c r="B112" s="73" t="s">
        <v>306</v>
      </c>
      <c r="C112" s="46" t="s">
        <v>63</v>
      </c>
      <c r="D112" s="74">
        <v>4</v>
      </c>
      <c r="E112" s="48"/>
      <c r="F112" s="49"/>
      <c r="G112" s="49"/>
      <c r="H112" s="219">
        <v>2793</v>
      </c>
      <c r="I112" s="63">
        <f>ROUND(H112*D112,2)</f>
        <v>11172</v>
      </c>
      <c r="J112" s="63">
        <f>ROUND(I112*1.2,2)</f>
        <v>13406.4</v>
      </c>
      <c r="K112" s="65">
        <f t="shared" si="65"/>
        <v>11172</v>
      </c>
      <c r="L112" s="63">
        <f t="shared" si="65"/>
        <v>13406.4</v>
      </c>
    </row>
    <row r="113" spans="1:13" ht="18.75" customHeight="1" x14ac:dyDescent="0.25">
      <c r="A113" s="129">
        <f>A111+1</f>
        <v>53</v>
      </c>
      <c r="B113" s="143" t="s">
        <v>308</v>
      </c>
      <c r="C113" s="129" t="s">
        <v>63</v>
      </c>
      <c r="D113" s="148">
        <v>1</v>
      </c>
      <c r="E113" s="151">
        <f>ROUND(2556*1.33,2)</f>
        <v>3399.48</v>
      </c>
      <c r="F113" s="132">
        <f>ROUND(E113*D113,2)</f>
        <v>3399.48</v>
      </c>
      <c r="G113" s="132">
        <f t="shared" ref="G113" si="68">ROUND(F113*1.2,2)</f>
        <v>4079.38</v>
      </c>
      <c r="H113" s="133"/>
      <c r="I113" s="131"/>
      <c r="J113" s="131"/>
      <c r="K113" s="133">
        <f t="shared" ref="K113:L114" si="69">F113+I113</f>
        <v>3399.48</v>
      </c>
      <c r="L113" s="131">
        <f t="shared" si="69"/>
        <v>4079.38</v>
      </c>
    </row>
    <row r="114" spans="1:13" ht="18.75" customHeight="1" x14ac:dyDescent="0.25">
      <c r="A114" s="44" t="s">
        <v>309</v>
      </c>
      <c r="B114" s="73" t="s">
        <v>310</v>
      </c>
      <c r="C114" s="46" t="s">
        <v>63</v>
      </c>
      <c r="D114" s="74">
        <v>1</v>
      </c>
      <c r="E114" s="48"/>
      <c r="F114" s="49"/>
      <c r="G114" s="49"/>
      <c r="H114" s="219">
        <f>ROUND(5512/1.2*1.15,2)</f>
        <v>5282.33</v>
      </c>
      <c r="I114" s="63">
        <f>ROUND(H114*D114,2)</f>
        <v>5282.33</v>
      </c>
      <c r="J114" s="63">
        <f>ROUND(I114*1.2,2)</f>
        <v>6338.8</v>
      </c>
      <c r="K114" s="65">
        <f t="shared" si="69"/>
        <v>5282.33</v>
      </c>
      <c r="L114" s="63">
        <f t="shared" si="69"/>
        <v>6338.8</v>
      </c>
      <c r="M114" s="21" t="s">
        <v>76</v>
      </c>
    </row>
    <row r="115" spans="1:13" s="87" customFormat="1" ht="23.25" customHeight="1" x14ac:dyDescent="0.3">
      <c r="A115" s="212" t="s">
        <v>144</v>
      </c>
      <c r="B115" s="213"/>
      <c r="C115" s="213"/>
      <c r="D115" s="213"/>
      <c r="E115" s="214"/>
      <c r="F115" s="84">
        <f>SUM(F7:F114)</f>
        <v>1692260.1599999995</v>
      </c>
      <c r="G115" s="84">
        <f>ROUND(F115*1.2,2)</f>
        <v>2030712.19</v>
      </c>
      <c r="H115" s="85"/>
      <c r="I115" s="84">
        <f>SUM(I7:I114)</f>
        <v>1600168.7000000002</v>
      </c>
      <c r="J115" s="84">
        <f>ROUND(I115*1.2,2)</f>
        <v>1920202.44</v>
      </c>
      <c r="K115" s="84">
        <f>SUM(K7:K114)</f>
        <v>3292428.8600000008</v>
      </c>
      <c r="L115" s="84">
        <f>ROUND(K115*1.2,2)</f>
        <v>3950914.63</v>
      </c>
      <c r="M115" s="86"/>
    </row>
    <row r="117" spans="1:13" x14ac:dyDescent="0.25">
      <c r="B117" s="174" t="s">
        <v>586</v>
      </c>
    </row>
    <row r="118" spans="1:13" x14ac:dyDescent="0.25">
      <c r="B118" s="175" t="s">
        <v>587</v>
      </c>
    </row>
  </sheetData>
  <mergeCells count="10">
    <mergeCell ref="B6:D6"/>
    <mergeCell ref="A115:E11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P98"/>
  <sheetViews>
    <sheetView view="pageBreakPreview" topLeftCell="A69" zoomScale="80" zoomScaleNormal="100" zoomScaleSheetLayoutView="80" workbookViewId="0">
      <selection activeCell="H88" sqref="H88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3.5703125" bestFit="1" customWidth="1"/>
    <col min="5" max="5" width="15.140625" style="116" customWidth="1"/>
    <col min="6" max="6" width="16" customWidth="1"/>
    <col min="7" max="7" width="17.140625" style="89" customWidth="1"/>
    <col min="8" max="8" width="16.140625" style="89" customWidth="1"/>
    <col min="9" max="12" width="16.140625" customWidth="1"/>
    <col min="13" max="13" width="8.85546875" style="21"/>
  </cols>
  <sheetData>
    <row r="1" spans="1:16" ht="14.45" customHeight="1" x14ac:dyDescent="0.25">
      <c r="A1" s="194" t="s">
        <v>0</v>
      </c>
      <c r="B1" s="197" t="s">
        <v>8</v>
      </c>
      <c r="C1" s="200" t="s">
        <v>9</v>
      </c>
      <c r="D1" s="200" t="s">
        <v>10</v>
      </c>
      <c r="E1" s="206" t="s">
        <v>11</v>
      </c>
      <c r="F1" s="207"/>
      <c r="G1" s="207"/>
      <c r="H1" s="207"/>
      <c r="I1" s="207"/>
      <c r="J1" s="207"/>
      <c r="K1" s="207"/>
      <c r="L1" s="207"/>
    </row>
    <row r="2" spans="1:16" ht="14.45" customHeight="1" x14ac:dyDescent="0.25">
      <c r="A2" s="195"/>
      <c r="B2" s="198"/>
      <c r="C2" s="200"/>
      <c r="D2" s="200"/>
      <c r="E2" s="208"/>
      <c r="F2" s="209"/>
      <c r="G2" s="209"/>
      <c r="H2" s="209"/>
      <c r="I2" s="209"/>
      <c r="J2" s="209"/>
      <c r="K2" s="209"/>
      <c r="L2" s="209"/>
    </row>
    <row r="3" spans="1:16" ht="27.75" customHeight="1" x14ac:dyDescent="0.25">
      <c r="A3" s="195"/>
      <c r="B3" s="198"/>
      <c r="C3" s="200"/>
      <c r="D3" s="200"/>
      <c r="E3" s="200" t="s">
        <v>12</v>
      </c>
      <c r="F3" s="200"/>
      <c r="G3" s="200"/>
      <c r="H3" s="200" t="s">
        <v>13</v>
      </c>
      <c r="I3" s="200"/>
      <c r="J3" s="200"/>
      <c r="K3" s="190" t="s">
        <v>14</v>
      </c>
      <c r="L3" s="190"/>
    </row>
    <row r="4" spans="1:16" ht="41.25" customHeight="1" x14ac:dyDescent="0.25">
      <c r="A4" s="196"/>
      <c r="B4" s="199"/>
      <c r="C4" s="200"/>
      <c r="D4" s="200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6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6" ht="20.25" customHeight="1" x14ac:dyDescent="0.25">
      <c r="A6" s="26"/>
      <c r="B6" s="210" t="s">
        <v>19</v>
      </c>
      <c r="C6" s="211"/>
      <c r="D6" s="211"/>
      <c r="E6" s="27"/>
      <c r="F6" s="28"/>
      <c r="G6" s="29"/>
      <c r="H6" s="29"/>
      <c r="I6" s="29"/>
      <c r="J6" s="29"/>
      <c r="K6" s="29"/>
      <c r="L6" s="29"/>
    </row>
    <row r="7" spans="1:16" ht="24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  <c r="M7" s="36"/>
    </row>
    <row r="8" spans="1:16" ht="18" customHeight="1" x14ac:dyDescent="0.25">
      <c r="A8" s="127">
        <v>1</v>
      </c>
      <c r="B8" s="128" t="s">
        <v>21</v>
      </c>
      <c r="C8" s="129" t="s">
        <v>22</v>
      </c>
      <c r="D8" s="130">
        <v>210.22</v>
      </c>
      <c r="E8" s="131">
        <v>3500</v>
      </c>
      <c r="F8" s="131">
        <f t="shared" ref="F8:F11" si="0">ROUND(E8*D8,2)</f>
        <v>735770</v>
      </c>
      <c r="G8" s="131">
        <f t="shared" ref="G8:G11" si="1">ROUND(F8*1.2,2)</f>
        <v>882924</v>
      </c>
      <c r="H8" s="151"/>
      <c r="I8" s="131"/>
      <c r="J8" s="131"/>
      <c r="K8" s="133">
        <f t="shared" ref="K8:L23" si="2">F8+I8</f>
        <v>735770</v>
      </c>
      <c r="L8" s="131">
        <f t="shared" si="2"/>
        <v>882924</v>
      </c>
      <c r="M8" s="40" t="s">
        <v>609</v>
      </c>
      <c r="N8" s="21"/>
      <c r="O8" s="21"/>
      <c r="P8" s="21"/>
    </row>
    <row r="9" spans="1:16" ht="18" customHeight="1" x14ac:dyDescent="0.25">
      <c r="A9" s="119">
        <f>A8+1</f>
        <v>2</v>
      </c>
      <c r="B9" s="120" t="s">
        <v>23</v>
      </c>
      <c r="C9" s="121" t="s">
        <v>24</v>
      </c>
      <c r="D9" s="135">
        <v>57.54</v>
      </c>
      <c r="E9" s="123">
        <f>ROUND(65055.24/(297.03*0.05),2)</f>
        <v>4380.38</v>
      </c>
      <c r="F9" s="124">
        <f t="shared" si="0"/>
        <v>252047.07</v>
      </c>
      <c r="G9" s="124">
        <f t="shared" si="1"/>
        <v>302456.48</v>
      </c>
      <c r="H9" s="154"/>
      <c r="I9" s="124"/>
      <c r="J9" s="124"/>
      <c r="K9" s="126">
        <f t="shared" si="2"/>
        <v>252047.07</v>
      </c>
      <c r="L9" s="124">
        <f t="shared" si="2"/>
        <v>302456.48</v>
      </c>
      <c r="M9" s="21" t="s">
        <v>25</v>
      </c>
    </row>
    <row r="10" spans="1:16" ht="20.25" customHeight="1" x14ac:dyDescent="0.25">
      <c r="A10" s="119">
        <f t="shared" ref="A10:A11" si="3">A9+1</f>
        <v>3</v>
      </c>
      <c r="B10" s="120" t="s">
        <v>26</v>
      </c>
      <c r="C10" s="121" t="s">
        <v>24</v>
      </c>
      <c r="D10" s="135">
        <v>83.97</v>
      </c>
      <c r="E10" s="125">
        <v>304</v>
      </c>
      <c r="F10" s="124">
        <f t="shared" si="0"/>
        <v>25526.880000000001</v>
      </c>
      <c r="G10" s="124">
        <f t="shared" si="1"/>
        <v>30632.26</v>
      </c>
      <c r="H10" s="124"/>
      <c r="I10" s="124"/>
      <c r="J10" s="124"/>
      <c r="K10" s="126">
        <f t="shared" si="2"/>
        <v>25526.880000000001</v>
      </c>
      <c r="L10" s="124">
        <f t="shared" si="2"/>
        <v>30632.26</v>
      </c>
      <c r="M10" s="21" t="s">
        <v>25</v>
      </c>
    </row>
    <row r="11" spans="1:16" ht="18" customHeight="1" x14ac:dyDescent="0.25">
      <c r="A11" s="119">
        <f t="shared" si="3"/>
        <v>4</v>
      </c>
      <c r="B11" s="120" t="s">
        <v>27</v>
      </c>
      <c r="C11" s="121" t="s">
        <v>37</v>
      </c>
      <c r="D11" s="135">
        <v>221.13</v>
      </c>
      <c r="E11" s="123">
        <v>431.37</v>
      </c>
      <c r="F11" s="124">
        <f t="shared" si="0"/>
        <v>95388.85</v>
      </c>
      <c r="G11" s="124">
        <f t="shared" si="1"/>
        <v>114466.62</v>
      </c>
      <c r="H11" s="154"/>
      <c r="I11" s="124"/>
      <c r="J11" s="124"/>
      <c r="K11" s="126">
        <f t="shared" si="2"/>
        <v>95388.85</v>
      </c>
      <c r="L11" s="124">
        <f t="shared" si="2"/>
        <v>114466.62</v>
      </c>
      <c r="M11" s="66" t="s">
        <v>153</v>
      </c>
    </row>
    <row r="12" spans="1:16" ht="18" customHeight="1" x14ac:dyDescent="0.25">
      <c r="A12" s="30"/>
      <c r="B12" s="42" t="s">
        <v>28</v>
      </c>
      <c r="C12" s="38"/>
      <c r="D12" s="39"/>
      <c r="E12" s="35"/>
      <c r="F12" s="35"/>
      <c r="G12" s="35"/>
      <c r="H12" s="43"/>
      <c r="I12" s="35"/>
      <c r="J12" s="35"/>
      <c r="K12" s="32"/>
      <c r="L12" s="35"/>
      <c r="M12" s="36"/>
    </row>
    <row r="13" spans="1:16" ht="20.25" customHeight="1" x14ac:dyDescent="0.25">
      <c r="A13" s="121">
        <f>A11+1</f>
        <v>5</v>
      </c>
      <c r="B13" s="120" t="s">
        <v>29</v>
      </c>
      <c r="C13" s="121" t="s">
        <v>24</v>
      </c>
      <c r="D13" s="135">
        <f>ROUND(207*0.2,2)</f>
        <v>41.4</v>
      </c>
      <c r="E13" s="125">
        <v>1666.3</v>
      </c>
      <c r="F13" s="124">
        <f t="shared" ref="F13:F15" si="4">ROUND(E13*D13,2)</f>
        <v>68984.820000000007</v>
      </c>
      <c r="G13" s="124">
        <f t="shared" ref="G13:G15" si="5">ROUND(F13*1.2,2)</f>
        <v>82781.78</v>
      </c>
      <c r="H13" s="168"/>
      <c r="I13" s="124"/>
      <c r="J13" s="124"/>
      <c r="K13" s="126">
        <f t="shared" ref="K13:L20" si="6">F13+I13</f>
        <v>68984.820000000007</v>
      </c>
      <c r="L13" s="124">
        <f t="shared" si="6"/>
        <v>82781.78</v>
      </c>
      <c r="M13" s="21" t="s">
        <v>584</v>
      </c>
    </row>
    <row r="14" spans="1:16" ht="20.25" customHeight="1" x14ac:dyDescent="0.25">
      <c r="A14" s="44" t="s">
        <v>31</v>
      </c>
      <c r="B14" s="45" t="s">
        <v>32</v>
      </c>
      <c r="C14" s="46" t="s">
        <v>24</v>
      </c>
      <c r="D14" s="47">
        <f>ROUND(207*0.2*1.26,2)</f>
        <v>52.16</v>
      </c>
      <c r="E14" s="65"/>
      <c r="F14" s="49"/>
      <c r="G14" s="49"/>
      <c r="H14" s="48">
        <v>4206.6000000000004</v>
      </c>
      <c r="I14" s="49">
        <f>ROUND(H14*D14,2)</f>
        <v>219416.26</v>
      </c>
      <c r="J14" s="49">
        <f>ROUND(I14*1.2,2)</f>
        <v>263299.51</v>
      </c>
      <c r="K14" s="50">
        <f t="shared" si="6"/>
        <v>219416.26</v>
      </c>
      <c r="L14" s="49">
        <f t="shared" si="6"/>
        <v>263299.51</v>
      </c>
      <c r="M14" s="21" t="s">
        <v>30</v>
      </c>
    </row>
    <row r="15" spans="1:16" ht="20.25" customHeight="1" x14ac:dyDescent="0.25">
      <c r="A15" s="121">
        <f>A13+1</f>
        <v>6</v>
      </c>
      <c r="B15" s="120" t="s">
        <v>33</v>
      </c>
      <c r="C15" s="121" t="s">
        <v>34</v>
      </c>
      <c r="D15" s="135">
        <v>207</v>
      </c>
      <c r="E15" s="125">
        <v>1083</v>
      </c>
      <c r="F15" s="124">
        <f t="shared" si="4"/>
        <v>224181</v>
      </c>
      <c r="G15" s="124">
        <f t="shared" si="5"/>
        <v>269017.2</v>
      </c>
      <c r="H15" s="168"/>
      <c r="I15" s="124"/>
      <c r="J15" s="124"/>
      <c r="K15" s="126">
        <f t="shared" si="6"/>
        <v>224181</v>
      </c>
      <c r="L15" s="124">
        <f t="shared" si="6"/>
        <v>269017.2</v>
      </c>
      <c r="M15" s="21" t="s">
        <v>584</v>
      </c>
    </row>
    <row r="16" spans="1:16" ht="20.25" customHeight="1" x14ac:dyDescent="0.25">
      <c r="A16" s="44" t="s">
        <v>35</v>
      </c>
      <c r="B16" s="45" t="s">
        <v>36</v>
      </c>
      <c r="C16" s="46" t="s">
        <v>37</v>
      </c>
      <c r="D16" s="47">
        <f>ROUND(207*(96.6/1000)+207*2*(12.1/1000),2)</f>
        <v>25.01</v>
      </c>
      <c r="E16" s="65"/>
      <c r="F16" s="49"/>
      <c r="G16" s="49"/>
      <c r="H16" s="48">
        <v>4406.1000000000004</v>
      </c>
      <c r="I16" s="49">
        <f>ROUND(H16*D16,2)</f>
        <v>110196.56</v>
      </c>
      <c r="J16" s="49">
        <f>ROUND(I16*1.2,2)</f>
        <v>132235.87</v>
      </c>
      <c r="K16" s="50">
        <f t="shared" si="6"/>
        <v>110196.56</v>
      </c>
      <c r="L16" s="49">
        <f t="shared" si="6"/>
        <v>132235.87</v>
      </c>
      <c r="M16" s="21" t="s">
        <v>30</v>
      </c>
    </row>
    <row r="17" spans="1:13" ht="20.25" customHeight="1" x14ac:dyDescent="0.25">
      <c r="A17" s="121">
        <f>A15+1</f>
        <v>7</v>
      </c>
      <c r="B17" s="120" t="s">
        <v>38</v>
      </c>
      <c r="C17" s="121" t="s">
        <v>37</v>
      </c>
      <c r="D17" s="167">
        <v>0.16600000000000001</v>
      </c>
      <c r="E17" s="125">
        <v>1761.3</v>
      </c>
      <c r="F17" s="124">
        <f t="shared" ref="F17" si="7">ROUND(E17*D17,2)</f>
        <v>292.38</v>
      </c>
      <c r="G17" s="124">
        <f t="shared" ref="G17" si="8">ROUND(F17*1.2,2)</f>
        <v>350.86</v>
      </c>
      <c r="H17" s="169"/>
      <c r="I17" s="124"/>
      <c r="J17" s="124"/>
      <c r="K17" s="126">
        <f t="shared" si="6"/>
        <v>292.38</v>
      </c>
      <c r="L17" s="124">
        <f t="shared" si="6"/>
        <v>350.86</v>
      </c>
      <c r="M17" s="21" t="s">
        <v>30</v>
      </c>
    </row>
    <row r="18" spans="1:13" ht="20.25" customHeight="1" x14ac:dyDescent="0.25">
      <c r="A18" s="44" t="s">
        <v>39</v>
      </c>
      <c r="B18" s="45" t="s">
        <v>40</v>
      </c>
      <c r="C18" s="46" t="s">
        <v>37</v>
      </c>
      <c r="D18" s="118">
        <f>ROUND(0.166*1.03,4)</f>
        <v>0.17100000000000001</v>
      </c>
      <c r="E18" s="65"/>
      <c r="F18" s="49"/>
      <c r="G18" s="49"/>
      <c r="H18" s="48">
        <v>25036.3</v>
      </c>
      <c r="I18" s="49">
        <f>ROUND(H18*D18,2)</f>
        <v>4281.21</v>
      </c>
      <c r="J18" s="49">
        <f>ROUND(I18*1.2,2)</f>
        <v>5137.45</v>
      </c>
      <c r="K18" s="50">
        <f t="shared" si="6"/>
        <v>4281.21</v>
      </c>
      <c r="L18" s="49">
        <f t="shared" si="6"/>
        <v>5137.45</v>
      </c>
      <c r="M18" s="21" t="s">
        <v>30</v>
      </c>
    </row>
    <row r="19" spans="1:13" ht="20.25" customHeight="1" x14ac:dyDescent="0.25">
      <c r="A19" s="121">
        <f>A17+1</f>
        <v>8</v>
      </c>
      <c r="B19" s="120" t="s">
        <v>41</v>
      </c>
      <c r="C19" s="121" t="s">
        <v>34</v>
      </c>
      <c r="D19" s="135">
        <v>207</v>
      </c>
      <c r="E19" s="125">
        <v>1971.06</v>
      </c>
      <c r="F19" s="124">
        <f t="shared" ref="F19" si="9">ROUND(E19*D19,2)</f>
        <v>408009.42</v>
      </c>
      <c r="G19" s="124">
        <f t="shared" ref="G19" si="10">ROUND(F19*1.2,2)</f>
        <v>489611.3</v>
      </c>
      <c r="H19" s="169"/>
      <c r="I19" s="124"/>
      <c r="J19" s="124"/>
      <c r="K19" s="126">
        <f t="shared" si="6"/>
        <v>408009.42</v>
      </c>
      <c r="L19" s="124">
        <f t="shared" si="6"/>
        <v>489611.3</v>
      </c>
      <c r="M19" s="21" t="s">
        <v>585</v>
      </c>
    </row>
    <row r="20" spans="1:13" ht="20.25" customHeight="1" x14ac:dyDescent="0.25">
      <c r="A20" s="44" t="s">
        <v>42</v>
      </c>
      <c r="B20" s="45" t="s">
        <v>36</v>
      </c>
      <c r="C20" s="46" t="s">
        <v>37</v>
      </c>
      <c r="D20" s="47">
        <v>36.08</v>
      </c>
      <c r="E20" s="65"/>
      <c r="F20" s="49"/>
      <c r="G20" s="49"/>
      <c r="H20" s="48">
        <v>4406.1000000000004</v>
      </c>
      <c r="I20" s="49">
        <f>ROUND(H20*D20,2)</f>
        <v>158972.09</v>
      </c>
      <c r="J20" s="49">
        <f>ROUND(I20*1.2,2)</f>
        <v>190766.51</v>
      </c>
      <c r="K20" s="50">
        <f t="shared" si="6"/>
        <v>158972.09</v>
      </c>
      <c r="L20" s="49">
        <f t="shared" si="6"/>
        <v>190766.51</v>
      </c>
      <c r="M20" s="21" t="s">
        <v>30</v>
      </c>
    </row>
    <row r="21" spans="1:13" ht="20.25" customHeight="1" x14ac:dyDescent="0.25">
      <c r="A21" s="51"/>
      <c r="B21" s="42" t="s">
        <v>43</v>
      </c>
      <c r="C21" s="38"/>
      <c r="D21" s="52"/>
      <c r="E21" s="53"/>
      <c r="F21" s="54"/>
      <c r="G21" s="55"/>
      <c r="H21" s="56"/>
      <c r="I21" s="57"/>
      <c r="J21" s="57"/>
      <c r="K21" s="58"/>
      <c r="L21" s="57"/>
    </row>
    <row r="22" spans="1:13" ht="20.25" customHeight="1" x14ac:dyDescent="0.25">
      <c r="A22" s="121">
        <f>A19+1</f>
        <v>9</v>
      </c>
      <c r="B22" s="120" t="s">
        <v>44</v>
      </c>
      <c r="C22" s="121" t="s">
        <v>24</v>
      </c>
      <c r="D22" s="135">
        <v>321.38</v>
      </c>
      <c r="E22" s="125">
        <v>308.75</v>
      </c>
      <c r="F22" s="124">
        <f t="shared" ref="F22:F28" si="11">ROUND(E22*D22,2)</f>
        <v>99226.08</v>
      </c>
      <c r="G22" s="124">
        <f t="shared" ref="G22:G29" si="12">ROUND(F22*1.2,2)</f>
        <v>119071.3</v>
      </c>
      <c r="H22" s="136"/>
      <c r="I22" s="137"/>
      <c r="J22" s="137"/>
      <c r="K22" s="125">
        <f t="shared" si="2"/>
        <v>99226.08</v>
      </c>
      <c r="L22" s="123">
        <f t="shared" si="2"/>
        <v>119071.3</v>
      </c>
    </row>
    <row r="23" spans="1:13" ht="20.25" customHeight="1" x14ac:dyDescent="0.25">
      <c r="A23" s="119">
        <f>A22+1</f>
        <v>10</v>
      </c>
      <c r="B23" s="120" t="s">
        <v>45</v>
      </c>
      <c r="C23" s="121" t="s">
        <v>24</v>
      </c>
      <c r="D23" s="135">
        <v>9.9499999999999993</v>
      </c>
      <c r="E23" s="125">
        <v>1688.15</v>
      </c>
      <c r="F23" s="124">
        <f t="shared" si="11"/>
        <v>16797.09</v>
      </c>
      <c r="G23" s="124">
        <f t="shared" si="12"/>
        <v>20156.509999999998</v>
      </c>
      <c r="H23" s="136"/>
      <c r="I23" s="137"/>
      <c r="J23" s="137"/>
      <c r="K23" s="125">
        <f t="shared" si="2"/>
        <v>16797.09</v>
      </c>
      <c r="L23" s="123">
        <f t="shared" si="2"/>
        <v>20156.509999999998</v>
      </c>
    </row>
    <row r="24" spans="1:13" ht="20.25" customHeight="1" x14ac:dyDescent="0.25">
      <c r="A24" s="119">
        <f t="shared" ref="A24" si="13">A23+1</f>
        <v>11</v>
      </c>
      <c r="B24" s="120" t="s">
        <v>46</v>
      </c>
      <c r="C24" s="121" t="s">
        <v>24</v>
      </c>
      <c r="D24" s="135">
        <v>6.86</v>
      </c>
      <c r="E24" s="125">
        <v>1310.05</v>
      </c>
      <c r="F24" s="124">
        <f t="shared" si="11"/>
        <v>8986.94</v>
      </c>
      <c r="G24" s="124">
        <f t="shared" si="12"/>
        <v>10784.33</v>
      </c>
      <c r="H24" s="136"/>
      <c r="I24" s="137"/>
      <c r="J24" s="137"/>
      <c r="K24" s="125">
        <f t="shared" ref="K24:L29" si="14">F24+I24</f>
        <v>8986.94</v>
      </c>
      <c r="L24" s="123">
        <f t="shared" si="14"/>
        <v>10784.33</v>
      </c>
    </row>
    <row r="25" spans="1:13" ht="20.25" customHeight="1" x14ac:dyDescent="0.25">
      <c r="A25" s="44" t="s">
        <v>47</v>
      </c>
      <c r="B25" s="45" t="s">
        <v>48</v>
      </c>
      <c r="C25" s="46" t="s">
        <v>24</v>
      </c>
      <c r="D25" s="47">
        <f>ROUND(6.86*1.1,2)</f>
        <v>7.55</v>
      </c>
      <c r="E25" s="49"/>
      <c r="F25" s="49"/>
      <c r="G25" s="49"/>
      <c r="H25" s="49">
        <v>1191.3</v>
      </c>
      <c r="I25" s="49">
        <f>ROUND(H25*D25,2)</f>
        <v>8994.32</v>
      </c>
      <c r="J25" s="49">
        <f>ROUND(I25*1.2,2)</f>
        <v>10793.18</v>
      </c>
      <c r="K25" s="50">
        <f t="shared" si="14"/>
        <v>8994.32</v>
      </c>
      <c r="L25" s="49">
        <f t="shared" si="14"/>
        <v>10793.18</v>
      </c>
    </row>
    <row r="26" spans="1:13" ht="20.25" customHeight="1" x14ac:dyDescent="0.25">
      <c r="A26" s="121">
        <f>A24+1</f>
        <v>12</v>
      </c>
      <c r="B26" s="120" t="s">
        <v>49</v>
      </c>
      <c r="C26" s="121" t="s">
        <v>24</v>
      </c>
      <c r="D26" s="135">
        <v>472.68</v>
      </c>
      <c r="E26" s="125">
        <v>1310.05</v>
      </c>
      <c r="F26" s="124">
        <f t="shared" si="11"/>
        <v>619234.43000000005</v>
      </c>
      <c r="G26" s="124">
        <f t="shared" si="12"/>
        <v>743081.32</v>
      </c>
      <c r="H26" s="136"/>
      <c r="I26" s="137"/>
      <c r="J26" s="137"/>
      <c r="K26" s="125">
        <f t="shared" si="14"/>
        <v>619234.43000000005</v>
      </c>
      <c r="L26" s="123">
        <f t="shared" si="14"/>
        <v>743081.32</v>
      </c>
    </row>
    <row r="27" spans="1:13" ht="20.25" customHeight="1" x14ac:dyDescent="0.25">
      <c r="A27" s="44" t="s">
        <v>50</v>
      </c>
      <c r="B27" s="45" t="s">
        <v>48</v>
      </c>
      <c r="C27" s="46" t="s">
        <v>24</v>
      </c>
      <c r="D27" s="47">
        <f>ROUND((472.68)*1.1,2)</f>
        <v>519.95000000000005</v>
      </c>
      <c r="E27" s="49"/>
      <c r="F27" s="49"/>
      <c r="G27" s="49"/>
      <c r="H27" s="49">
        <v>1191.3</v>
      </c>
      <c r="I27" s="49">
        <f>ROUND(H27*D27,2)</f>
        <v>619416.43999999994</v>
      </c>
      <c r="J27" s="49">
        <f>ROUND(I27*1.2,2)</f>
        <v>743299.73</v>
      </c>
      <c r="K27" s="50">
        <f t="shared" si="14"/>
        <v>619416.43999999994</v>
      </c>
      <c r="L27" s="49">
        <f t="shared" si="14"/>
        <v>743299.73</v>
      </c>
    </row>
    <row r="28" spans="1:13" s="61" customFormat="1" ht="21.75" customHeight="1" x14ac:dyDescent="0.25">
      <c r="A28" s="121">
        <f>A26+1</f>
        <v>13</v>
      </c>
      <c r="B28" s="120" t="s">
        <v>575</v>
      </c>
      <c r="C28" s="121" t="s">
        <v>24</v>
      </c>
      <c r="D28" s="135">
        <v>472.68</v>
      </c>
      <c r="E28" s="125">
        <v>188.1</v>
      </c>
      <c r="F28" s="124">
        <f t="shared" si="11"/>
        <v>88911.11</v>
      </c>
      <c r="G28" s="124">
        <f t="shared" si="12"/>
        <v>106693.33</v>
      </c>
      <c r="H28" s="136"/>
      <c r="I28" s="137"/>
      <c r="J28" s="137"/>
      <c r="K28" s="125">
        <f t="shared" si="14"/>
        <v>88911.11</v>
      </c>
      <c r="L28" s="123">
        <f t="shared" si="14"/>
        <v>106693.33</v>
      </c>
      <c r="M28" s="60"/>
    </row>
    <row r="29" spans="1:13" ht="18.75" customHeight="1" x14ac:dyDescent="0.25">
      <c r="A29" s="119">
        <f>A28+1</f>
        <v>14</v>
      </c>
      <c r="B29" s="120" t="s">
        <v>51</v>
      </c>
      <c r="C29" s="121" t="s">
        <v>37</v>
      </c>
      <c r="D29" s="135">
        <v>629.53</v>
      </c>
      <c r="E29" s="125">
        <v>308.75</v>
      </c>
      <c r="F29" s="124">
        <f>ROUND(E29*D29,2)</f>
        <v>194367.39</v>
      </c>
      <c r="G29" s="124">
        <f t="shared" si="12"/>
        <v>233240.87</v>
      </c>
      <c r="H29" s="125"/>
      <c r="I29" s="124"/>
      <c r="J29" s="124"/>
      <c r="K29" s="125">
        <f t="shared" si="14"/>
        <v>194367.39</v>
      </c>
      <c r="L29" s="123">
        <f t="shared" si="14"/>
        <v>233240.87</v>
      </c>
    </row>
    <row r="30" spans="1:13" ht="18" customHeight="1" x14ac:dyDescent="0.25">
      <c r="A30" s="44"/>
      <c r="B30" s="42" t="s">
        <v>52</v>
      </c>
      <c r="C30" s="38"/>
      <c r="D30" s="52"/>
      <c r="E30" s="53"/>
      <c r="F30" s="54"/>
      <c r="G30" s="55"/>
      <c r="H30" s="62"/>
      <c r="I30" s="35"/>
      <c r="J30" s="35"/>
      <c r="K30" s="32"/>
      <c r="L30" s="35"/>
    </row>
    <row r="31" spans="1:13" ht="31.5" customHeight="1" x14ac:dyDescent="0.25">
      <c r="A31" s="121">
        <f>A29+1</f>
        <v>15</v>
      </c>
      <c r="B31" s="120" t="s">
        <v>53</v>
      </c>
      <c r="C31" s="121" t="s">
        <v>22</v>
      </c>
      <c r="D31" s="146">
        <v>98</v>
      </c>
      <c r="E31" s="125">
        <v>966.15</v>
      </c>
      <c r="F31" s="124">
        <f t="shared" ref="F31:F41" si="15">ROUND(E31*D31,2)</f>
        <v>94682.7</v>
      </c>
      <c r="G31" s="124">
        <f t="shared" ref="G31:G41" si="16">ROUND(F31*1.2,2)</f>
        <v>113619.24</v>
      </c>
      <c r="H31" s="145"/>
      <c r="I31" s="124"/>
      <c r="J31" s="124"/>
      <c r="K31" s="125">
        <f t="shared" ref="K31:L42" si="17">F31+I31</f>
        <v>94682.7</v>
      </c>
      <c r="L31" s="123">
        <f t="shared" si="17"/>
        <v>113619.24</v>
      </c>
    </row>
    <row r="32" spans="1:13" ht="23.25" customHeight="1" x14ac:dyDescent="0.25">
      <c r="A32" s="44" t="s">
        <v>54</v>
      </c>
      <c r="B32" s="45" t="s">
        <v>55</v>
      </c>
      <c r="C32" s="46" t="s">
        <v>22</v>
      </c>
      <c r="D32" s="47">
        <f>ROUND(98*1.02,2)</f>
        <v>99.96</v>
      </c>
      <c r="E32" s="49"/>
      <c r="F32" s="49"/>
      <c r="G32" s="49"/>
      <c r="H32" s="63">
        <v>376.2</v>
      </c>
      <c r="I32" s="49">
        <f>ROUND(H32*D32,2)</f>
        <v>37604.949999999997</v>
      </c>
      <c r="J32" s="49">
        <f>ROUND(I32*1.2,2)</f>
        <v>45125.94</v>
      </c>
      <c r="K32" s="50">
        <f t="shared" si="17"/>
        <v>37604.949999999997</v>
      </c>
      <c r="L32" s="49">
        <f t="shared" si="17"/>
        <v>45125.94</v>
      </c>
      <c r="M32" s="64"/>
    </row>
    <row r="33" spans="1:14" ht="23.25" customHeight="1" x14ac:dyDescent="0.25">
      <c r="A33" s="172">
        <f>A31+1</f>
        <v>16</v>
      </c>
      <c r="B33" s="138" t="s">
        <v>550</v>
      </c>
      <c r="C33" s="121" t="s">
        <v>63</v>
      </c>
      <c r="D33" s="146">
        <v>6</v>
      </c>
      <c r="E33" s="125">
        <v>2351.0100000000002</v>
      </c>
      <c r="F33" s="123">
        <f t="shared" ref="F33:F35" si="18">ROUND(E33*D33,2)</f>
        <v>14106.06</v>
      </c>
      <c r="G33" s="123">
        <f t="shared" ref="G33:G35" si="19">ROUND(F33*1.2,2)</f>
        <v>16927.27</v>
      </c>
      <c r="H33" s="154"/>
      <c r="I33" s="123"/>
      <c r="J33" s="123"/>
      <c r="K33" s="125">
        <f t="shared" si="17"/>
        <v>14106.06</v>
      </c>
      <c r="L33" s="123">
        <f t="shared" si="17"/>
        <v>16927.27</v>
      </c>
      <c r="M33" s="64"/>
    </row>
    <row r="34" spans="1:14" ht="18" customHeight="1" x14ac:dyDescent="0.25">
      <c r="A34" s="129">
        <f>A33+1</f>
        <v>17</v>
      </c>
      <c r="B34" s="128" t="s">
        <v>231</v>
      </c>
      <c r="C34" s="129" t="s">
        <v>160</v>
      </c>
      <c r="D34" s="140">
        <v>1</v>
      </c>
      <c r="E34" s="151">
        <f>9339.8/530*315</f>
        <v>5551.0132075471693</v>
      </c>
      <c r="F34" s="131">
        <f t="shared" si="18"/>
        <v>5551.01</v>
      </c>
      <c r="G34" s="131">
        <f t="shared" si="19"/>
        <v>6661.21</v>
      </c>
      <c r="H34" s="151"/>
      <c r="I34" s="131"/>
      <c r="J34" s="131"/>
      <c r="K34" s="133">
        <f t="shared" si="17"/>
        <v>5551.01</v>
      </c>
      <c r="L34" s="131">
        <f t="shared" si="17"/>
        <v>6661.21</v>
      </c>
      <c r="M34" s="66" t="s">
        <v>232</v>
      </c>
    </row>
    <row r="35" spans="1:14" ht="18" customHeight="1" x14ac:dyDescent="0.25">
      <c r="A35" s="127">
        <f>A34+1</f>
        <v>18</v>
      </c>
      <c r="B35" s="128" t="s">
        <v>162</v>
      </c>
      <c r="C35" s="129" t="s">
        <v>160</v>
      </c>
      <c r="D35" s="140">
        <v>1</v>
      </c>
      <c r="E35" s="151">
        <f>ROUND(1863.6*1.33,2)</f>
        <v>2478.59</v>
      </c>
      <c r="F35" s="131">
        <f t="shared" si="18"/>
        <v>2478.59</v>
      </c>
      <c r="G35" s="131">
        <f t="shared" si="19"/>
        <v>2974.31</v>
      </c>
      <c r="H35" s="151"/>
      <c r="I35" s="131"/>
      <c r="J35" s="131"/>
      <c r="K35" s="133">
        <f t="shared" si="17"/>
        <v>2478.59</v>
      </c>
      <c r="L35" s="131">
        <f t="shared" si="17"/>
        <v>2974.31</v>
      </c>
      <c r="M35" s="66"/>
    </row>
    <row r="36" spans="1:14" ht="33.75" customHeight="1" x14ac:dyDescent="0.25">
      <c r="A36" s="119">
        <f>A35+1</f>
        <v>19</v>
      </c>
      <c r="B36" s="120" t="s">
        <v>56</v>
      </c>
      <c r="C36" s="121" t="s">
        <v>22</v>
      </c>
      <c r="D36" s="146">
        <v>24</v>
      </c>
      <c r="E36" s="125">
        <v>1450.65</v>
      </c>
      <c r="F36" s="124">
        <f t="shared" si="15"/>
        <v>34815.599999999999</v>
      </c>
      <c r="G36" s="124">
        <f t="shared" si="16"/>
        <v>41778.720000000001</v>
      </c>
      <c r="H36" s="145"/>
      <c r="I36" s="124"/>
      <c r="J36" s="124"/>
      <c r="K36" s="125">
        <f t="shared" si="17"/>
        <v>34815.599999999999</v>
      </c>
      <c r="L36" s="123">
        <f t="shared" si="17"/>
        <v>41778.720000000001</v>
      </c>
    </row>
    <row r="37" spans="1:14" ht="32.25" customHeight="1" x14ac:dyDescent="0.25">
      <c r="A37" s="44" t="s">
        <v>67</v>
      </c>
      <c r="B37" s="45" t="s">
        <v>58</v>
      </c>
      <c r="C37" s="46" t="s">
        <v>22</v>
      </c>
      <c r="D37" s="47">
        <f>ROUND(1.02*24,2)</f>
        <v>24.48</v>
      </c>
      <c r="E37" s="49"/>
      <c r="F37" s="49"/>
      <c r="G37" s="49"/>
      <c r="H37" s="63">
        <v>4493.5</v>
      </c>
      <c r="I37" s="63">
        <f>ROUND(H37*D37,2)</f>
        <v>110000.88</v>
      </c>
      <c r="J37" s="63">
        <f>ROUND(I37*1.2,2)</f>
        <v>132001.06</v>
      </c>
      <c r="K37" s="65">
        <f t="shared" si="17"/>
        <v>110000.88</v>
      </c>
      <c r="L37" s="63">
        <f t="shared" si="17"/>
        <v>132001.06</v>
      </c>
      <c r="M37" s="66"/>
    </row>
    <row r="38" spans="1:14" ht="32.25" customHeight="1" x14ac:dyDescent="0.25">
      <c r="A38" s="121">
        <f>A36+1</f>
        <v>20</v>
      </c>
      <c r="B38" s="120" t="s">
        <v>59</v>
      </c>
      <c r="C38" s="121" t="s">
        <v>22</v>
      </c>
      <c r="D38" s="146">
        <v>24</v>
      </c>
      <c r="E38" s="125">
        <v>1084.9000000000001</v>
      </c>
      <c r="F38" s="124">
        <f t="shared" si="15"/>
        <v>26037.599999999999</v>
      </c>
      <c r="G38" s="124">
        <f t="shared" si="16"/>
        <v>31245.119999999999</v>
      </c>
      <c r="H38" s="145"/>
      <c r="I38" s="124"/>
      <c r="J38" s="124"/>
      <c r="K38" s="125">
        <f t="shared" si="17"/>
        <v>26037.599999999999</v>
      </c>
      <c r="L38" s="123">
        <f t="shared" si="17"/>
        <v>31245.119999999999</v>
      </c>
    </row>
    <row r="39" spans="1:14" ht="24.75" customHeight="1" x14ac:dyDescent="0.25">
      <c r="A39" s="44" t="s">
        <v>72</v>
      </c>
      <c r="B39" s="45" t="s">
        <v>55</v>
      </c>
      <c r="C39" s="46" t="s">
        <v>22</v>
      </c>
      <c r="D39" s="47">
        <v>24</v>
      </c>
      <c r="E39" s="49"/>
      <c r="F39" s="49"/>
      <c r="G39" s="49"/>
      <c r="H39" s="63">
        <v>376.2</v>
      </c>
      <c r="I39" s="49">
        <f>ROUND(H39*D39,2)</f>
        <v>9028.7999999999993</v>
      </c>
      <c r="J39" s="49">
        <f>ROUND(I39*1.2,2)</f>
        <v>10834.56</v>
      </c>
      <c r="K39" s="50">
        <f t="shared" si="17"/>
        <v>9028.7999999999993</v>
      </c>
      <c r="L39" s="49">
        <f t="shared" si="17"/>
        <v>10834.56</v>
      </c>
      <c r="M39" s="64"/>
    </row>
    <row r="40" spans="1:14" ht="21.75" customHeight="1" x14ac:dyDescent="0.25">
      <c r="A40" s="44" t="s">
        <v>167</v>
      </c>
      <c r="B40" s="45" t="s">
        <v>62</v>
      </c>
      <c r="C40" s="46" t="s">
        <v>63</v>
      </c>
      <c r="D40" s="67">
        <v>12</v>
      </c>
      <c r="E40" s="49"/>
      <c r="F40" s="49"/>
      <c r="G40" s="49"/>
      <c r="H40" s="49">
        <v>541.5</v>
      </c>
      <c r="I40" s="49">
        <f>ROUND(H40*D40,2)</f>
        <v>6498</v>
      </c>
      <c r="J40" s="49">
        <f>ROUND(I40*1.2,2)</f>
        <v>7797.6</v>
      </c>
      <c r="K40" s="50">
        <f t="shared" si="17"/>
        <v>6498</v>
      </c>
      <c r="L40" s="49">
        <f t="shared" si="17"/>
        <v>7797.6</v>
      </c>
    </row>
    <row r="41" spans="1:14" ht="34.5" customHeight="1" x14ac:dyDescent="0.25">
      <c r="A41" s="121">
        <f>A38+1</f>
        <v>21</v>
      </c>
      <c r="B41" s="138" t="s">
        <v>66</v>
      </c>
      <c r="C41" s="121" t="s">
        <v>24</v>
      </c>
      <c r="D41" s="165">
        <v>1.57</v>
      </c>
      <c r="E41" s="125">
        <v>8327.42</v>
      </c>
      <c r="F41" s="124">
        <f t="shared" si="15"/>
        <v>13074.05</v>
      </c>
      <c r="G41" s="124">
        <f t="shared" si="16"/>
        <v>15688.86</v>
      </c>
      <c r="H41" s="145"/>
      <c r="I41" s="124"/>
      <c r="J41" s="124"/>
      <c r="K41" s="125">
        <f t="shared" si="17"/>
        <v>13074.05</v>
      </c>
      <c r="L41" s="123">
        <f t="shared" si="17"/>
        <v>15688.86</v>
      </c>
    </row>
    <row r="42" spans="1:14" ht="21" customHeight="1" x14ac:dyDescent="0.25">
      <c r="A42" s="44" t="s">
        <v>74</v>
      </c>
      <c r="B42" s="45" t="s">
        <v>68</v>
      </c>
      <c r="C42" s="46" t="s">
        <v>24</v>
      </c>
      <c r="D42" s="47">
        <f>ROUND(1.02*1.57,2)</f>
        <v>1.6</v>
      </c>
      <c r="E42" s="49"/>
      <c r="F42" s="49"/>
      <c r="G42" s="49"/>
      <c r="H42" s="49">
        <v>3657.5</v>
      </c>
      <c r="I42" s="49">
        <f>ROUND(H42*D42,2)</f>
        <v>5852</v>
      </c>
      <c r="J42" s="49">
        <f>ROUND(I42*1.2,2)</f>
        <v>7022.4</v>
      </c>
      <c r="K42" s="50">
        <f t="shared" si="17"/>
        <v>5852</v>
      </c>
      <c r="L42" s="49">
        <f t="shared" si="17"/>
        <v>7022.4</v>
      </c>
      <c r="M42" s="64"/>
    </row>
    <row r="43" spans="1:14" ht="18.75" customHeight="1" x14ac:dyDescent="0.25">
      <c r="A43" s="44"/>
      <c r="B43" s="42" t="s">
        <v>69</v>
      </c>
      <c r="C43" s="69"/>
      <c r="D43" s="70"/>
      <c r="E43" s="59"/>
      <c r="F43" s="35"/>
      <c r="G43" s="35"/>
      <c r="H43" s="62"/>
      <c r="I43" s="35"/>
      <c r="J43" s="35"/>
      <c r="K43" s="32"/>
      <c r="L43" s="35"/>
      <c r="M43" s="36"/>
    </row>
    <row r="44" spans="1:14" ht="18.75" customHeight="1" x14ac:dyDescent="0.25">
      <c r="A44" s="129">
        <f>A41+1</f>
        <v>22</v>
      </c>
      <c r="B44" s="143" t="s">
        <v>70</v>
      </c>
      <c r="C44" s="170" t="s">
        <v>22</v>
      </c>
      <c r="D44" s="171">
        <v>24.3</v>
      </c>
      <c r="E44" s="133">
        <v>2321.87</v>
      </c>
      <c r="F44" s="132">
        <f t="shared" ref="F44:F70" si="20">ROUND(E44*D44,2)</f>
        <v>56421.440000000002</v>
      </c>
      <c r="G44" s="132">
        <f t="shared" ref="G44:G70" si="21">ROUND(F44*1.2,2)</f>
        <v>67705.73</v>
      </c>
      <c r="H44" s="155"/>
      <c r="I44" s="132"/>
      <c r="J44" s="132"/>
      <c r="K44" s="133">
        <f t="shared" ref="K44:L70" si="22">F44+I44</f>
        <v>56421.440000000002</v>
      </c>
      <c r="L44" s="131">
        <f t="shared" si="22"/>
        <v>67705.73</v>
      </c>
      <c r="M44" s="21" t="s">
        <v>71</v>
      </c>
    </row>
    <row r="45" spans="1:14" ht="18.75" customHeight="1" x14ac:dyDescent="0.25">
      <c r="A45" s="44" t="s">
        <v>78</v>
      </c>
      <c r="B45" s="45" t="s">
        <v>55</v>
      </c>
      <c r="C45" s="46" t="s">
        <v>22</v>
      </c>
      <c r="D45" s="71">
        <f>ROUND(1.02*24.3,2)</f>
        <v>24.79</v>
      </c>
      <c r="E45" s="49"/>
      <c r="F45" s="49"/>
      <c r="G45" s="49"/>
      <c r="H45" s="63">
        <v>376.2</v>
      </c>
      <c r="I45" s="49">
        <f>ROUND(H45*D45,2)</f>
        <v>9326</v>
      </c>
      <c r="J45" s="49">
        <f>ROUND(I45*1.2,2)</f>
        <v>11191.2</v>
      </c>
      <c r="K45" s="50">
        <f t="shared" si="22"/>
        <v>9326</v>
      </c>
      <c r="L45" s="49">
        <f t="shared" si="22"/>
        <v>11191.2</v>
      </c>
      <c r="M45" s="64"/>
    </row>
    <row r="46" spans="1:14" ht="18.75" customHeight="1" x14ac:dyDescent="0.25">
      <c r="A46" s="129">
        <f>A44+1</f>
        <v>23</v>
      </c>
      <c r="B46" s="143" t="s">
        <v>80</v>
      </c>
      <c r="C46" s="129" t="s">
        <v>63</v>
      </c>
      <c r="D46" s="148">
        <v>11</v>
      </c>
      <c r="E46" s="133">
        <f>ROUND(1.33*1468.66,2)</f>
        <v>1953.32</v>
      </c>
      <c r="F46" s="132">
        <f t="shared" si="20"/>
        <v>21486.52</v>
      </c>
      <c r="G46" s="132">
        <f t="shared" si="21"/>
        <v>25783.82</v>
      </c>
      <c r="H46" s="173"/>
      <c r="I46" s="132"/>
      <c r="J46" s="132"/>
      <c r="K46" s="133">
        <f t="shared" si="22"/>
        <v>21486.52</v>
      </c>
      <c r="L46" s="131">
        <f t="shared" si="22"/>
        <v>25783.82</v>
      </c>
    </row>
    <row r="47" spans="1:14" ht="18.75" customHeight="1" x14ac:dyDescent="0.25">
      <c r="A47" s="44" t="s">
        <v>81</v>
      </c>
      <c r="B47" s="73" t="s">
        <v>82</v>
      </c>
      <c r="C47" s="46" t="s">
        <v>63</v>
      </c>
      <c r="D47" s="74">
        <v>11</v>
      </c>
      <c r="E47" s="65"/>
      <c r="F47" s="49"/>
      <c r="G47" s="49"/>
      <c r="H47" s="63">
        <f>ROUND((3184*1.15)/1.2,2)</f>
        <v>3051.33</v>
      </c>
      <c r="I47" s="63">
        <f>ROUND(H47*D47,2)</f>
        <v>33564.629999999997</v>
      </c>
      <c r="J47" s="63">
        <f>ROUND(I47*1.2,2)</f>
        <v>40277.56</v>
      </c>
      <c r="K47" s="65">
        <f t="shared" si="22"/>
        <v>33564.629999999997</v>
      </c>
      <c r="L47" s="63">
        <f t="shared" si="22"/>
        <v>40277.56</v>
      </c>
      <c r="M47" s="66" t="s">
        <v>76</v>
      </c>
      <c r="N47" s="21"/>
    </row>
    <row r="48" spans="1:14" ht="18.75" customHeight="1" x14ac:dyDescent="0.25">
      <c r="A48" s="121">
        <f>A46+1</f>
        <v>24</v>
      </c>
      <c r="B48" s="138" t="s">
        <v>83</v>
      </c>
      <c r="C48" s="121" t="s">
        <v>63</v>
      </c>
      <c r="D48" s="147">
        <v>11</v>
      </c>
      <c r="E48" s="125">
        <v>1398.85</v>
      </c>
      <c r="F48" s="124">
        <f t="shared" si="20"/>
        <v>15387.35</v>
      </c>
      <c r="G48" s="124">
        <f t="shared" si="21"/>
        <v>18464.82</v>
      </c>
      <c r="H48" s="145"/>
      <c r="I48" s="124"/>
      <c r="J48" s="124"/>
      <c r="K48" s="125">
        <f t="shared" si="22"/>
        <v>15387.35</v>
      </c>
      <c r="L48" s="123">
        <f t="shared" si="22"/>
        <v>18464.82</v>
      </c>
    </row>
    <row r="49" spans="1:14" ht="18.75" customHeight="1" x14ac:dyDescent="0.25">
      <c r="A49" s="44" t="s">
        <v>84</v>
      </c>
      <c r="B49" s="73" t="s">
        <v>85</v>
      </c>
      <c r="C49" s="46" t="s">
        <v>63</v>
      </c>
      <c r="D49" s="74">
        <v>11</v>
      </c>
      <c r="E49" s="65"/>
      <c r="F49" s="49"/>
      <c r="G49" s="49"/>
      <c r="H49" s="49">
        <v>585.20000000000005</v>
      </c>
      <c r="I49" s="49">
        <f>ROUND(H49*D49,2)</f>
        <v>6437.2</v>
      </c>
      <c r="J49" s="49">
        <f>ROUND(I49*1.2,2)</f>
        <v>7724.64</v>
      </c>
      <c r="K49" s="50">
        <f t="shared" si="22"/>
        <v>6437.2</v>
      </c>
      <c r="L49" s="49">
        <f t="shared" si="22"/>
        <v>7724.64</v>
      </c>
    </row>
    <row r="50" spans="1:14" ht="18.75" customHeight="1" x14ac:dyDescent="0.25">
      <c r="A50" s="129">
        <f>A48+1</f>
        <v>25</v>
      </c>
      <c r="B50" s="143" t="s">
        <v>92</v>
      </c>
      <c r="C50" s="129" t="s">
        <v>63</v>
      </c>
      <c r="D50" s="148">
        <v>2</v>
      </c>
      <c r="E50" s="133">
        <f>ROUND(1.33*2164.85,2)</f>
        <v>2879.25</v>
      </c>
      <c r="F50" s="132">
        <f t="shared" ref="F50" si="23">ROUND(E50*D50,2)</f>
        <v>5758.5</v>
      </c>
      <c r="G50" s="132">
        <f t="shared" ref="G50" si="24">ROUND(F50*1.2,2)</f>
        <v>6910.2</v>
      </c>
      <c r="H50" s="173"/>
      <c r="I50" s="132"/>
      <c r="J50" s="132"/>
      <c r="K50" s="133">
        <f t="shared" ref="K50:K61" si="25">F50+I50</f>
        <v>5758.5</v>
      </c>
      <c r="L50" s="131">
        <f t="shared" ref="L50:L61" si="26">G50+J50</f>
        <v>6910.2</v>
      </c>
    </row>
    <row r="51" spans="1:14" ht="18.75" customHeight="1" x14ac:dyDescent="0.25">
      <c r="A51" s="44" t="s">
        <v>87</v>
      </c>
      <c r="B51" s="73" t="s">
        <v>94</v>
      </c>
      <c r="C51" s="46" t="s">
        <v>63</v>
      </c>
      <c r="D51" s="74">
        <v>2</v>
      </c>
      <c r="E51" s="65"/>
      <c r="F51" s="49"/>
      <c r="G51" s="49"/>
      <c r="H51" s="63">
        <f>ROUND((1404*1.15)/1.2,2)</f>
        <v>1345.5</v>
      </c>
      <c r="I51" s="63">
        <f>ROUND(H51*D51,2)</f>
        <v>2691</v>
      </c>
      <c r="J51" s="63">
        <f>ROUND(I51*1.2,2)</f>
        <v>3229.2</v>
      </c>
      <c r="K51" s="65">
        <f t="shared" si="25"/>
        <v>2691</v>
      </c>
      <c r="L51" s="63">
        <f t="shared" si="26"/>
        <v>3229.2</v>
      </c>
      <c r="M51" s="66" t="s">
        <v>76</v>
      </c>
      <c r="N51" s="21"/>
    </row>
    <row r="52" spans="1:14" ht="18.75" customHeight="1" x14ac:dyDescent="0.25">
      <c r="A52" s="121">
        <f>A50+1</f>
        <v>26</v>
      </c>
      <c r="B52" s="138" t="s">
        <v>95</v>
      </c>
      <c r="C52" s="121" t="s">
        <v>63</v>
      </c>
      <c r="D52" s="147">
        <v>5</v>
      </c>
      <c r="E52" s="125">
        <v>4704.3999999999996</v>
      </c>
      <c r="F52" s="124">
        <f t="shared" ref="F52" si="27">ROUND(E52*D52,2)</f>
        <v>23522</v>
      </c>
      <c r="G52" s="124">
        <f t="shared" ref="G52" si="28">ROUND(F52*1.2,2)</f>
        <v>28226.400000000001</v>
      </c>
      <c r="H52" s="145"/>
      <c r="I52" s="124"/>
      <c r="J52" s="124"/>
      <c r="K52" s="125">
        <f t="shared" si="25"/>
        <v>23522</v>
      </c>
      <c r="L52" s="123">
        <f t="shared" si="26"/>
        <v>28226.400000000001</v>
      </c>
      <c r="M52" s="21" t="s">
        <v>96</v>
      </c>
    </row>
    <row r="53" spans="1:14" ht="18.75" customHeight="1" x14ac:dyDescent="0.25">
      <c r="A53" s="44" t="s">
        <v>90</v>
      </c>
      <c r="B53" s="73" t="s">
        <v>98</v>
      </c>
      <c r="C53" s="46" t="s">
        <v>63</v>
      </c>
      <c r="D53" s="74">
        <v>5</v>
      </c>
      <c r="E53" s="65"/>
      <c r="F53" s="49"/>
      <c r="G53" s="49"/>
      <c r="H53" s="49">
        <v>1254</v>
      </c>
      <c r="I53" s="49">
        <f>ROUND(H53*D53,2)</f>
        <v>6270</v>
      </c>
      <c r="J53" s="49">
        <f>ROUND(I53*1.2,2)</f>
        <v>7524</v>
      </c>
      <c r="K53" s="50">
        <f t="shared" si="25"/>
        <v>6270</v>
      </c>
      <c r="L53" s="49">
        <f t="shared" si="26"/>
        <v>7524</v>
      </c>
      <c r="M53" s="21" t="s">
        <v>96</v>
      </c>
    </row>
    <row r="54" spans="1:14" ht="18.75" customHeight="1" x14ac:dyDescent="0.25">
      <c r="A54" s="129">
        <f>A52+1</f>
        <v>27</v>
      </c>
      <c r="B54" s="143" t="s">
        <v>99</v>
      </c>
      <c r="C54" s="129" t="s">
        <v>63</v>
      </c>
      <c r="D54" s="148">
        <v>9</v>
      </c>
      <c r="E54" s="133">
        <f>ROUND(1.33*1468.66,2)</f>
        <v>1953.32</v>
      </c>
      <c r="F54" s="132">
        <f t="shared" ref="F54" si="29">ROUND(E54*D54,2)</f>
        <v>17579.88</v>
      </c>
      <c r="G54" s="132">
        <f t="shared" ref="G54" si="30">ROUND(F54*1.2,2)</f>
        <v>21095.86</v>
      </c>
      <c r="H54" s="155"/>
      <c r="I54" s="132"/>
      <c r="J54" s="132"/>
      <c r="K54" s="133">
        <f t="shared" si="25"/>
        <v>17579.88</v>
      </c>
      <c r="L54" s="131">
        <f t="shared" si="26"/>
        <v>21095.86</v>
      </c>
    </row>
    <row r="55" spans="1:14" ht="18.75" customHeight="1" x14ac:dyDescent="0.25">
      <c r="A55" s="44" t="s">
        <v>93</v>
      </c>
      <c r="B55" s="73" t="s">
        <v>101</v>
      </c>
      <c r="C55" s="46" t="s">
        <v>63</v>
      </c>
      <c r="D55" s="74">
        <v>9</v>
      </c>
      <c r="E55" s="65"/>
      <c r="F55" s="49"/>
      <c r="G55" s="49"/>
      <c r="H55" s="63">
        <f>ROUND((644*1.15)/1.2,2)</f>
        <v>617.16999999999996</v>
      </c>
      <c r="I55" s="63">
        <f>ROUND(H55*D55,2)</f>
        <v>5554.53</v>
      </c>
      <c r="J55" s="63">
        <f>ROUND(I55*1.2,2)</f>
        <v>6665.44</v>
      </c>
      <c r="K55" s="65">
        <f t="shared" si="25"/>
        <v>5554.53</v>
      </c>
      <c r="L55" s="63">
        <f t="shared" si="26"/>
        <v>6665.44</v>
      </c>
      <c r="M55" s="66" t="s">
        <v>76</v>
      </c>
      <c r="N55" s="21"/>
    </row>
    <row r="56" spans="1:14" ht="33.75" customHeight="1" x14ac:dyDescent="0.25">
      <c r="A56" s="129">
        <f>A54+1</f>
        <v>28</v>
      </c>
      <c r="B56" s="143" t="s">
        <v>102</v>
      </c>
      <c r="C56" s="129" t="s">
        <v>63</v>
      </c>
      <c r="D56" s="148">
        <v>1</v>
      </c>
      <c r="E56" s="133">
        <v>4704.3999999999996</v>
      </c>
      <c r="F56" s="132">
        <f t="shared" ref="F56" si="31">ROUND(E56*D56,2)</f>
        <v>4704.3999999999996</v>
      </c>
      <c r="G56" s="132">
        <f t="shared" ref="G56" si="32">ROUND(F56*1.2,2)</f>
        <v>5645.28</v>
      </c>
      <c r="H56" s="155"/>
      <c r="I56" s="132"/>
      <c r="J56" s="132"/>
      <c r="K56" s="133">
        <f t="shared" si="25"/>
        <v>4704.3999999999996</v>
      </c>
      <c r="L56" s="131">
        <f t="shared" si="26"/>
        <v>5645.28</v>
      </c>
      <c r="M56" s="66"/>
    </row>
    <row r="57" spans="1:14" ht="18.75" customHeight="1" x14ac:dyDescent="0.25">
      <c r="A57" s="44" t="s">
        <v>97</v>
      </c>
      <c r="B57" s="73" t="s">
        <v>104</v>
      </c>
      <c r="C57" s="46" t="s">
        <v>63</v>
      </c>
      <c r="D57" s="74">
        <v>1</v>
      </c>
      <c r="E57" s="65"/>
      <c r="F57" s="49"/>
      <c r="G57" s="49"/>
      <c r="H57" s="63">
        <f>ROUND((1905*1.15)/1.2,2)</f>
        <v>1825.63</v>
      </c>
      <c r="I57" s="63">
        <f>ROUND(H57*D57,2)</f>
        <v>1825.63</v>
      </c>
      <c r="J57" s="63">
        <f>ROUND(I57*1.2,2)</f>
        <v>2190.7600000000002</v>
      </c>
      <c r="K57" s="65">
        <f t="shared" si="25"/>
        <v>1825.63</v>
      </c>
      <c r="L57" s="63">
        <f t="shared" si="26"/>
        <v>2190.7600000000002</v>
      </c>
      <c r="M57" s="66" t="s">
        <v>76</v>
      </c>
    </row>
    <row r="58" spans="1:14" ht="18.75" customHeight="1" x14ac:dyDescent="0.25">
      <c r="A58" s="121">
        <f>A56+1</f>
        <v>29</v>
      </c>
      <c r="B58" s="138" t="s">
        <v>73</v>
      </c>
      <c r="C58" s="121" t="s">
        <v>63</v>
      </c>
      <c r="D58" s="147">
        <v>5</v>
      </c>
      <c r="E58" s="125">
        <v>2337</v>
      </c>
      <c r="F58" s="124">
        <f t="shared" ref="F58" si="33">ROUND(E58*D58,2)</f>
        <v>11685</v>
      </c>
      <c r="G58" s="124">
        <f t="shared" ref="G58" si="34">ROUND(F58*1.2,2)</f>
        <v>14022</v>
      </c>
      <c r="H58" s="221"/>
      <c r="I58" s="123"/>
      <c r="J58" s="123"/>
      <c r="K58" s="125">
        <f t="shared" si="25"/>
        <v>11685</v>
      </c>
      <c r="L58" s="123">
        <f t="shared" si="26"/>
        <v>14022</v>
      </c>
      <c r="M58" s="21" t="s">
        <v>96</v>
      </c>
    </row>
    <row r="59" spans="1:14" ht="18.75" customHeight="1" x14ac:dyDescent="0.25">
      <c r="A59" s="44" t="s">
        <v>100</v>
      </c>
      <c r="B59" s="73" t="s">
        <v>75</v>
      </c>
      <c r="C59" s="46" t="s">
        <v>63</v>
      </c>
      <c r="D59" s="74">
        <v>5</v>
      </c>
      <c r="E59" s="65"/>
      <c r="F59" s="49"/>
      <c r="G59" s="49"/>
      <c r="H59" s="63">
        <f>ROUND((3909*1.15)/1.2,2)</f>
        <v>3746.13</v>
      </c>
      <c r="I59" s="63">
        <f>ROUND(H59*D59,2)</f>
        <v>18730.650000000001</v>
      </c>
      <c r="J59" s="63">
        <f>ROUND(I59*1.2,2)</f>
        <v>22476.78</v>
      </c>
      <c r="K59" s="65">
        <f t="shared" si="25"/>
        <v>18730.650000000001</v>
      </c>
      <c r="L59" s="63">
        <f t="shared" si="26"/>
        <v>22476.78</v>
      </c>
      <c r="M59" s="66" t="s">
        <v>76</v>
      </c>
    </row>
    <row r="60" spans="1:14" ht="18.75" customHeight="1" x14ac:dyDescent="0.25">
      <c r="A60" s="129">
        <f>A58+1</f>
        <v>30</v>
      </c>
      <c r="B60" s="143" t="s">
        <v>77</v>
      </c>
      <c r="C60" s="129" t="s">
        <v>63</v>
      </c>
      <c r="D60" s="148">
        <v>1</v>
      </c>
      <c r="E60" s="133">
        <f>ROUND(1.33*4581.52,2)</f>
        <v>6093.42</v>
      </c>
      <c r="F60" s="132">
        <f t="shared" ref="F60" si="35">ROUND(E60*D60,2)</f>
        <v>6093.42</v>
      </c>
      <c r="G60" s="132">
        <f t="shared" ref="G60" si="36">ROUND(F60*1.2,2)</f>
        <v>7312.1</v>
      </c>
      <c r="H60" s="173"/>
      <c r="I60" s="131"/>
      <c r="J60" s="131"/>
      <c r="K60" s="133">
        <f t="shared" si="25"/>
        <v>6093.42</v>
      </c>
      <c r="L60" s="131">
        <f t="shared" si="26"/>
        <v>7312.1</v>
      </c>
    </row>
    <row r="61" spans="1:14" ht="18.75" customHeight="1" x14ac:dyDescent="0.25">
      <c r="A61" s="44" t="s">
        <v>103</v>
      </c>
      <c r="B61" s="73" t="s">
        <v>79</v>
      </c>
      <c r="C61" s="46" t="s">
        <v>63</v>
      </c>
      <c r="D61" s="74">
        <v>1</v>
      </c>
      <c r="E61" s="65"/>
      <c r="F61" s="49"/>
      <c r="G61" s="49"/>
      <c r="H61" s="63">
        <f>ROUND((4555*1.15)/1.2,2)</f>
        <v>4365.21</v>
      </c>
      <c r="I61" s="63">
        <f>ROUND(H61*D61,2)</f>
        <v>4365.21</v>
      </c>
      <c r="J61" s="63">
        <f>ROUND(I61*1.2,2)</f>
        <v>5238.25</v>
      </c>
      <c r="K61" s="65">
        <f t="shared" si="25"/>
        <v>4365.21</v>
      </c>
      <c r="L61" s="63">
        <f t="shared" si="26"/>
        <v>5238.25</v>
      </c>
      <c r="M61" s="66" t="s">
        <v>76</v>
      </c>
    </row>
    <row r="62" spans="1:14" ht="18.75" customHeight="1" x14ac:dyDescent="0.25">
      <c r="A62" s="129">
        <f>A60+1</f>
        <v>31</v>
      </c>
      <c r="B62" s="143" t="s">
        <v>86</v>
      </c>
      <c r="C62" s="129" t="s">
        <v>63</v>
      </c>
      <c r="D62" s="148">
        <v>1</v>
      </c>
      <c r="E62" s="133">
        <f>ROUND(1.33*3673.47,2)</f>
        <v>4885.72</v>
      </c>
      <c r="F62" s="132">
        <f t="shared" si="20"/>
        <v>4885.72</v>
      </c>
      <c r="G62" s="132">
        <f t="shared" si="21"/>
        <v>5862.86</v>
      </c>
      <c r="H62" s="173"/>
      <c r="I62" s="131"/>
      <c r="J62" s="131"/>
      <c r="K62" s="133">
        <f t="shared" si="22"/>
        <v>4885.72</v>
      </c>
      <c r="L62" s="131">
        <f t="shared" si="22"/>
        <v>5862.86</v>
      </c>
    </row>
    <row r="63" spans="1:14" ht="18.75" customHeight="1" x14ac:dyDescent="0.25">
      <c r="A63" s="44" t="s">
        <v>106</v>
      </c>
      <c r="B63" s="73" t="s">
        <v>88</v>
      </c>
      <c r="C63" s="46" t="s">
        <v>63</v>
      </c>
      <c r="D63" s="74">
        <v>1</v>
      </c>
      <c r="E63" s="65"/>
      <c r="F63" s="49"/>
      <c r="G63" s="49"/>
      <c r="H63" s="63">
        <f>ROUND((19206*1.15)/1.2,2)</f>
        <v>18405.75</v>
      </c>
      <c r="I63" s="63">
        <f>ROUND(H63*D63,2)</f>
        <v>18405.75</v>
      </c>
      <c r="J63" s="63">
        <f>ROUND(I63*1.2,2)</f>
        <v>22086.9</v>
      </c>
      <c r="K63" s="65">
        <f t="shared" si="22"/>
        <v>18405.75</v>
      </c>
      <c r="L63" s="63">
        <f t="shared" si="22"/>
        <v>22086.9</v>
      </c>
      <c r="M63" s="66" t="s">
        <v>76</v>
      </c>
    </row>
    <row r="64" spans="1:14" ht="18.75" customHeight="1" x14ac:dyDescent="0.25">
      <c r="A64" s="129">
        <f>A62+1</f>
        <v>32</v>
      </c>
      <c r="B64" s="143" t="s">
        <v>89</v>
      </c>
      <c r="C64" s="129" t="s">
        <v>63</v>
      </c>
      <c r="D64" s="148">
        <v>1</v>
      </c>
      <c r="E64" s="133">
        <f>ROUND(1.33*4581.52,2)</f>
        <v>6093.42</v>
      </c>
      <c r="F64" s="132">
        <f t="shared" si="20"/>
        <v>6093.42</v>
      </c>
      <c r="G64" s="132">
        <f t="shared" si="21"/>
        <v>7312.1</v>
      </c>
      <c r="H64" s="173"/>
      <c r="I64" s="131"/>
      <c r="J64" s="131"/>
      <c r="K64" s="133">
        <f t="shared" si="22"/>
        <v>6093.42</v>
      </c>
      <c r="L64" s="131">
        <f t="shared" si="22"/>
        <v>7312.1</v>
      </c>
    </row>
    <row r="65" spans="1:13" ht="18.75" customHeight="1" x14ac:dyDescent="0.25">
      <c r="A65" s="44" t="s">
        <v>109</v>
      </c>
      <c r="B65" s="73" t="s">
        <v>91</v>
      </c>
      <c r="C65" s="46" t="s">
        <v>63</v>
      </c>
      <c r="D65" s="74">
        <v>1</v>
      </c>
      <c r="E65" s="65"/>
      <c r="F65" s="49"/>
      <c r="G65" s="49"/>
      <c r="H65" s="63">
        <f>ROUND((1300*1.15)/1.2,2)</f>
        <v>1245.83</v>
      </c>
      <c r="I65" s="63">
        <f>ROUND(H65*D65,2)</f>
        <v>1245.83</v>
      </c>
      <c r="J65" s="63">
        <f>ROUND(I65*1.2,2)</f>
        <v>1495</v>
      </c>
      <c r="K65" s="65">
        <f t="shared" si="22"/>
        <v>1245.83</v>
      </c>
      <c r="L65" s="63">
        <f t="shared" si="22"/>
        <v>1495</v>
      </c>
      <c r="M65" s="66" t="s">
        <v>76</v>
      </c>
    </row>
    <row r="66" spans="1:13" ht="18" customHeight="1" x14ac:dyDescent="0.25">
      <c r="A66" s="129">
        <f>A64+1</f>
        <v>33</v>
      </c>
      <c r="B66" s="143" t="s">
        <v>105</v>
      </c>
      <c r="C66" s="129" t="s">
        <v>63</v>
      </c>
      <c r="D66" s="148">
        <v>1</v>
      </c>
      <c r="E66" s="133">
        <f>ROUND(1.33*3090.81,2)</f>
        <v>4110.78</v>
      </c>
      <c r="F66" s="132">
        <f t="shared" si="20"/>
        <v>4110.78</v>
      </c>
      <c r="G66" s="132">
        <f t="shared" si="21"/>
        <v>4932.9399999999996</v>
      </c>
      <c r="H66" s="173"/>
      <c r="I66" s="131"/>
      <c r="J66" s="131"/>
      <c r="K66" s="133">
        <f t="shared" si="22"/>
        <v>4110.78</v>
      </c>
      <c r="L66" s="131">
        <f t="shared" si="22"/>
        <v>4932.9399999999996</v>
      </c>
    </row>
    <row r="67" spans="1:13" ht="18" customHeight="1" x14ac:dyDescent="0.25">
      <c r="A67" s="44" t="s">
        <v>112</v>
      </c>
      <c r="B67" s="73" t="s">
        <v>107</v>
      </c>
      <c r="C67" s="46" t="s">
        <v>63</v>
      </c>
      <c r="D67" s="74">
        <v>1</v>
      </c>
      <c r="E67" s="65"/>
      <c r="F67" s="49"/>
      <c r="G67" s="49"/>
      <c r="H67" s="63">
        <f>ROUND((1155*1.15)/1.2,2)</f>
        <v>1106.8800000000001</v>
      </c>
      <c r="I67" s="63">
        <f>ROUND(H67*D67,2)</f>
        <v>1106.8800000000001</v>
      </c>
      <c r="J67" s="63">
        <f>ROUND(I67*1.2,2)</f>
        <v>1328.26</v>
      </c>
      <c r="K67" s="65">
        <f t="shared" si="22"/>
        <v>1106.8800000000001</v>
      </c>
      <c r="L67" s="63">
        <f t="shared" si="22"/>
        <v>1328.26</v>
      </c>
      <c r="M67" s="66" t="s">
        <v>76</v>
      </c>
    </row>
    <row r="68" spans="1:13" ht="20.25" customHeight="1" x14ac:dyDescent="0.25">
      <c r="A68" s="129">
        <f>A66+1</f>
        <v>34</v>
      </c>
      <c r="B68" s="143" t="s">
        <v>108</v>
      </c>
      <c r="C68" s="129" t="s">
        <v>63</v>
      </c>
      <c r="D68" s="148">
        <v>1</v>
      </c>
      <c r="E68" s="133">
        <v>1398.85</v>
      </c>
      <c r="F68" s="132">
        <f t="shared" si="20"/>
        <v>1398.85</v>
      </c>
      <c r="G68" s="132">
        <f t="shared" si="21"/>
        <v>1678.62</v>
      </c>
      <c r="H68" s="173"/>
      <c r="I68" s="131"/>
      <c r="J68" s="131"/>
      <c r="K68" s="133">
        <f t="shared" si="22"/>
        <v>1398.85</v>
      </c>
      <c r="L68" s="131">
        <f t="shared" si="22"/>
        <v>1678.62</v>
      </c>
    </row>
    <row r="69" spans="1:13" ht="20.25" customHeight="1" x14ac:dyDescent="0.25">
      <c r="A69" s="44" t="s">
        <v>116</v>
      </c>
      <c r="B69" s="73" t="s">
        <v>110</v>
      </c>
      <c r="C69" s="46" t="s">
        <v>63</v>
      </c>
      <c r="D69" s="74">
        <v>1</v>
      </c>
      <c r="E69" s="65"/>
      <c r="F69" s="49"/>
      <c r="G69" s="49"/>
      <c r="H69" s="63">
        <f>ROUND((414*1.15)/1.2,2)</f>
        <v>396.75</v>
      </c>
      <c r="I69" s="63">
        <f>ROUND(H69*D69,2)</f>
        <v>396.75</v>
      </c>
      <c r="J69" s="63">
        <f>ROUND(I69*1.2,2)</f>
        <v>476.1</v>
      </c>
      <c r="K69" s="65">
        <f t="shared" si="22"/>
        <v>396.75</v>
      </c>
      <c r="L69" s="63">
        <f t="shared" si="22"/>
        <v>476.1</v>
      </c>
      <c r="M69" s="66" t="s">
        <v>76</v>
      </c>
    </row>
    <row r="70" spans="1:13" x14ac:dyDescent="0.25">
      <c r="A70" s="129">
        <f>A68+1</f>
        <v>35</v>
      </c>
      <c r="B70" s="143" t="s">
        <v>111</v>
      </c>
      <c r="C70" s="129" t="s">
        <v>63</v>
      </c>
      <c r="D70" s="148">
        <v>1</v>
      </c>
      <c r="E70" s="133">
        <f>ROUND(1.33*3090.81,2)</f>
        <v>4110.78</v>
      </c>
      <c r="F70" s="132">
        <f t="shared" si="20"/>
        <v>4110.78</v>
      </c>
      <c r="G70" s="132">
        <f t="shared" si="21"/>
        <v>4932.9399999999996</v>
      </c>
      <c r="H70" s="173"/>
      <c r="I70" s="131"/>
      <c r="J70" s="131"/>
      <c r="K70" s="133">
        <f t="shared" si="22"/>
        <v>4110.78</v>
      </c>
      <c r="L70" s="131">
        <f t="shared" si="22"/>
        <v>4932.9399999999996</v>
      </c>
    </row>
    <row r="71" spans="1:13" ht="19.5" customHeight="1" x14ac:dyDescent="0.25">
      <c r="A71" s="44" t="s">
        <v>118</v>
      </c>
      <c r="B71" s="73" t="s">
        <v>113</v>
      </c>
      <c r="C71" s="46" t="s">
        <v>63</v>
      </c>
      <c r="D71" s="74">
        <v>1</v>
      </c>
      <c r="E71" s="65"/>
      <c r="F71" s="49"/>
      <c r="G71" s="49"/>
      <c r="H71" s="63">
        <f>ROUND((30443*1.15)/1.2,2)</f>
        <v>29174.54</v>
      </c>
      <c r="I71" s="63">
        <f>ROUND(H71*D71,2)</f>
        <v>29174.54</v>
      </c>
      <c r="J71" s="63">
        <f>ROUND(I71*1.2,2)</f>
        <v>35009.449999999997</v>
      </c>
      <c r="K71" s="65">
        <f t="shared" ref="K71:L71" si="37">F71+I71</f>
        <v>29174.54</v>
      </c>
      <c r="L71" s="63">
        <f t="shared" si="37"/>
        <v>35009.449999999997</v>
      </c>
      <c r="M71" s="66" t="s">
        <v>76</v>
      </c>
    </row>
    <row r="72" spans="1:13" ht="21.75" customHeight="1" x14ac:dyDescent="0.25">
      <c r="A72" s="44"/>
      <c r="B72" s="215" t="s">
        <v>114</v>
      </c>
      <c r="C72" s="216"/>
      <c r="D72" s="72"/>
      <c r="E72" s="59"/>
      <c r="F72" s="35"/>
      <c r="G72" s="35"/>
      <c r="H72" s="62"/>
      <c r="I72" s="35"/>
      <c r="J72" s="35"/>
      <c r="K72" s="32"/>
      <c r="L72" s="35"/>
    </row>
    <row r="73" spans="1:13" ht="18" customHeight="1" x14ac:dyDescent="0.25">
      <c r="A73" s="129">
        <f>A70+1</f>
        <v>36</v>
      </c>
      <c r="B73" s="176" t="s">
        <v>115</v>
      </c>
      <c r="C73" s="127" t="s">
        <v>22</v>
      </c>
      <c r="D73" s="177">
        <v>18.2</v>
      </c>
      <c r="E73" s="133">
        <v>335.39</v>
      </c>
      <c r="F73" s="132">
        <f t="shared" ref="F73:F93" si="38">ROUND(E73*D73,2)</f>
        <v>6104.1</v>
      </c>
      <c r="G73" s="132">
        <f t="shared" ref="G73:G91" si="39">ROUND(F73*1.2,2)</f>
        <v>7324.92</v>
      </c>
      <c r="H73" s="133"/>
      <c r="I73" s="132"/>
      <c r="J73" s="132"/>
      <c r="K73" s="133">
        <f t="shared" ref="K73:L91" si="40">F73+I73</f>
        <v>6104.1</v>
      </c>
      <c r="L73" s="131">
        <f t="shared" si="40"/>
        <v>7324.92</v>
      </c>
      <c r="M73" s="66"/>
    </row>
    <row r="74" spans="1:13" ht="18" customHeight="1" x14ac:dyDescent="0.25">
      <c r="A74" s="44" t="s">
        <v>211</v>
      </c>
      <c r="B74" s="75" t="s">
        <v>117</v>
      </c>
      <c r="C74" s="76" t="s">
        <v>22</v>
      </c>
      <c r="D74" s="77">
        <f>ROUND(1.02*18.2,2)</f>
        <v>18.559999999999999</v>
      </c>
      <c r="E74" s="65"/>
      <c r="F74" s="49"/>
      <c r="G74" s="49"/>
      <c r="H74" s="63">
        <f>ROUND((96*1.15)/1.2,2)</f>
        <v>92</v>
      </c>
      <c r="I74" s="63">
        <f>ROUND(H74*D74,2)</f>
        <v>1707.52</v>
      </c>
      <c r="J74" s="63">
        <f>ROUND(I74*1.2,2)</f>
        <v>2049.02</v>
      </c>
      <c r="K74" s="65">
        <f t="shared" si="40"/>
        <v>1707.52</v>
      </c>
      <c r="L74" s="63">
        <f t="shared" si="40"/>
        <v>2049.02</v>
      </c>
      <c r="M74" s="66" t="s">
        <v>76</v>
      </c>
    </row>
    <row r="75" spans="1:13" ht="18" customHeight="1" x14ac:dyDescent="0.25">
      <c r="A75" s="129">
        <f>A73+1</f>
        <v>37</v>
      </c>
      <c r="B75" s="176" t="s">
        <v>115</v>
      </c>
      <c r="C75" s="127" t="s">
        <v>22</v>
      </c>
      <c r="D75" s="178">
        <v>13.65</v>
      </c>
      <c r="E75" s="133">
        <v>335.39</v>
      </c>
      <c r="F75" s="132">
        <f t="shared" si="38"/>
        <v>4578.07</v>
      </c>
      <c r="G75" s="132">
        <f t="shared" si="39"/>
        <v>5493.68</v>
      </c>
      <c r="H75" s="133"/>
      <c r="I75" s="131"/>
      <c r="J75" s="131"/>
      <c r="K75" s="133">
        <f t="shared" si="40"/>
        <v>4578.07</v>
      </c>
      <c r="L75" s="131">
        <f t="shared" si="40"/>
        <v>5493.68</v>
      </c>
      <c r="M75" s="66"/>
    </row>
    <row r="76" spans="1:13" ht="18" customHeight="1" x14ac:dyDescent="0.25">
      <c r="A76" s="44" t="s">
        <v>121</v>
      </c>
      <c r="B76" s="75" t="s">
        <v>117</v>
      </c>
      <c r="C76" s="76" t="s">
        <v>22</v>
      </c>
      <c r="D76" s="79">
        <f>ROUND(1.02*13.65,2)</f>
        <v>13.92</v>
      </c>
      <c r="E76" s="65"/>
      <c r="F76" s="49"/>
      <c r="G76" s="49"/>
      <c r="H76" s="63">
        <f>ROUND((96*1.15)/1.2,2)</f>
        <v>92</v>
      </c>
      <c r="I76" s="63">
        <f>ROUND(H76*D76,2)</f>
        <v>1280.6400000000001</v>
      </c>
      <c r="J76" s="63">
        <f>ROUND(I76*1.2,2)</f>
        <v>1536.77</v>
      </c>
      <c r="K76" s="65">
        <f t="shared" si="40"/>
        <v>1280.6400000000001</v>
      </c>
      <c r="L76" s="63">
        <f t="shared" si="40"/>
        <v>1536.77</v>
      </c>
      <c r="M76" s="66" t="s">
        <v>76</v>
      </c>
    </row>
    <row r="77" spans="1:13" ht="35.25" customHeight="1" x14ac:dyDescent="0.25">
      <c r="A77" s="129">
        <f>A75+1</f>
        <v>38</v>
      </c>
      <c r="B77" s="176" t="s">
        <v>119</v>
      </c>
      <c r="C77" s="129" t="s">
        <v>63</v>
      </c>
      <c r="D77" s="148">
        <v>13</v>
      </c>
      <c r="E77" s="133">
        <f>ROUND(1.33*492.94,2)</f>
        <v>655.61</v>
      </c>
      <c r="F77" s="132">
        <f t="shared" si="38"/>
        <v>8522.93</v>
      </c>
      <c r="G77" s="132">
        <f t="shared" si="39"/>
        <v>10227.52</v>
      </c>
      <c r="H77" s="133"/>
      <c r="I77" s="132"/>
      <c r="J77" s="132"/>
      <c r="K77" s="133">
        <f t="shared" si="40"/>
        <v>8522.93</v>
      </c>
      <c r="L77" s="131">
        <f t="shared" si="40"/>
        <v>10227.52</v>
      </c>
      <c r="M77" s="66"/>
    </row>
    <row r="78" spans="1:13" ht="18" customHeight="1" x14ac:dyDescent="0.25">
      <c r="A78" s="127">
        <f>A77+1</f>
        <v>39</v>
      </c>
      <c r="B78" s="176" t="s">
        <v>120</v>
      </c>
      <c r="C78" s="129" t="s">
        <v>63</v>
      </c>
      <c r="D78" s="148">
        <v>13</v>
      </c>
      <c r="E78" s="133">
        <f>ROUND(1.33*596.27,2)</f>
        <v>793.04</v>
      </c>
      <c r="F78" s="132">
        <f t="shared" si="38"/>
        <v>10309.52</v>
      </c>
      <c r="G78" s="132">
        <f t="shared" si="39"/>
        <v>12371.42</v>
      </c>
      <c r="H78" s="133"/>
      <c r="I78" s="132"/>
      <c r="J78" s="132"/>
      <c r="K78" s="133">
        <f t="shared" si="40"/>
        <v>10309.52</v>
      </c>
      <c r="L78" s="131">
        <f t="shared" si="40"/>
        <v>12371.42</v>
      </c>
      <c r="M78" s="66"/>
    </row>
    <row r="79" spans="1:13" ht="18" customHeight="1" x14ac:dyDescent="0.25">
      <c r="A79" s="44" t="s">
        <v>128</v>
      </c>
      <c r="B79" s="75" t="s">
        <v>122</v>
      </c>
      <c r="C79" s="76" t="s">
        <v>63</v>
      </c>
      <c r="D79" s="80">
        <v>13</v>
      </c>
      <c r="E79" s="65"/>
      <c r="F79" s="49"/>
      <c r="G79" s="49"/>
      <c r="H79" s="63">
        <f>ROUND((85*1.15)/1.2,2)</f>
        <v>81.459999999999994</v>
      </c>
      <c r="I79" s="49">
        <f>ROUND(H79*D79,2)</f>
        <v>1058.98</v>
      </c>
      <c r="J79" s="49">
        <f>ROUND(I79*1.2,2)</f>
        <v>1270.78</v>
      </c>
      <c r="K79" s="50">
        <f t="shared" si="40"/>
        <v>1058.98</v>
      </c>
      <c r="L79" s="49">
        <f t="shared" si="40"/>
        <v>1270.78</v>
      </c>
      <c r="M79" s="66" t="s">
        <v>76</v>
      </c>
    </row>
    <row r="80" spans="1:13" ht="29.25" customHeight="1" x14ac:dyDescent="0.25">
      <c r="A80" s="121">
        <f>A78+1</f>
        <v>40</v>
      </c>
      <c r="B80" s="179" t="s">
        <v>123</v>
      </c>
      <c r="C80" s="119" t="s">
        <v>34</v>
      </c>
      <c r="D80" s="181">
        <v>2.87</v>
      </c>
      <c r="E80" s="125">
        <v>144.4</v>
      </c>
      <c r="F80" s="124">
        <f t="shared" si="38"/>
        <v>414.43</v>
      </c>
      <c r="G80" s="124">
        <f t="shared" si="39"/>
        <v>497.32</v>
      </c>
      <c r="H80" s="125"/>
      <c r="I80" s="124"/>
      <c r="J80" s="124"/>
      <c r="K80" s="125">
        <f t="shared" si="40"/>
        <v>414.43</v>
      </c>
      <c r="L80" s="123">
        <f t="shared" si="40"/>
        <v>497.32</v>
      </c>
      <c r="M80" s="21" t="s">
        <v>588</v>
      </c>
    </row>
    <row r="81" spans="1:13" ht="21.75" customHeight="1" x14ac:dyDescent="0.25">
      <c r="A81" s="44" t="s">
        <v>132</v>
      </c>
      <c r="B81" s="45" t="s">
        <v>125</v>
      </c>
      <c r="C81" s="76" t="s">
        <v>126</v>
      </c>
      <c r="D81" s="79">
        <v>0.26</v>
      </c>
      <c r="E81" s="65"/>
      <c r="F81" s="49"/>
      <c r="G81" s="49"/>
      <c r="H81" s="65">
        <v>149.15</v>
      </c>
      <c r="I81" s="49">
        <f>ROUND(H81*D81,2)</f>
        <v>38.78</v>
      </c>
      <c r="J81" s="49">
        <f>ROUND(I81*1.2,2)</f>
        <v>46.54</v>
      </c>
      <c r="K81" s="50">
        <f t="shared" si="40"/>
        <v>38.78</v>
      </c>
      <c r="L81" s="49">
        <f t="shared" si="40"/>
        <v>46.54</v>
      </c>
      <c r="M81" s="21" t="s">
        <v>588</v>
      </c>
    </row>
    <row r="82" spans="1:13" s="61" customFormat="1" ht="22.5" customHeight="1" x14ac:dyDescent="0.25">
      <c r="A82" s="121">
        <f>A80+1</f>
        <v>41</v>
      </c>
      <c r="B82" s="180" t="s">
        <v>127</v>
      </c>
      <c r="C82" s="152" t="s">
        <v>34</v>
      </c>
      <c r="D82" s="181">
        <v>2.87</v>
      </c>
      <c r="E82" s="125">
        <v>144.4</v>
      </c>
      <c r="F82" s="124">
        <f t="shared" si="38"/>
        <v>414.43</v>
      </c>
      <c r="G82" s="124">
        <f t="shared" si="39"/>
        <v>497.32</v>
      </c>
      <c r="H82" s="145"/>
      <c r="I82" s="124"/>
      <c r="J82" s="124"/>
      <c r="K82" s="125">
        <f t="shared" si="40"/>
        <v>414.43</v>
      </c>
      <c r="L82" s="123">
        <f t="shared" si="40"/>
        <v>497.32</v>
      </c>
      <c r="M82" s="21" t="s">
        <v>588</v>
      </c>
    </row>
    <row r="83" spans="1:13" s="61" customFormat="1" ht="22.5" customHeight="1" x14ac:dyDescent="0.25">
      <c r="A83" s="44" t="s">
        <v>134</v>
      </c>
      <c r="B83" s="45" t="s">
        <v>129</v>
      </c>
      <c r="C83" s="76" t="s">
        <v>126</v>
      </c>
      <c r="D83" s="79">
        <v>0.52</v>
      </c>
      <c r="E83" s="65"/>
      <c r="F83" s="49"/>
      <c r="G83" s="49"/>
      <c r="H83" s="65">
        <v>165.3</v>
      </c>
      <c r="I83" s="49">
        <f>ROUND(H83*D83,2)</f>
        <v>85.96</v>
      </c>
      <c r="J83" s="49">
        <f>ROUND(I83*1.2,2)</f>
        <v>103.15</v>
      </c>
      <c r="K83" s="50">
        <f t="shared" si="40"/>
        <v>85.96</v>
      </c>
      <c r="L83" s="49">
        <f t="shared" si="40"/>
        <v>103.15</v>
      </c>
      <c r="M83" s="21" t="s">
        <v>588</v>
      </c>
    </row>
    <row r="84" spans="1:13" ht="20.25" customHeight="1" x14ac:dyDescent="0.25">
      <c r="A84" s="30"/>
      <c r="B84" s="42" t="s">
        <v>130</v>
      </c>
      <c r="C84" s="30"/>
      <c r="D84" s="78"/>
      <c r="E84" s="59"/>
      <c r="F84" s="33">
        <f t="shared" si="38"/>
        <v>0</v>
      </c>
      <c r="G84" s="33">
        <f t="shared" si="39"/>
        <v>0</v>
      </c>
      <c r="H84" s="34"/>
      <c r="I84" s="35"/>
      <c r="J84" s="35"/>
      <c r="K84" s="59"/>
      <c r="L84" s="41"/>
    </row>
    <row r="85" spans="1:13" ht="18.75" customHeight="1" x14ac:dyDescent="0.25">
      <c r="A85" s="129">
        <f>A82+1</f>
        <v>42</v>
      </c>
      <c r="B85" s="176" t="s">
        <v>131</v>
      </c>
      <c r="C85" s="127" t="s">
        <v>22</v>
      </c>
      <c r="D85" s="178">
        <v>2.5</v>
      </c>
      <c r="E85" s="133">
        <v>2321.88</v>
      </c>
      <c r="F85" s="132">
        <f t="shared" si="38"/>
        <v>5804.7</v>
      </c>
      <c r="G85" s="132">
        <f t="shared" si="39"/>
        <v>6965.64</v>
      </c>
      <c r="H85" s="151"/>
      <c r="I85" s="132"/>
      <c r="J85" s="132"/>
      <c r="K85" s="133">
        <f t="shared" si="40"/>
        <v>5804.7</v>
      </c>
      <c r="L85" s="131">
        <f t="shared" si="40"/>
        <v>6965.64</v>
      </c>
      <c r="M85" s="21" t="s">
        <v>71</v>
      </c>
    </row>
    <row r="86" spans="1:13" ht="18.75" customHeight="1" x14ac:dyDescent="0.25">
      <c r="A86" s="44" t="s">
        <v>137</v>
      </c>
      <c r="B86" s="45" t="s">
        <v>55</v>
      </c>
      <c r="C86" s="46" t="s">
        <v>22</v>
      </c>
      <c r="D86" s="81">
        <f>ROUND(1.02*2.5,2)</f>
        <v>2.5499999999999998</v>
      </c>
      <c r="E86" s="49"/>
      <c r="F86" s="49"/>
      <c r="G86" s="49"/>
      <c r="H86" s="63">
        <v>376.2</v>
      </c>
      <c r="I86" s="49">
        <f>ROUND(H86*D86,2)</f>
        <v>959.31</v>
      </c>
      <c r="J86" s="49">
        <f>ROUND(I86*1.2,2)</f>
        <v>1151.17</v>
      </c>
      <c r="K86" s="50">
        <f t="shared" si="40"/>
        <v>959.31</v>
      </c>
      <c r="L86" s="49">
        <f t="shared" si="40"/>
        <v>1151.17</v>
      </c>
      <c r="M86" s="64"/>
    </row>
    <row r="87" spans="1:13" ht="18.75" customHeight="1" x14ac:dyDescent="0.25">
      <c r="A87" s="129">
        <f>A85+1</f>
        <v>43</v>
      </c>
      <c r="B87" s="176" t="s">
        <v>133</v>
      </c>
      <c r="C87" s="129" t="s">
        <v>63</v>
      </c>
      <c r="D87" s="148">
        <v>1</v>
      </c>
      <c r="E87" s="133">
        <f>ROUND(1.33*1468.66,2)</f>
        <v>1953.32</v>
      </c>
      <c r="F87" s="132">
        <f t="shared" si="38"/>
        <v>1953.32</v>
      </c>
      <c r="G87" s="132">
        <f t="shared" si="39"/>
        <v>2343.98</v>
      </c>
      <c r="H87" s="151"/>
      <c r="I87" s="132"/>
      <c r="J87" s="132"/>
      <c r="K87" s="133">
        <f t="shared" si="40"/>
        <v>1953.32</v>
      </c>
      <c r="L87" s="131">
        <f t="shared" si="40"/>
        <v>2343.98</v>
      </c>
      <c r="M87" s="66"/>
    </row>
    <row r="88" spans="1:13" ht="18.75" customHeight="1" x14ac:dyDescent="0.25">
      <c r="A88" s="44" t="s">
        <v>140</v>
      </c>
      <c r="B88" s="75" t="s">
        <v>135</v>
      </c>
      <c r="C88" s="46" t="s">
        <v>63</v>
      </c>
      <c r="D88" s="82">
        <v>1</v>
      </c>
      <c r="E88" s="65"/>
      <c r="F88" s="49"/>
      <c r="G88" s="49"/>
      <c r="H88" s="63">
        <f>ROUND((1032*1.15)/1.2,2)</f>
        <v>989</v>
      </c>
      <c r="I88" s="49">
        <f>ROUND(H88*D88,2)</f>
        <v>989</v>
      </c>
      <c r="J88" s="49">
        <f>ROUND(I88*1.2,2)</f>
        <v>1186.8</v>
      </c>
      <c r="K88" s="50">
        <f t="shared" si="40"/>
        <v>989</v>
      </c>
      <c r="L88" s="49">
        <f t="shared" si="40"/>
        <v>1186.8</v>
      </c>
      <c r="M88" s="66" t="s">
        <v>76</v>
      </c>
    </row>
    <row r="89" spans="1:13" ht="18.75" customHeight="1" x14ac:dyDescent="0.25">
      <c r="A89" s="121">
        <f>A87+1</f>
        <v>44</v>
      </c>
      <c r="B89" s="179" t="s">
        <v>136</v>
      </c>
      <c r="C89" s="121" t="s">
        <v>63</v>
      </c>
      <c r="D89" s="147">
        <v>1</v>
      </c>
      <c r="E89" s="125">
        <v>3601.88</v>
      </c>
      <c r="F89" s="124">
        <f t="shared" si="38"/>
        <v>3601.88</v>
      </c>
      <c r="G89" s="124">
        <f t="shared" si="39"/>
        <v>4322.26</v>
      </c>
      <c r="H89" s="154"/>
      <c r="I89" s="124"/>
      <c r="J89" s="124"/>
      <c r="K89" s="125">
        <f t="shared" si="40"/>
        <v>3601.88</v>
      </c>
      <c r="L89" s="123">
        <f t="shared" si="40"/>
        <v>4322.26</v>
      </c>
    </row>
    <row r="90" spans="1:13" ht="18.75" customHeight="1" x14ac:dyDescent="0.25">
      <c r="A90" s="44" t="s">
        <v>143</v>
      </c>
      <c r="B90" s="83" t="s">
        <v>138</v>
      </c>
      <c r="C90" s="46" t="s">
        <v>63</v>
      </c>
      <c r="D90" s="82">
        <v>1</v>
      </c>
      <c r="E90" s="65"/>
      <c r="F90" s="49"/>
      <c r="G90" s="49"/>
      <c r="H90" s="49">
        <v>6897</v>
      </c>
      <c r="I90" s="49">
        <f>ROUND(H90*D90,2)</f>
        <v>6897</v>
      </c>
      <c r="J90" s="49">
        <f>ROUND(I90*1.2,2)</f>
        <v>8276.4</v>
      </c>
      <c r="K90" s="50">
        <f t="shared" si="40"/>
        <v>6897</v>
      </c>
      <c r="L90" s="49">
        <f t="shared" si="40"/>
        <v>8276.4</v>
      </c>
    </row>
    <row r="91" spans="1:13" s="61" customFormat="1" ht="18.75" customHeight="1" x14ac:dyDescent="0.25">
      <c r="A91" s="121">
        <f>A89+1</f>
        <v>45</v>
      </c>
      <c r="B91" s="180" t="s">
        <v>139</v>
      </c>
      <c r="C91" s="121" t="s">
        <v>63</v>
      </c>
      <c r="D91" s="147">
        <v>1</v>
      </c>
      <c r="E91" s="125">
        <v>1389.85</v>
      </c>
      <c r="F91" s="124">
        <f t="shared" si="38"/>
        <v>1389.85</v>
      </c>
      <c r="G91" s="124">
        <f t="shared" si="39"/>
        <v>1667.82</v>
      </c>
      <c r="H91" s="145"/>
      <c r="I91" s="124"/>
      <c r="J91" s="124"/>
      <c r="K91" s="125">
        <f t="shared" si="40"/>
        <v>1389.85</v>
      </c>
      <c r="L91" s="123">
        <f t="shared" si="40"/>
        <v>1667.82</v>
      </c>
      <c r="M91" s="60"/>
    </row>
    <row r="92" spans="1:13" s="61" customFormat="1" ht="18.75" customHeight="1" x14ac:dyDescent="0.25">
      <c r="A92" s="44" t="s">
        <v>285</v>
      </c>
      <c r="B92" s="45" t="s">
        <v>141</v>
      </c>
      <c r="C92" s="46" t="s">
        <v>63</v>
      </c>
      <c r="D92" s="82">
        <v>1</v>
      </c>
      <c r="E92" s="49"/>
      <c r="F92" s="49"/>
      <c r="G92" s="49"/>
      <c r="H92" s="49">
        <v>585.20000000000005</v>
      </c>
      <c r="I92" s="49">
        <f>ROUND(H92*D92,2)</f>
        <v>585.20000000000005</v>
      </c>
      <c r="J92" s="49">
        <f>ROUND(I92*1.2,2)</f>
        <v>702.24</v>
      </c>
      <c r="K92" s="50">
        <f t="shared" ref="K92:L94" si="41">F92+I92</f>
        <v>585.20000000000005</v>
      </c>
      <c r="L92" s="49">
        <f t="shared" si="41"/>
        <v>702.24</v>
      </c>
      <c r="M92" s="60"/>
    </row>
    <row r="93" spans="1:13" ht="18.75" customHeight="1" x14ac:dyDescent="0.25">
      <c r="A93" s="121">
        <f>A91+1</f>
        <v>46</v>
      </c>
      <c r="B93" s="180" t="s">
        <v>142</v>
      </c>
      <c r="C93" s="121" t="s">
        <v>63</v>
      </c>
      <c r="D93" s="147">
        <v>1</v>
      </c>
      <c r="E93" s="125">
        <v>4704.3999999999996</v>
      </c>
      <c r="F93" s="124">
        <f t="shared" si="38"/>
        <v>4704.3999999999996</v>
      </c>
      <c r="G93" s="124">
        <f>ROUND(F93*1.2,2)</f>
        <v>5645.28</v>
      </c>
      <c r="H93" s="125"/>
      <c r="I93" s="124">
        <f t="shared" ref="I93" si="42">ROUND(H93*D93,2)</f>
        <v>0</v>
      </c>
      <c r="J93" s="124">
        <f t="shared" ref="J93" si="43">ROUND(I93*1.2,2)</f>
        <v>0</v>
      </c>
      <c r="K93" s="126">
        <f t="shared" si="41"/>
        <v>4704.3999999999996</v>
      </c>
      <c r="L93" s="124">
        <f t="shared" si="41"/>
        <v>5645.28</v>
      </c>
      <c r="M93" s="21" t="s">
        <v>96</v>
      </c>
    </row>
    <row r="94" spans="1:13" ht="18.75" customHeight="1" x14ac:dyDescent="0.25">
      <c r="A94" s="44" t="s">
        <v>288</v>
      </c>
      <c r="B94" s="45" t="s">
        <v>98</v>
      </c>
      <c r="C94" s="46" t="s">
        <v>63</v>
      </c>
      <c r="D94" s="82">
        <v>1</v>
      </c>
      <c r="E94" s="49"/>
      <c r="F94" s="49"/>
      <c r="G94" s="49"/>
      <c r="H94" s="49">
        <v>1254</v>
      </c>
      <c r="I94" s="49">
        <f>ROUND(H94*D94,2)</f>
        <v>1254</v>
      </c>
      <c r="J94" s="49">
        <f>ROUND(I94*1.2,2)</f>
        <v>1504.8</v>
      </c>
      <c r="K94" s="50">
        <f t="shared" si="41"/>
        <v>1254</v>
      </c>
      <c r="L94" s="49">
        <f t="shared" si="41"/>
        <v>1504.8</v>
      </c>
      <c r="M94" s="21" t="s">
        <v>96</v>
      </c>
    </row>
    <row r="95" spans="1:13" s="87" customFormat="1" ht="22.5" customHeight="1" x14ac:dyDescent="0.3">
      <c r="A95" s="212" t="s">
        <v>144</v>
      </c>
      <c r="B95" s="213"/>
      <c r="C95" s="213"/>
      <c r="D95" s="213"/>
      <c r="E95" s="214"/>
      <c r="F95" s="84">
        <f>SUM(F7:F94)</f>
        <v>3259504.76</v>
      </c>
      <c r="G95" s="84">
        <f>ROUND(F95*1.2,2)</f>
        <v>3911405.71</v>
      </c>
      <c r="H95" s="85"/>
      <c r="I95" s="84">
        <f>SUM(I7:I94)</f>
        <v>1444212.4999999995</v>
      </c>
      <c r="J95" s="84">
        <f>ROUND(I95*1.2,2)</f>
        <v>1733055</v>
      </c>
      <c r="K95" s="84">
        <f>SUM(K7:K94)</f>
        <v>4703717.2599999979</v>
      </c>
      <c r="L95" s="84">
        <f>ROUND(K95*1.2,2)</f>
        <v>5644460.71</v>
      </c>
      <c r="M95" s="86"/>
    </row>
    <row r="97" spans="2:11" x14ac:dyDescent="0.25">
      <c r="B97" s="174" t="s">
        <v>586</v>
      </c>
      <c r="F97" s="88"/>
      <c r="K97" s="88"/>
    </row>
    <row r="98" spans="2:11" x14ac:dyDescent="0.25">
      <c r="B98" s="175" t="s">
        <v>587</v>
      </c>
    </row>
  </sheetData>
  <mergeCells count="11">
    <mergeCell ref="B6:D6"/>
    <mergeCell ref="B72:C72"/>
    <mergeCell ref="A95:E9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79998168889431442"/>
  </sheetPr>
  <dimension ref="A1:N111"/>
  <sheetViews>
    <sheetView view="pageBreakPreview" topLeftCell="A91" zoomScale="80" zoomScaleNormal="100" zoomScaleSheetLayoutView="80" workbookViewId="0">
      <selection activeCell="F109" sqref="F109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89" customWidth="1"/>
    <col min="8" max="8" width="16.140625" style="89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194" t="s">
        <v>0</v>
      </c>
      <c r="B1" s="197" t="s">
        <v>8</v>
      </c>
      <c r="C1" s="200" t="s">
        <v>9</v>
      </c>
      <c r="D1" s="200" t="s">
        <v>10</v>
      </c>
      <c r="E1" s="206" t="s">
        <v>11</v>
      </c>
      <c r="F1" s="207"/>
      <c r="G1" s="207"/>
      <c r="H1" s="207"/>
      <c r="I1" s="207"/>
      <c r="J1" s="207"/>
      <c r="K1" s="207"/>
      <c r="L1" s="207"/>
    </row>
    <row r="2" spans="1:13" ht="14.45" customHeight="1" x14ac:dyDescent="0.25">
      <c r="A2" s="195"/>
      <c r="B2" s="198"/>
      <c r="C2" s="200"/>
      <c r="D2" s="200"/>
      <c r="E2" s="208"/>
      <c r="F2" s="209"/>
      <c r="G2" s="209"/>
      <c r="H2" s="209"/>
      <c r="I2" s="209"/>
      <c r="J2" s="209"/>
      <c r="K2" s="209"/>
      <c r="L2" s="209"/>
    </row>
    <row r="3" spans="1:13" ht="27.75" customHeight="1" x14ac:dyDescent="0.25">
      <c r="A3" s="195"/>
      <c r="B3" s="198"/>
      <c r="C3" s="200"/>
      <c r="D3" s="200"/>
      <c r="E3" s="200" t="s">
        <v>12</v>
      </c>
      <c r="F3" s="200"/>
      <c r="G3" s="200"/>
      <c r="H3" s="200" t="s">
        <v>13</v>
      </c>
      <c r="I3" s="200"/>
      <c r="J3" s="200"/>
      <c r="K3" s="190" t="s">
        <v>14</v>
      </c>
      <c r="L3" s="190"/>
    </row>
    <row r="4" spans="1:13" ht="56.1" customHeight="1" x14ac:dyDescent="0.25">
      <c r="A4" s="196"/>
      <c r="B4" s="199"/>
      <c r="C4" s="200"/>
      <c r="D4" s="200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210" t="s">
        <v>145</v>
      </c>
      <c r="C6" s="211"/>
      <c r="D6" s="211"/>
      <c r="E6" s="27"/>
      <c r="F6" s="28"/>
      <c r="G6" s="29"/>
      <c r="H6" s="29"/>
      <c r="I6" s="29"/>
      <c r="J6" s="29"/>
      <c r="K6" s="29"/>
      <c r="L6" s="29"/>
    </row>
    <row r="7" spans="1:13" ht="24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18" customHeight="1" x14ac:dyDescent="0.25">
      <c r="A8" s="127">
        <v>1</v>
      </c>
      <c r="B8" s="128" t="s">
        <v>146</v>
      </c>
      <c r="C8" s="129" t="s">
        <v>63</v>
      </c>
      <c r="D8" s="140">
        <v>14</v>
      </c>
      <c r="E8" s="131">
        <v>3982.45</v>
      </c>
      <c r="F8" s="132">
        <f t="shared" ref="F8:F9" si="0">ROUND(E8*D8,2)</f>
        <v>55754.3</v>
      </c>
      <c r="G8" s="132">
        <f t="shared" ref="G8:G9" si="1">ROUND(F8*1.2,2)</f>
        <v>66905.16</v>
      </c>
      <c r="H8" s="151"/>
      <c r="I8" s="132"/>
      <c r="J8" s="132"/>
      <c r="K8" s="134">
        <f t="shared" ref="K8:L9" si="2">F8+I8</f>
        <v>55754.3</v>
      </c>
      <c r="L8" s="132">
        <f t="shared" si="2"/>
        <v>66905.16</v>
      </c>
      <c r="M8" s="66" t="s">
        <v>71</v>
      </c>
    </row>
    <row r="9" spans="1:13" ht="18" customHeight="1" x14ac:dyDescent="0.25">
      <c r="A9" s="119">
        <f>A8+1</f>
        <v>2</v>
      </c>
      <c r="B9" s="120" t="s">
        <v>147</v>
      </c>
      <c r="C9" s="121" t="s">
        <v>37</v>
      </c>
      <c r="D9" s="135">
        <v>30.8</v>
      </c>
      <c r="E9" s="123">
        <v>431.37</v>
      </c>
      <c r="F9" s="124">
        <f t="shared" si="0"/>
        <v>13286.2</v>
      </c>
      <c r="G9" s="124">
        <f t="shared" si="1"/>
        <v>15943.44</v>
      </c>
      <c r="H9" s="154"/>
      <c r="I9" s="124"/>
      <c r="J9" s="124"/>
      <c r="K9" s="126">
        <f t="shared" si="2"/>
        <v>13286.2</v>
      </c>
      <c r="L9" s="124">
        <f t="shared" si="2"/>
        <v>15943.44</v>
      </c>
      <c r="M9" s="66" t="s">
        <v>153</v>
      </c>
    </row>
    <row r="10" spans="1:13" ht="20.25" customHeight="1" x14ac:dyDescent="0.25">
      <c r="A10" s="51"/>
      <c r="B10" s="42" t="s">
        <v>43</v>
      </c>
      <c r="C10" s="38"/>
      <c r="D10" s="52"/>
      <c r="E10" s="53"/>
      <c r="F10" s="54"/>
      <c r="G10" s="55"/>
      <c r="H10" s="56"/>
      <c r="I10" s="57"/>
      <c r="J10" s="57"/>
      <c r="K10" s="58"/>
      <c r="L10" s="57"/>
    </row>
    <row r="11" spans="1:13" ht="20.25" customHeight="1" x14ac:dyDescent="0.25">
      <c r="A11" s="121">
        <f>A9+1</f>
        <v>3</v>
      </c>
      <c r="B11" s="120" t="s">
        <v>44</v>
      </c>
      <c r="C11" s="121" t="s">
        <v>24</v>
      </c>
      <c r="D11" s="135">
        <v>106.66</v>
      </c>
      <c r="E11" s="154">
        <v>308.75</v>
      </c>
      <c r="F11" s="124">
        <f t="shared" ref="F11:F15" si="3">ROUND(E11*D11,2)</f>
        <v>32931.279999999999</v>
      </c>
      <c r="G11" s="124">
        <f t="shared" ref="G11:G28" si="4">ROUND(F11*1.2,2)</f>
        <v>39517.54</v>
      </c>
      <c r="H11" s="136"/>
      <c r="I11" s="137"/>
      <c r="J11" s="137"/>
      <c r="K11" s="125">
        <f t="shared" ref="K11:L26" si="5">F11+I11</f>
        <v>32931.279999999999</v>
      </c>
      <c r="L11" s="123">
        <f t="shared" si="5"/>
        <v>39517.54</v>
      </c>
    </row>
    <row r="12" spans="1:13" ht="20.25" customHeight="1" x14ac:dyDescent="0.25">
      <c r="A12" s="119">
        <f>A11+1</f>
        <v>4</v>
      </c>
      <c r="B12" s="120" t="s">
        <v>45</v>
      </c>
      <c r="C12" s="121" t="s">
        <v>24</v>
      </c>
      <c r="D12" s="160">
        <v>3.3</v>
      </c>
      <c r="E12" s="154">
        <v>1688.15</v>
      </c>
      <c r="F12" s="124">
        <f t="shared" si="3"/>
        <v>5570.9</v>
      </c>
      <c r="G12" s="124">
        <f t="shared" si="4"/>
        <v>6685.08</v>
      </c>
      <c r="H12" s="136"/>
      <c r="I12" s="137"/>
      <c r="J12" s="137"/>
      <c r="K12" s="125">
        <f t="shared" si="5"/>
        <v>5570.9</v>
      </c>
      <c r="L12" s="123">
        <f t="shared" si="5"/>
        <v>6685.08</v>
      </c>
    </row>
    <row r="13" spans="1:13" ht="20.25" customHeight="1" x14ac:dyDescent="0.25">
      <c r="A13" s="119">
        <f t="shared" ref="A13" si="6">A12+1</f>
        <v>5</v>
      </c>
      <c r="B13" s="120" t="s">
        <v>46</v>
      </c>
      <c r="C13" s="121" t="s">
        <v>24</v>
      </c>
      <c r="D13" s="135">
        <v>0.44</v>
      </c>
      <c r="E13" s="154">
        <v>1310.05</v>
      </c>
      <c r="F13" s="124">
        <f t="shared" si="3"/>
        <v>576.41999999999996</v>
      </c>
      <c r="G13" s="124">
        <f t="shared" si="4"/>
        <v>691.7</v>
      </c>
      <c r="H13" s="136"/>
      <c r="I13" s="137"/>
      <c r="J13" s="137"/>
      <c r="K13" s="125">
        <f t="shared" si="5"/>
        <v>576.41999999999996</v>
      </c>
      <c r="L13" s="123">
        <f t="shared" si="5"/>
        <v>691.7</v>
      </c>
    </row>
    <row r="14" spans="1:13" ht="20.25" customHeight="1" x14ac:dyDescent="0.25">
      <c r="A14" s="44" t="s">
        <v>31</v>
      </c>
      <c r="B14" s="45" t="s">
        <v>48</v>
      </c>
      <c r="C14" s="46" t="s">
        <v>24</v>
      </c>
      <c r="D14" s="47">
        <f>0.44*1.1</f>
        <v>0.48400000000000004</v>
      </c>
      <c r="E14" s="48"/>
      <c r="F14" s="49"/>
      <c r="G14" s="49"/>
      <c r="H14" s="49">
        <v>1191.3</v>
      </c>
      <c r="I14" s="49">
        <f>ROUND(H14*D14,2)</f>
        <v>576.59</v>
      </c>
      <c r="J14" s="49">
        <f>ROUND(I14*1.2,2)</f>
        <v>691.91</v>
      </c>
      <c r="K14" s="50">
        <f t="shared" si="5"/>
        <v>576.59</v>
      </c>
      <c r="L14" s="49">
        <f t="shared" si="5"/>
        <v>691.91</v>
      </c>
    </row>
    <row r="15" spans="1:13" s="61" customFormat="1" ht="21.75" customHeight="1" x14ac:dyDescent="0.25">
      <c r="A15" s="121">
        <f>A13+1</f>
        <v>6</v>
      </c>
      <c r="B15" s="120" t="s">
        <v>49</v>
      </c>
      <c r="C15" s="121" t="s">
        <v>24</v>
      </c>
      <c r="D15" s="135">
        <v>91.03</v>
      </c>
      <c r="E15" s="154">
        <v>1310.05</v>
      </c>
      <c r="F15" s="124">
        <f t="shared" si="3"/>
        <v>119253.85</v>
      </c>
      <c r="G15" s="124">
        <f t="shared" si="4"/>
        <v>143104.62</v>
      </c>
      <c r="H15" s="136"/>
      <c r="I15" s="137"/>
      <c r="J15" s="137"/>
      <c r="K15" s="125">
        <f t="shared" si="5"/>
        <v>119253.85</v>
      </c>
      <c r="L15" s="123">
        <f t="shared" si="5"/>
        <v>143104.62</v>
      </c>
      <c r="M15" s="60"/>
    </row>
    <row r="16" spans="1:13" s="61" customFormat="1" ht="21.75" customHeight="1" x14ac:dyDescent="0.25">
      <c r="A16" s="44" t="s">
        <v>35</v>
      </c>
      <c r="B16" s="45" t="s">
        <v>48</v>
      </c>
      <c r="C16" s="46" t="s">
        <v>24</v>
      </c>
      <c r="D16" s="47">
        <f>91.03*1.1</f>
        <v>100.13300000000001</v>
      </c>
      <c r="E16" s="48"/>
      <c r="F16" s="49"/>
      <c r="G16" s="49"/>
      <c r="H16" s="49">
        <v>1191.3</v>
      </c>
      <c r="I16" s="49">
        <f>ROUND(H16*D16,2)</f>
        <v>119288.44</v>
      </c>
      <c r="J16" s="49">
        <f>ROUND(I16*1.2,2)</f>
        <v>143146.13</v>
      </c>
      <c r="K16" s="50">
        <f t="shared" si="5"/>
        <v>119288.44</v>
      </c>
      <c r="L16" s="49">
        <f t="shared" si="5"/>
        <v>143146.13</v>
      </c>
      <c r="M16" s="60"/>
    </row>
    <row r="17" spans="1:13" ht="18.75" customHeight="1" x14ac:dyDescent="0.25">
      <c r="A17" s="119">
        <f>A15+1</f>
        <v>7</v>
      </c>
      <c r="B17" s="120" t="s">
        <v>148</v>
      </c>
      <c r="C17" s="121" t="s">
        <v>24</v>
      </c>
      <c r="D17" s="135">
        <v>14.57</v>
      </c>
      <c r="E17" s="154">
        <v>118.75</v>
      </c>
      <c r="F17" s="124">
        <f>ROUND(E17*D17,2)</f>
        <v>1730.19</v>
      </c>
      <c r="G17" s="124">
        <f t="shared" si="4"/>
        <v>2076.23</v>
      </c>
      <c r="H17" s="125"/>
      <c r="I17" s="124"/>
      <c r="J17" s="124"/>
      <c r="K17" s="125">
        <f t="shared" si="5"/>
        <v>1730.19</v>
      </c>
      <c r="L17" s="123">
        <f t="shared" si="5"/>
        <v>2076.23</v>
      </c>
    </row>
    <row r="18" spans="1:13" ht="18" customHeight="1" x14ac:dyDescent="0.25">
      <c r="A18" s="119">
        <f>A17+1</f>
        <v>8</v>
      </c>
      <c r="B18" s="120" t="s">
        <v>574</v>
      </c>
      <c r="C18" s="121" t="s">
        <v>24</v>
      </c>
      <c r="D18" s="135">
        <v>105.6</v>
      </c>
      <c r="E18" s="154">
        <v>188.1</v>
      </c>
      <c r="F18" s="123">
        <f t="shared" ref="F18:F28" si="7">ROUND(E18*D18,2)</f>
        <v>19863.36</v>
      </c>
      <c r="G18" s="123">
        <f t="shared" si="4"/>
        <v>23836.03</v>
      </c>
      <c r="H18" s="154"/>
      <c r="I18" s="123"/>
      <c r="J18" s="123"/>
      <c r="K18" s="125">
        <f t="shared" si="5"/>
        <v>19863.36</v>
      </c>
      <c r="L18" s="123">
        <f t="shared" si="5"/>
        <v>23836.03</v>
      </c>
      <c r="M18" s="66"/>
    </row>
    <row r="19" spans="1:13" ht="18" customHeight="1" x14ac:dyDescent="0.25">
      <c r="A19" s="119">
        <f t="shared" ref="A19:A22" si="8">A18+1</f>
        <v>9</v>
      </c>
      <c r="B19" s="120" t="s">
        <v>149</v>
      </c>
      <c r="C19" s="121" t="s">
        <v>34</v>
      </c>
      <c r="D19" s="160">
        <v>81.400000000000006</v>
      </c>
      <c r="E19" s="154">
        <v>118.75</v>
      </c>
      <c r="F19" s="123">
        <f t="shared" si="7"/>
        <v>9666.25</v>
      </c>
      <c r="G19" s="123">
        <f t="shared" si="4"/>
        <v>11599.5</v>
      </c>
      <c r="H19" s="154"/>
      <c r="I19" s="123"/>
      <c r="J19" s="123"/>
      <c r="K19" s="125">
        <f t="shared" si="5"/>
        <v>9666.25</v>
      </c>
      <c r="L19" s="123">
        <f t="shared" si="5"/>
        <v>11599.5</v>
      </c>
      <c r="M19" s="66"/>
    </row>
    <row r="20" spans="1:13" ht="28.5" customHeight="1" x14ac:dyDescent="0.25">
      <c r="A20" s="119">
        <f t="shared" si="8"/>
        <v>10</v>
      </c>
      <c r="B20" s="120" t="s">
        <v>150</v>
      </c>
      <c r="C20" s="121" t="s">
        <v>24</v>
      </c>
      <c r="D20" s="135">
        <v>121.32</v>
      </c>
      <c r="E20" s="154">
        <v>308.75</v>
      </c>
      <c r="F20" s="124">
        <f t="shared" si="7"/>
        <v>37457.550000000003</v>
      </c>
      <c r="G20" s="124">
        <f t="shared" si="4"/>
        <v>44949.06</v>
      </c>
      <c r="H20" s="136"/>
      <c r="I20" s="137"/>
      <c r="J20" s="137"/>
      <c r="K20" s="125">
        <f t="shared" si="5"/>
        <v>37457.550000000003</v>
      </c>
      <c r="L20" s="123">
        <f t="shared" si="5"/>
        <v>44949.06</v>
      </c>
      <c r="M20" s="66"/>
    </row>
    <row r="21" spans="1:13" ht="18" customHeight="1" x14ac:dyDescent="0.25">
      <c r="A21" s="119">
        <f t="shared" si="8"/>
        <v>11</v>
      </c>
      <c r="B21" s="120" t="s">
        <v>151</v>
      </c>
      <c r="C21" s="121" t="s">
        <v>24</v>
      </c>
      <c r="D21" s="135">
        <v>40.64</v>
      </c>
      <c r="E21" s="154">
        <v>1688.15</v>
      </c>
      <c r="F21" s="124">
        <f t="shared" si="7"/>
        <v>68606.42</v>
      </c>
      <c r="G21" s="124">
        <f t="shared" si="4"/>
        <v>82327.7</v>
      </c>
      <c r="H21" s="136"/>
      <c r="I21" s="137"/>
      <c r="J21" s="137"/>
      <c r="K21" s="125">
        <f t="shared" si="5"/>
        <v>68606.42</v>
      </c>
      <c r="L21" s="123">
        <f t="shared" si="5"/>
        <v>82327.7</v>
      </c>
      <c r="M21" s="66"/>
    </row>
    <row r="22" spans="1:13" ht="18" customHeight="1" x14ac:dyDescent="0.25">
      <c r="A22" s="119">
        <f t="shared" si="8"/>
        <v>12</v>
      </c>
      <c r="B22" s="120" t="s">
        <v>152</v>
      </c>
      <c r="C22" s="121" t="s">
        <v>24</v>
      </c>
      <c r="D22" s="135">
        <v>2.39</v>
      </c>
      <c r="E22" s="125">
        <v>1350.9</v>
      </c>
      <c r="F22" s="123">
        <f t="shared" si="7"/>
        <v>3228.65</v>
      </c>
      <c r="G22" s="123">
        <f t="shared" si="4"/>
        <v>3874.38</v>
      </c>
      <c r="H22" s="154"/>
      <c r="I22" s="123"/>
      <c r="J22" s="123"/>
      <c r="K22" s="125">
        <f t="shared" si="5"/>
        <v>3228.65</v>
      </c>
      <c r="L22" s="123">
        <f t="shared" si="5"/>
        <v>3874.38</v>
      </c>
      <c r="M22" s="66" t="s">
        <v>153</v>
      </c>
    </row>
    <row r="23" spans="1:13" ht="18" customHeight="1" x14ac:dyDescent="0.25">
      <c r="A23" s="44" t="s">
        <v>50</v>
      </c>
      <c r="B23" s="45" t="s">
        <v>154</v>
      </c>
      <c r="C23" s="90" t="s">
        <v>24</v>
      </c>
      <c r="D23" s="47">
        <f>2.39*1.26</f>
        <v>3.0114000000000001</v>
      </c>
      <c r="E23" s="48"/>
      <c r="F23" s="63"/>
      <c r="G23" s="63"/>
      <c r="H23" s="65">
        <v>1299.5999999999999</v>
      </c>
      <c r="I23" s="49">
        <f>ROUND(H23*D23,2)</f>
        <v>3913.62</v>
      </c>
      <c r="J23" s="49">
        <f>ROUND(I23*1.2,2)</f>
        <v>4696.34</v>
      </c>
      <c r="K23" s="50">
        <f t="shared" si="5"/>
        <v>3913.62</v>
      </c>
      <c r="L23" s="49">
        <f t="shared" si="5"/>
        <v>4696.34</v>
      </c>
      <c r="M23" s="64"/>
    </row>
    <row r="24" spans="1:13" ht="18" customHeight="1" x14ac:dyDescent="0.25">
      <c r="A24" s="119">
        <f>A22+1</f>
        <v>13</v>
      </c>
      <c r="B24" s="120" t="s">
        <v>156</v>
      </c>
      <c r="C24" s="121" t="s">
        <v>24</v>
      </c>
      <c r="D24" s="135">
        <v>19.93</v>
      </c>
      <c r="E24" s="154">
        <v>1310.05</v>
      </c>
      <c r="F24" s="123">
        <f t="shared" ref="F24" si="9">ROUND(E24*D24,2)</f>
        <v>26109.3</v>
      </c>
      <c r="G24" s="123">
        <f t="shared" ref="G24" si="10">ROUND(F24*1.2,2)</f>
        <v>31331.16</v>
      </c>
      <c r="H24" s="154"/>
      <c r="I24" s="123"/>
      <c r="J24" s="123"/>
      <c r="K24" s="125">
        <f t="shared" si="5"/>
        <v>26109.3</v>
      </c>
      <c r="L24" s="123">
        <f t="shared" si="5"/>
        <v>31331.16</v>
      </c>
      <c r="M24" s="66"/>
    </row>
    <row r="25" spans="1:13" ht="18" customHeight="1" x14ac:dyDescent="0.25">
      <c r="A25" s="44" t="s">
        <v>157</v>
      </c>
      <c r="B25" s="45" t="s">
        <v>48</v>
      </c>
      <c r="C25" s="46" t="s">
        <v>24</v>
      </c>
      <c r="D25" s="47">
        <f>19.93*1.1</f>
        <v>21.923000000000002</v>
      </c>
      <c r="E25" s="48"/>
      <c r="F25" s="49"/>
      <c r="G25" s="49"/>
      <c r="H25" s="49">
        <v>1191.3</v>
      </c>
      <c r="I25" s="49">
        <f>ROUND(H25*D25,2)</f>
        <v>26116.87</v>
      </c>
      <c r="J25" s="49">
        <f>ROUND(I25*1.2,2)</f>
        <v>31340.240000000002</v>
      </c>
      <c r="K25" s="50">
        <f t="shared" si="5"/>
        <v>26116.87</v>
      </c>
      <c r="L25" s="49">
        <f t="shared" si="5"/>
        <v>31340.240000000002</v>
      </c>
      <c r="M25" s="66"/>
    </row>
    <row r="26" spans="1:13" ht="18" customHeight="1" x14ac:dyDescent="0.25">
      <c r="A26" s="119">
        <f>A24+1</f>
        <v>14</v>
      </c>
      <c r="B26" s="120" t="s">
        <v>158</v>
      </c>
      <c r="C26" s="121" t="s">
        <v>24</v>
      </c>
      <c r="D26" s="135">
        <v>88.68</v>
      </c>
      <c r="E26" s="154">
        <v>118.75</v>
      </c>
      <c r="F26" s="124">
        <f>ROUND(E26*D26,2)</f>
        <v>10530.75</v>
      </c>
      <c r="G26" s="124">
        <f t="shared" ref="G26:G27" si="11">ROUND(F26*1.2,2)</f>
        <v>12636.9</v>
      </c>
      <c r="H26" s="125"/>
      <c r="I26" s="124"/>
      <c r="J26" s="124"/>
      <c r="K26" s="125">
        <f t="shared" si="5"/>
        <v>10530.75</v>
      </c>
      <c r="L26" s="123">
        <f t="shared" si="5"/>
        <v>12636.9</v>
      </c>
      <c r="M26" s="66"/>
    </row>
    <row r="27" spans="1:13" ht="18" customHeight="1" x14ac:dyDescent="0.25">
      <c r="A27" s="119">
        <f>A26+1</f>
        <v>15</v>
      </c>
      <c r="B27" s="120" t="s">
        <v>575</v>
      </c>
      <c r="C27" s="121" t="s">
        <v>24</v>
      </c>
      <c r="D27" s="135">
        <v>108.61</v>
      </c>
      <c r="E27" s="154">
        <v>188.1</v>
      </c>
      <c r="F27" s="123">
        <f t="shared" ref="F27" si="12">ROUND(E27*D27,2)</f>
        <v>20429.54</v>
      </c>
      <c r="G27" s="123">
        <f t="shared" si="11"/>
        <v>24515.45</v>
      </c>
      <c r="H27" s="154"/>
      <c r="I27" s="123"/>
      <c r="J27" s="123"/>
      <c r="K27" s="125">
        <f t="shared" ref="K27:L28" si="13">F27+I27</f>
        <v>20429.54</v>
      </c>
      <c r="L27" s="123">
        <f t="shared" si="13"/>
        <v>24515.45</v>
      </c>
      <c r="M27" s="66"/>
    </row>
    <row r="28" spans="1:13" ht="18" customHeight="1" x14ac:dyDescent="0.25">
      <c r="A28" s="119">
        <f t="shared" ref="A28" si="14">A27+1</f>
        <v>16</v>
      </c>
      <c r="B28" s="120" t="s">
        <v>51</v>
      </c>
      <c r="C28" s="121" t="s">
        <v>37</v>
      </c>
      <c r="D28" s="135">
        <v>320.47000000000003</v>
      </c>
      <c r="E28" s="154">
        <v>308.75</v>
      </c>
      <c r="F28" s="123">
        <f t="shared" si="7"/>
        <v>98945.11</v>
      </c>
      <c r="G28" s="123">
        <f t="shared" si="4"/>
        <v>118734.13</v>
      </c>
      <c r="H28" s="154"/>
      <c r="I28" s="123"/>
      <c r="J28" s="123"/>
      <c r="K28" s="125">
        <f t="shared" si="13"/>
        <v>98945.11</v>
      </c>
      <c r="L28" s="123">
        <f t="shared" si="13"/>
        <v>118734.13</v>
      </c>
      <c r="M28" s="66"/>
    </row>
    <row r="29" spans="1:13" ht="18" customHeight="1" x14ac:dyDescent="0.25">
      <c r="A29" s="44"/>
      <c r="B29" s="42" t="s">
        <v>52</v>
      </c>
      <c r="C29" s="38"/>
      <c r="D29" s="52"/>
      <c r="E29" s="53"/>
      <c r="F29" s="54"/>
      <c r="G29" s="55"/>
      <c r="H29" s="62"/>
      <c r="I29" s="35"/>
      <c r="J29" s="35"/>
      <c r="K29" s="32"/>
      <c r="L29" s="35"/>
    </row>
    <row r="30" spans="1:13" ht="18" customHeight="1" x14ac:dyDescent="0.25">
      <c r="A30" s="127">
        <f>A28+1</f>
        <v>17</v>
      </c>
      <c r="B30" s="128" t="s">
        <v>159</v>
      </c>
      <c r="C30" s="129" t="s">
        <v>160</v>
      </c>
      <c r="D30" s="140">
        <v>1</v>
      </c>
      <c r="E30" s="151">
        <v>9339.7999999999993</v>
      </c>
      <c r="F30" s="131">
        <f t="shared" ref="F30:F32" si="15">ROUND(E30*D30,2)</f>
        <v>9339.7999999999993</v>
      </c>
      <c r="G30" s="131">
        <f t="shared" ref="G30:G32" si="16">ROUND(F30*1.2,2)</f>
        <v>11207.76</v>
      </c>
      <c r="H30" s="151"/>
      <c r="I30" s="131"/>
      <c r="J30" s="131"/>
      <c r="K30" s="133">
        <f t="shared" ref="K30:L41" si="17">F30+I30</f>
        <v>9339.7999999999993</v>
      </c>
      <c r="L30" s="131">
        <f t="shared" si="17"/>
        <v>11207.76</v>
      </c>
      <c r="M30" s="66" t="s">
        <v>161</v>
      </c>
    </row>
    <row r="31" spans="1:13" ht="18" customHeight="1" x14ac:dyDescent="0.25">
      <c r="A31" s="127">
        <f>A30+1</f>
        <v>18</v>
      </c>
      <c r="B31" s="128" t="s">
        <v>162</v>
      </c>
      <c r="C31" s="129" t="s">
        <v>160</v>
      </c>
      <c r="D31" s="140">
        <v>1</v>
      </c>
      <c r="E31" s="151">
        <f>ROUND(2803.18*1.33,2)</f>
        <v>3728.23</v>
      </c>
      <c r="F31" s="131">
        <f t="shared" si="15"/>
        <v>3728.23</v>
      </c>
      <c r="G31" s="131">
        <f t="shared" si="16"/>
        <v>4473.88</v>
      </c>
      <c r="H31" s="151"/>
      <c r="I31" s="131"/>
      <c r="J31" s="131"/>
      <c r="K31" s="133">
        <f t="shared" si="17"/>
        <v>3728.23</v>
      </c>
      <c r="L31" s="131">
        <f t="shared" si="17"/>
        <v>4473.88</v>
      </c>
      <c r="M31" s="66" t="s">
        <v>71</v>
      </c>
    </row>
    <row r="32" spans="1:13" ht="37.5" customHeight="1" x14ac:dyDescent="0.25">
      <c r="A32" s="119">
        <f>A31+1</f>
        <v>19</v>
      </c>
      <c r="B32" s="120" t="s">
        <v>163</v>
      </c>
      <c r="C32" s="121" t="s">
        <v>22</v>
      </c>
      <c r="D32" s="135">
        <v>17.12</v>
      </c>
      <c r="E32" s="154">
        <v>5316.2</v>
      </c>
      <c r="F32" s="124">
        <f t="shared" si="15"/>
        <v>91013.34</v>
      </c>
      <c r="G32" s="124">
        <f t="shared" si="16"/>
        <v>109216.01</v>
      </c>
      <c r="H32" s="145"/>
      <c r="I32" s="124"/>
      <c r="J32" s="124"/>
      <c r="K32" s="125">
        <f t="shared" si="17"/>
        <v>91013.34</v>
      </c>
      <c r="L32" s="123">
        <f t="shared" si="17"/>
        <v>109216.01</v>
      </c>
    </row>
    <row r="33" spans="1:14" ht="38.25" customHeight="1" x14ac:dyDescent="0.25">
      <c r="A33" s="44" t="s">
        <v>67</v>
      </c>
      <c r="B33" s="45" t="s">
        <v>164</v>
      </c>
      <c r="C33" s="46" t="s">
        <v>22</v>
      </c>
      <c r="D33" s="47">
        <f>1.02*17.12</f>
        <v>17.462400000000002</v>
      </c>
      <c r="E33" s="48"/>
      <c r="F33" s="49"/>
      <c r="G33" s="49"/>
      <c r="H33" s="63">
        <v>13103.35</v>
      </c>
      <c r="I33" s="63">
        <f>ROUND(H33*D33,2)</f>
        <v>228815.94</v>
      </c>
      <c r="J33" s="63">
        <f>ROUND(I33*1.2,2)</f>
        <v>274579.13</v>
      </c>
      <c r="K33" s="65">
        <f t="shared" si="17"/>
        <v>228815.94</v>
      </c>
      <c r="L33" s="63">
        <f t="shared" si="17"/>
        <v>274579.13</v>
      </c>
    </row>
    <row r="34" spans="1:14" ht="36.75" customHeight="1" x14ac:dyDescent="0.25">
      <c r="A34" s="127">
        <f>A32+1</f>
        <v>20</v>
      </c>
      <c r="B34" s="128" t="s">
        <v>165</v>
      </c>
      <c r="C34" s="129" t="s">
        <v>22</v>
      </c>
      <c r="D34" s="130">
        <v>17.12</v>
      </c>
      <c r="E34" s="151">
        <f>ROUND(1572.68*1.33,2)</f>
        <v>2091.66</v>
      </c>
      <c r="F34" s="132">
        <f t="shared" ref="F34" si="18">ROUND(E34*D34,2)</f>
        <v>35809.22</v>
      </c>
      <c r="G34" s="132">
        <f t="shared" ref="G34" si="19">ROUND(F34*1.2,2)</f>
        <v>42971.06</v>
      </c>
      <c r="H34" s="155"/>
      <c r="I34" s="132"/>
      <c r="J34" s="132"/>
      <c r="K34" s="133">
        <f t="shared" si="17"/>
        <v>35809.22</v>
      </c>
      <c r="L34" s="131">
        <f t="shared" si="17"/>
        <v>42971.06</v>
      </c>
      <c r="M34" s="66" t="s">
        <v>71</v>
      </c>
    </row>
    <row r="35" spans="1:14" ht="21" customHeight="1" x14ac:dyDescent="0.25">
      <c r="A35" s="44" t="s">
        <v>72</v>
      </c>
      <c r="B35" s="45" t="s">
        <v>166</v>
      </c>
      <c r="C35" s="46" t="s">
        <v>22</v>
      </c>
      <c r="D35" s="47">
        <f>1.02*17.12</f>
        <v>17.462400000000002</v>
      </c>
      <c r="E35" s="48"/>
      <c r="F35" s="49"/>
      <c r="G35" s="49"/>
      <c r="H35" s="49">
        <v>3479.85</v>
      </c>
      <c r="I35" s="49">
        <f>ROUND(H35*D35,2)</f>
        <v>60766.53</v>
      </c>
      <c r="J35" s="49">
        <f>ROUND(I35*1.2,2)</f>
        <v>72919.839999999997</v>
      </c>
      <c r="K35" s="50">
        <f t="shared" si="17"/>
        <v>60766.53</v>
      </c>
      <c r="L35" s="49">
        <f t="shared" si="17"/>
        <v>72919.839999999997</v>
      </c>
    </row>
    <row r="36" spans="1:14" ht="24.75" customHeight="1" x14ac:dyDescent="0.25">
      <c r="A36" s="44" t="s">
        <v>167</v>
      </c>
      <c r="B36" s="45" t="s">
        <v>168</v>
      </c>
      <c r="C36" s="46" t="s">
        <v>63</v>
      </c>
      <c r="D36" s="67">
        <v>8</v>
      </c>
      <c r="E36" s="48"/>
      <c r="F36" s="49"/>
      <c r="G36" s="49"/>
      <c r="H36" s="49">
        <v>917.7</v>
      </c>
      <c r="I36" s="49">
        <f>ROUND(H36*D36,2)</f>
        <v>7341.6</v>
      </c>
      <c r="J36" s="49">
        <f>ROUND(I36*1.2,2)</f>
        <v>8809.92</v>
      </c>
      <c r="K36" s="50">
        <f t="shared" si="17"/>
        <v>7341.6</v>
      </c>
      <c r="L36" s="49">
        <f t="shared" si="17"/>
        <v>8809.92</v>
      </c>
    </row>
    <row r="37" spans="1:14" ht="27.75" customHeight="1" x14ac:dyDescent="0.25">
      <c r="A37" s="119">
        <f>A34+1</f>
        <v>21</v>
      </c>
      <c r="B37" s="120" t="s">
        <v>169</v>
      </c>
      <c r="C37" s="121" t="s">
        <v>170</v>
      </c>
      <c r="D37" s="146">
        <v>1</v>
      </c>
      <c r="E37" s="154">
        <v>6060.29</v>
      </c>
      <c r="F37" s="124">
        <f t="shared" ref="F37:F40" si="20">ROUND(E37*D37,2)</f>
        <v>6060.29</v>
      </c>
      <c r="G37" s="124">
        <f t="shared" ref="G37:G40" si="21">ROUND(F37*1.2,2)</f>
        <v>7272.35</v>
      </c>
      <c r="H37" s="145"/>
      <c r="I37" s="124"/>
      <c r="J37" s="124"/>
      <c r="K37" s="125">
        <f t="shared" si="17"/>
        <v>6060.29</v>
      </c>
      <c r="L37" s="123">
        <f t="shared" si="17"/>
        <v>7272.35</v>
      </c>
    </row>
    <row r="38" spans="1:14" ht="30" x14ac:dyDescent="0.25">
      <c r="A38" s="119">
        <f>A37+1</f>
        <v>22</v>
      </c>
      <c r="B38" s="120" t="s">
        <v>66</v>
      </c>
      <c r="C38" s="121" t="s">
        <v>24</v>
      </c>
      <c r="D38" s="135">
        <v>2.4500000000000002</v>
      </c>
      <c r="E38" s="154">
        <v>8327.42</v>
      </c>
      <c r="F38" s="124">
        <f t="shared" si="20"/>
        <v>20402.18</v>
      </c>
      <c r="G38" s="124">
        <f t="shared" si="21"/>
        <v>24482.62</v>
      </c>
      <c r="H38" s="145"/>
      <c r="I38" s="124"/>
      <c r="J38" s="124"/>
      <c r="K38" s="125">
        <f t="shared" si="17"/>
        <v>20402.18</v>
      </c>
      <c r="L38" s="123">
        <f t="shared" si="17"/>
        <v>24482.62</v>
      </c>
    </row>
    <row r="39" spans="1:14" ht="19.5" customHeight="1" x14ac:dyDescent="0.25">
      <c r="A39" s="44" t="s">
        <v>78</v>
      </c>
      <c r="B39" s="45" t="s">
        <v>68</v>
      </c>
      <c r="C39" s="46" t="s">
        <v>24</v>
      </c>
      <c r="D39" s="47">
        <f>1.02*2.45</f>
        <v>2.4990000000000001</v>
      </c>
      <c r="E39" s="48"/>
      <c r="F39" s="49"/>
      <c r="G39" s="49"/>
      <c r="H39" s="49">
        <v>3657.5</v>
      </c>
      <c r="I39" s="49">
        <f t="shared" ref="I39" si="22">ROUND(H39*D39,2)</f>
        <v>9140.09</v>
      </c>
      <c r="J39" s="49">
        <f t="shared" ref="J39" si="23">ROUND(I39*1.2,2)</f>
        <v>10968.11</v>
      </c>
      <c r="K39" s="50">
        <f t="shared" si="17"/>
        <v>9140.09</v>
      </c>
      <c r="L39" s="49">
        <f t="shared" si="17"/>
        <v>10968.11</v>
      </c>
      <c r="M39" s="93"/>
    </row>
    <row r="40" spans="1:14" ht="35.25" customHeight="1" x14ac:dyDescent="0.25">
      <c r="A40" s="119">
        <f>A38+1</f>
        <v>23</v>
      </c>
      <c r="B40" s="120" t="s">
        <v>171</v>
      </c>
      <c r="C40" s="121" t="s">
        <v>22</v>
      </c>
      <c r="D40" s="135">
        <v>24.47</v>
      </c>
      <c r="E40" s="154">
        <v>1419.5</v>
      </c>
      <c r="F40" s="124">
        <f t="shared" si="20"/>
        <v>34735.17</v>
      </c>
      <c r="G40" s="124">
        <f t="shared" si="21"/>
        <v>41682.199999999997</v>
      </c>
      <c r="H40" s="145"/>
      <c r="I40" s="124"/>
      <c r="J40" s="124"/>
      <c r="K40" s="125">
        <f t="shared" si="17"/>
        <v>34735.17</v>
      </c>
      <c r="L40" s="123">
        <f t="shared" si="17"/>
        <v>41682.199999999997</v>
      </c>
    </row>
    <row r="41" spans="1:14" ht="23.25" customHeight="1" x14ac:dyDescent="0.25">
      <c r="A41" s="44" t="s">
        <v>81</v>
      </c>
      <c r="B41" s="45" t="s">
        <v>166</v>
      </c>
      <c r="C41" s="46" t="s">
        <v>22</v>
      </c>
      <c r="D41" s="47">
        <f>1.02*24.47</f>
        <v>24.959399999999999</v>
      </c>
      <c r="E41" s="48"/>
      <c r="F41" s="49"/>
      <c r="G41" s="49"/>
      <c r="H41" s="49">
        <v>3479.85</v>
      </c>
      <c r="I41" s="49">
        <f>ROUND(H41*D41,2)</f>
        <v>86854.97</v>
      </c>
      <c r="J41" s="49">
        <f>ROUND(I41*1.2,2)</f>
        <v>104225.96</v>
      </c>
      <c r="K41" s="50">
        <f t="shared" si="17"/>
        <v>86854.97</v>
      </c>
      <c r="L41" s="49">
        <f t="shared" si="17"/>
        <v>104225.96</v>
      </c>
    </row>
    <row r="42" spans="1:14" ht="20.25" customHeight="1" x14ac:dyDescent="0.25">
      <c r="A42" s="38"/>
      <c r="B42" s="94" t="s">
        <v>172</v>
      </c>
      <c r="C42" s="38"/>
      <c r="D42" s="52"/>
      <c r="E42" s="34"/>
      <c r="F42" s="35"/>
      <c r="G42" s="35"/>
      <c r="H42" s="62"/>
      <c r="I42" s="35"/>
      <c r="J42" s="35"/>
      <c r="K42" s="59"/>
      <c r="L42" s="41"/>
      <c r="M42" s="36"/>
    </row>
    <row r="43" spans="1:14" ht="30.75" customHeight="1" x14ac:dyDescent="0.25">
      <c r="A43" s="119">
        <f>A40+1</f>
        <v>24</v>
      </c>
      <c r="B43" s="120" t="s">
        <v>173</v>
      </c>
      <c r="C43" s="121" t="s">
        <v>24</v>
      </c>
      <c r="D43" s="135">
        <f>1*0.59+3*0.59+1*0.55+2*0.02</f>
        <v>2.95</v>
      </c>
      <c r="E43" s="154">
        <v>17265.68</v>
      </c>
      <c r="F43" s="124">
        <f t="shared" ref="F43" si="24">ROUND(E43*D43,2)</f>
        <v>50933.760000000002</v>
      </c>
      <c r="G43" s="124">
        <f t="shared" ref="G43" si="25">ROUND(F43*1.2,2)</f>
        <v>61120.51</v>
      </c>
      <c r="H43" s="145"/>
      <c r="I43" s="124"/>
      <c r="J43" s="124"/>
      <c r="K43" s="125">
        <f t="shared" ref="K43:L52" si="26">F43+I43</f>
        <v>50933.760000000002</v>
      </c>
      <c r="L43" s="123">
        <f t="shared" si="26"/>
        <v>61120.51</v>
      </c>
    </row>
    <row r="44" spans="1:14" ht="18.75" customHeight="1" x14ac:dyDescent="0.25">
      <c r="A44" s="44" t="s">
        <v>84</v>
      </c>
      <c r="B44" s="73" t="s">
        <v>174</v>
      </c>
      <c r="C44" s="46" t="s">
        <v>63</v>
      </c>
      <c r="D44" s="67">
        <v>1</v>
      </c>
      <c r="E44" s="48"/>
      <c r="F44" s="49"/>
      <c r="G44" s="49"/>
      <c r="H44" s="95">
        <v>10215.35</v>
      </c>
      <c r="I44" s="49">
        <f t="shared" ref="I44:I48" si="27">ROUND(H44*D44,2)</f>
        <v>10215.35</v>
      </c>
      <c r="J44" s="49">
        <f t="shared" ref="J44:J48" si="28">ROUND(I44*1.2,2)</f>
        <v>12258.42</v>
      </c>
      <c r="K44" s="50">
        <f t="shared" si="26"/>
        <v>10215.35</v>
      </c>
      <c r="L44" s="49">
        <f t="shared" si="26"/>
        <v>12258.42</v>
      </c>
      <c r="M44" s="66" t="s">
        <v>153</v>
      </c>
    </row>
    <row r="45" spans="1:14" ht="18.75" customHeight="1" x14ac:dyDescent="0.25">
      <c r="A45" s="44" t="s">
        <v>175</v>
      </c>
      <c r="B45" s="73" t="s">
        <v>176</v>
      </c>
      <c r="C45" s="46" t="s">
        <v>63</v>
      </c>
      <c r="D45" s="67">
        <v>3</v>
      </c>
      <c r="E45" s="48"/>
      <c r="F45" s="49"/>
      <c r="G45" s="49"/>
      <c r="H45" s="95">
        <v>10455.700000000001</v>
      </c>
      <c r="I45" s="49">
        <f t="shared" si="27"/>
        <v>31367.1</v>
      </c>
      <c r="J45" s="49">
        <f t="shared" si="28"/>
        <v>37640.519999999997</v>
      </c>
      <c r="K45" s="50">
        <f t="shared" si="26"/>
        <v>31367.1</v>
      </c>
      <c r="L45" s="49">
        <f t="shared" si="26"/>
        <v>37640.519999999997</v>
      </c>
      <c r="M45" s="66" t="s">
        <v>153</v>
      </c>
    </row>
    <row r="46" spans="1:14" ht="18.75" customHeight="1" x14ac:dyDescent="0.25">
      <c r="A46" s="44" t="s">
        <v>177</v>
      </c>
      <c r="B46" s="73" t="s">
        <v>178</v>
      </c>
      <c r="C46" s="46" t="s">
        <v>63</v>
      </c>
      <c r="D46" s="67">
        <v>1</v>
      </c>
      <c r="E46" s="48"/>
      <c r="F46" s="49"/>
      <c r="G46" s="49"/>
      <c r="H46" s="95">
        <v>10815.75</v>
      </c>
      <c r="I46" s="49">
        <f t="shared" si="27"/>
        <v>10815.75</v>
      </c>
      <c r="J46" s="49">
        <f t="shared" si="28"/>
        <v>12978.9</v>
      </c>
      <c r="K46" s="50">
        <f t="shared" si="26"/>
        <v>10815.75</v>
      </c>
      <c r="L46" s="49">
        <f t="shared" si="26"/>
        <v>12978.9</v>
      </c>
      <c r="M46" s="66" t="s">
        <v>153</v>
      </c>
    </row>
    <row r="47" spans="1:14" ht="18.75" customHeight="1" x14ac:dyDescent="0.25">
      <c r="A47" s="44" t="s">
        <v>179</v>
      </c>
      <c r="B47" s="73" t="s">
        <v>180</v>
      </c>
      <c r="C47" s="46" t="s">
        <v>63</v>
      </c>
      <c r="D47" s="67">
        <v>2</v>
      </c>
      <c r="E47" s="48"/>
      <c r="F47" s="49"/>
      <c r="G47" s="49"/>
      <c r="H47" s="219">
        <f>ROUND(1150/1.2*1.15,2)</f>
        <v>1102.08</v>
      </c>
      <c r="I47" s="63">
        <f t="shared" si="27"/>
        <v>2204.16</v>
      </c>
      <c r="J47" s="63">
        <f t="shared" si="28"/>
        <v>2644.99</v>
      </c>
      <c r="K47" s="65">
        <f t="shared" si="26"/>
        <v>2204.16</v>
      </c>
      <c r="L47" s="63">
        <f t="shared" si="26"/>
        <v>2644.99</v>
      </c>
      <c r="M47" s="66" t="s">
        <v>155</v>
      </c>
      <c r="N47" s="21"/>
    </row>
    <row r="48" spans="1:14" ht="18.75" customHeight="1" x14ac:dyDescent="0.25">
      <c r="A48" s="44" t="s">
        <v>182</v>
      </c>
      <c r="B48" s="73" t="s">
        <v>183</v>
      </c>
      <c r="C48" s="46" t="s">
        <v>63</v>
      </c>
      <c r="D48" s="67">
        <v>1</v>
      </c>
      <c r="E48" s="48"/>
      <c r="F48" s="49"/>
      <c r="G48" s="49"/>
      <c r="H48" s="95">
        <v>14421</v>
      </c>
      <c r="I48" s="49">
        <f t="shared" si="27"/>
        <v>14421</v>
      </c>
      <c r="J48" s="49">
        <f t="shared" si="28"/>
        <v>17305.2</v>
      </c>
      <c r="K48" s="50">
        <f t="shared" si="26"/>
        <v>14421</v>
      </c>
      <c r="L48" s="49">
        <f t="shared" si="26"/>
        <v>17305.2</v>
      </c>
      <c r="M48" s="66"/>
    </row>
    <row r="49" spans="1:13" ht="27.75" customHeight="1" x14ac:dyDescent="0.25">
      <c r="A49" s="121">
        <f>A43+1</f>
        <v>25</v>
      </c>
      <c r="B49" s="120" t="s">
        <v>352</v>
      </c>
      <c r="C49" s="121" t="s">
        <v>34</v>
      </c>
      <c r="D49" s="122">
        <v>21.38</v>
      </c>
      <c r="E49" s="154">
        <v>144.4</v>
      </c>
      <c r="F49" s="124">
        <f>ROUND(E49*D49,2)</f>
        <v>3087.27</v>
      </c>
      <c r="G49" s="124">
        <f t="shared" ref="G49" si="29">ROUND(F49*1.2,2)</f>
        <v>3704.72</v>
      </c>
      <c r="H49" s="125"/>
      <c r="I49" s="124"/>
      <c r="J49" s="124"/>
      <c r="K49" s="125">
        <f t="shared" si="26"/>
        <v>3087.27</v>
      </c>
      <c r="L49" s="123">
        <f t="shared" si="26"/>
        <v>3704.72</v>
      </c>
      <c r="M49" s="66" t="s">
        <v>256</v>
      </c>
    </row>
    <row r="50" spans="1:13" ht="17.25" customHeight="1" x14ac:dyDescent="0.25">
      <c r="A50" s="44" t="s">
        <v>87</v>
      </c>
      <c r="B50" s="73" t="s">
        <v>353</v>
      </c>
      <c r="C50" s="46" t="s">
        <v>215</v>
      </c>
      <c r="D50" s="108">
        <f>D49*0.3*20/16</f>
        <v>8.0175000000000001</v>
      </c>
      <c r="E50" s="48"/>
      <c r="F50" s="49"/>
      <c r="G50" s="49"/>
      <c r="H50" s="95">
        <v>237.5</v>
      </c>
      <c r="I50" s="49">
        <f>ROUND(H50*D50,2)</f>
        <v>1904.16</v>
      </c>
      <c r="J50" s="49">
        <f t="shared" ref="J50" si="30">ROUND(I50*1.2,2)</f>
        <v>2284.9899999999998</v>
      </c>
      <c r="K50" s="50">
        <f t="shared" si="26"/>
        <v>1904.16</v>
      </c>
      <c r="L50" s="49">
        <f t="shared" si="26"/>
        <v>2284.9899999999998</v>
      </c>
      <c r="M50" s="66"/>
    </row>
    <row r="51" spans="1:13" ht="28.5" customHeight="1" x14ac:dyDescent="0.25">
      <c r="A51" s="121">
        <f>A49+1</f>
        <v>26</v>
      </c>
      <c r="B51" s="120" t="s">
        <v>354</v>
      </c>
      <c r="C51" s="121" t="s">
        <v>34</v>
      </c>
      <c r="D51" s="122">
        <v>21.38</v>
      </c>
      <c r="E51" s="154">
        <v>299.76</v>
      </c>
      <c r="F51" s="124">
        <f>ROUND(E51*D51,2)</f>
        <v>6408.87</v>
      </c>
      <c r="G51" s="124">
        <f t="shared" ref="G51" si="31">ROUND(F51*1.2,2)</f>
        <v>7690.64</v>
      </c>
      <c r="H51" s="125"/>
      <c r="I51" s="124"/>
      <c r="J51" s="124"/>
      <c r="K51" s="125">
        <f t="shared" si="26"/>
        <v>6408.87</v>
      </c>
      <c r="L51" s="123">
        <f t="shared" si="26"/>
        <v>7690.64</v>
      </c>
      <c r="M51" s="66" t="s">
        <v>256</v>
      </c>
    </row>
    <row r="52" spans="1:13" ht="15.75" x14ac:dyDescent="0.25">
      <c r="A52" s="44" t="s">
        <v>90</v>
      </c>
      <c r="B52" s="73" t="s">
        <v>355</v>
      </c>
      <c r="C52" s="46" t="s">
        <v>126</v>
      </c>
      <c r="D52" s="47">
        <f>D51*2.5*2</f>
        <v>106.89999999999999</v>
      </c>
      <c r="E52" s="48"/>
      <c r="F52" s="49"/>
      <c r="G52" s="49"/>
      <c r="H52" s="95">
        <v>296.39999999999998</v>
      </c>
      <c r="I52" s="49">
        <f t="shared" ref="I52" si="32">ROUND(H52*D52,2)</f>
        <v>31685.16</v>
      </c>
      <c r="J52" s="49">
        <f t="shared" ref="J52" si="33">ROUND(I52*1.2,2)</f>
        <v>38022.19</v>
      </c>
      <c r="K52" s="65">
        <f t="shared" si="26"/>
        <v>31685.16</v>
      </c>
      <c r="L52" s="63">
        <f t="shared" si="26"/>
        <v>38022.19</v>
      </c>
      <c r="M52" s="66"/>
    </row>
    <row r="53" spans="1:13" ht="22.5" customHeight="1" x14ac:dyDescent="0.25">
      <c r="A53" s="38"/>
      <c r="B53" s="94" t="s">
        <v>184</v>
      </c>
      <c r="C53" s="38"/>
      <c r="D53" s="52"/>
      <c r="E53" s="34"/>
      <c r="F53" s="35"/>
      <c r="G53" s="35"/>
      <c r="H53" s="62"/>
      <c r="I53" s="35"/>
      <c r="J53" s="35"/>
      <c r="K53" s="59"/>
      <c r="L53" s="41"/>
      <c r="M53" s="36"/>
    </row>
    <row r="54" spans="1:13" ht="45" x14ac:dyDescent="0.25">
      <c r="A54" s="121">
        <f>A51+1</f>
        <v>27</v>
      </c>
      <c r="B54" s="138" t="s">
        <v>185</v>
      </c>
      <c r="C54" s="121" t="s">
        <v>63</v>
      </c>
      <c r="D54" s="182">
        <v>1</v>
      </c>
      <c r="E54" s="154">
        <v>14312.75</v>
      </c>
      <c r="F54" s="124">
        <f t="shared" ref="F54:F81" si="34">ROUND(E54*D54,2)</f>
        <v>14312.75</v>
      </c>
      <c r="G54" s="124">
        <f t="shared" ref="G54:G81" si="35">ROUND(F54*1.2,2)</f>
        <v>17175.3</v>
      </c>
      <c r="H54" s="145"/>
      <c r="I54" s="124"/>
      <c r="J54" s="124"/>
      <c r="K54" s="125">
        <f t="shared" ref="K54:L82" si="36">F54+I54</f>
        <v>14312.75</v>
      </c>
      <c r="L54" s="123">
        <f t="shared" si="36"/>
        <v>17175.3</v>
      </c>
    </row>
    <row r="55" spans="1:13" ht="45" x14ac:dyDescent="0.25">
      <c r="A55" s="44" t="s">
        <v>93</v>
      </c>
      <c r="B55" s="73" t="s">
        <v>186</v>
      </c>
      <c r="C55" s="46" t="s">
        <v>63</v>
      </c>
      <c r="D55" s="82">
        <v>1</v>
      </c>
      <c r="E55" s="48"/>
      <c r="F55" s="49"/>
      <c r="G55" s="49"/>
      <c r="H55" s="97">
        <v>109202.5</v>
      </c>
      <c r="I55" s="49">
        <f t="shared" ref="I55:I58" si="37">ROUND(H55*D55,2)</f>
        <v>109202.5</v>
      </c>
      <c r="J55" s="49">
        <f t="shared" ref="J55:J58" si="38">ROUND(I55*1.2,2)</f>
        <v>131043</v>
      </c>
      <c r="K55" s="50">
        <f t="shared" si="36"/>
        <v>109202.5</v>
      </c>
      <c r="L55" s="49">
        <f t="shared" si="36"/>
        <v>131043</v>
      </c>
    </row>
    <row r="56" spans="1:13" ht="18.75" customHeight="1" x14ac:dyDescent="0.25">
      <c r="A56" s="44" t="s">
        <v>551</v>
      </c>
      <c r="B56" s="45" t="s">
        <v>191</v>
      </c>
      <c r="C56" s="90" t="s">
        <v>126</v>
      </c>
      <c r="D56" s="47">
        <f>ROUND(32*0.243,2)</f>
        <v>7.78</v>
      </c>
      <c r="E56" s="48"/>
      <c r="F56" s="49"/>
      <c r="G56" s="49"/>
      <c r="H56" s="49">
        <v>120.65</v>
      </c>
      <c r="I56" s="49">
        <f t="shared" si="37"/>
        <v>938.66</v>
      </c>
      <c r="J56" s="49">
        <f t="shared" si="38"/>
        <v>1126.3900000000001</v>
      </c>
      <c r="K56" s="50">
        <f t="shared" ref="K56:K58" si="39">F56+I56</f>
        <v>938.66</v>
      </c>
      <c r="L56" s="49">
        <f t="shared" ref="L56:L58" si="40">G56+J56</f>
        <v>1126.3900000000001</v>
      </c>
    </row>
    <row r="57" spans="1:13" ht="18.75" customHeight="1" x14ac:dyDescent="0.25">
      <c r="A57" s="44" t="s">
        <v>552</v>
      </c>
      <c r="B57" s="45" t="s">
        <v>192</v>
      </c>
      <c r="C57" s="90" t="s">
        <v>126</v>
      </c>
      <c r="D57" s="47">
        <f>ROUND(32*0.071,2)</f>
        <v>2.27</v>
      </c>
      <c r="E57" s="48"/>
      <c r="F57" s="49"/>
      <c r="G57" s="49"/>
      <c r="H57" s="49">
        <v>139.65</v>
      </c>
      <c r="I57" s="49">
        <f t="shared" si="37"/>
        <v>317.01</v>
      </c>
      <c r="J57" s="49">
        <f t="shared" si="38"/>
        <v>380.41</v>
      </c>
      <c r="K57" s="50">
        <f t="shared" si="39"/>
        <v>317.01</v>
      </c>
      <c r="L57" s="49">
        <f t="shared" si="40"/>
        <v>380.41</v>
      </c>
    </row>
    <row r="58" spans="1:13" ht="18.75" customHeight="1" x14ac:dyDescent="0.25">
      <c r="A58" s="44" t="s">
        <v>553</v>
      </c>
      <c r="B58" s="45" t="s">
        <v>193</v>
      </c>
      <c r="C58" s="90" t="s">
        <v>126</v>
      </c>
      <c r="D58" s="47">
        <f>ROUND(64*0.0172,2)</f>
        <v>1.1000000000000001</v>
      </c>
      <c r="E58" s="48"/>
      <c r="F58" s="49"/>
      <c r="G58" s="49"/>
      <c r="H58" s="49">
        <v>188.1</v>
      </c>
      <c r="I58" s="49">
        <f t="shared" si="37"/>
        <v>206.91</v>
      </c>
      <c r="J58" s="49">
        <f t="shared" si="38"/>
        <v>248.29</v>
      </c>
      <c r="K58" s="50">
        <f t="shared" si="39"/>
        <v>206.91</v>
      </c>
      <c r="L58" s="49">
        <f t="shared" si="40"/>
        <v>248.29</v>
      </c>
    </row>
    <row r="59" spans="1:13" ht="21.75" customHeight="1" x14ac:dyDescent="0.25">
      <c r="A59" s="119">
        <f>A54+1</f>
        <v>28</v>
      </c>
      <c r="B59" s="138" t="s">
        <v>187</v>
      </c>
      <c r="C59" s="121" t="s">
        <v>63</v>
      </c>
      <c r="D59" s="182">
        <v>1</v>
      </c>
      <c r="E59" s="154">
        <v>6039.48</v>
      </c>
      <c r="F59" s="124">
        <f t="shared" si="34"/>
        <v>6039.48</v>
      </c>
      <c r="G59" s="124">
        <f t="shared" si="35"/>
        <v>7247.38</v>
      </c>
      <c r="H59" s="145"/>
      <c r="I59" s="124"/>
      <c r="J59" s="124"/>
      <c r="K59" s="125">
        <f t="shared" si="36"/>
        <v>6039.48</v>
      </c>
      <c r="L59" s="123">
        <f t="shared" si="36"/>
        <v>7247.38</v>
      </c>
    </row>
    <row r="60" spans="1:13" ht="21.75" customHeight="1" x14ac:dyDescent="0.25">
      <c r="A60" s="44" t="s">
        <v>97</v>
      </c>
      <c r="B60" s="73" t="s">
        <v>188</v>
      </c>
      <c r="C60" s="46" t="s">
        <v>63</v>
      </c>
      <c r="D60" s="82">
        <v>1</v>
      </c>
      <c r="E60" s="48"/>
      <c r="F60" s="49"/>
      <c r="G60" s="49"/>
      <c r="H60" s="95">
        <v>2886.1</v>
      </c>
      <c r="I60" s="49">
        <f t="shared" ref="I60" si="41">ROUND(H60*D60,2)</f>
        <v>2886.1</v>
      </c>
      <c r="J60" s="49">
        <f t="shared" ref="J60" si="42">ROUND(I60*1.2,2)</f>
        <v>3463.32</v>
      </c>
      <c r="K60" s="50">
        <f t="shared" si="36"/>
        <v>2886.1</v>
      </c>
      <c r="L60" s="49">
        <f t="shared" si="36"/>
        <v>3463.32</v>
      </c>
    </row>
    <row r="61" spans="1:13" ht="19.5" customHeight="1" x14ac:dyDescent="0.25">
      <c r="A61" s="44" t="s">
        <v>554</v>
      </c>
      <c r="B61" s="73" t="s">
        <v>370</v>
      </c>
      <c r="C61" s="46" t="s">
        <v>63</v>
      </c>
      <c r="D61" s="74">
        <v>3</v>
      </c>
      <c r="E61" s="65"/>
      <c r="F61" s="49"/>
      <c r="G61" s="49"/>
      <c r="H61" s="65">
        <v>136</v>
      </c>
      <c r="I61" s="49">
        <f>ROUND(H61*D61,2)</f>
        <v>408</v>
      </c>
      <c r="J61" s="49">
        <f>ROUND(I61*1.2,2)</f>
        <v>489.6</v>
      </c>
      <c r="K61" s="50">
        <f t="shared" si="36"/>
        <v>408</v>
      </c>
      <c r="L61" s="49">
        <f t="shared" si="36"/>
        <v>489.6</v>
      </c>
      <c r="M61" s="66"/>
    </row>
    <row r="62" spans="1:13" ht="30" x14ac:dyDescent="0.25">
      <c r="A62" s="119">
        <f>A59+1</f>
        <v>29</v>
      </c>
      <c r="B62" s="138" t="s">
        <v>189</v>
      </c>
      <c r="C62" s="121" t="s">
        <v>63</v>
      </c>
      <c r="D62" s="182">
        <v>1</v>
      </c>
      <c r="E62" s="154">
        <v>6891.24</v>
      </c>
      <c r="F62" s="124">
        <f t="shared" si="34"/>
        <v>6891.24</v>
      </c>
      <c r="G62" s="124">
        <f t="shared" si="35"/>
        <v>8269.49</v>
      </c>
      <c r="H62" s="145"/>
      <c r="I62" s="124"/>
      <c r="J62" s="124"/>
      <c r="K62" s="125">
        <f t="shared" si="36"/>
        <v>6891.24</v>
      </c>
      <c r="L62" s="123">
        <f t="shared" si="36"/>
        <v>8269.49</v>
      </c>
    </row>
    <row r="63" spans="1:13" ht="18.75" customHeight="1" x14ac:dyDescent="0.25">
      <c r="A63" s="44" t="s">
        <v>100</v>
      </c>
      <c r="B63" s="45" t="s">
        <v>190</v>
      </c>
      <c r="C63" s="46" t="s">
        <v>63</v>
      </c>
      <c r="D63" s="82">
        <v>1</v>
      </c>
      <c r="E63" s="48"/>
      <c r="F63" s="49"/>
      <c r="G63" s="49"/>
      <c r="H63" s="95">
        <v>5092</v>
      </c>
      <c r="I63" s="49">
        <f t="shared" ref="I63" si="43">ROUND(H63*D63,2)</f>
        <v>5092</v>
      </c>
      <c r="J63" s="49">
        <f t="shared" ref="J63:J70" si="44">ROUND(I63*1.2,2)</f>
        <v>6110.4</v>
      </c>
      <c r="K63" s="50">
        <f t="shared" si="36"/>
        <v>5092</v>
      </c>
      <c r="L63" s="49">
        <f t="shared" si="36"/>
        <v>6110.4</v>
      </c>
    </row>
    <row r="64" spans="1:13" ht="30" x14ac:dyDescent="0.25">
      <c r="A64" s="119">
        <f>A62+1</f>
        <v>30</v>
      </c>
      <c r="B64" s="138" t="s">
        <v>194</v>
      </c>
      <c r="C64" s="121" t="s">
        <v>63</v>
      </c>
      <c r="D64" s="182">
        <v>1</v>
      </c>
      <c r="E64" s="154">
        <v>2337</v>
      </c>
      <c r="F64" s="124">
        <f t="shared" si="34"/>
        <v>2337</v>
      </c>
      <c r="G64" s="124">
        <f t="shared" si="35"/>
        <v>2804.4</v>
      </c>
      <c r="H64" s="145"/>
      <c r="I64" s="124"/>
      <c r="J64" s="124"/>
      <c r="K64" s="125">
        <f t="shared" si="36"/>
        <v>2337</v>
      </c>
      <c r="L64" s="123">
        <f t="shared" si="36"/>
        <v>2804.4</v>
      </c>
      <c r="M64" s="21" t="s">
        <v>589</v>
      </c>
    </row>
    <row r="65" spans="1:13" ht="30" x14ac:dyDescent="0.25">
      <c r="A65" s="44" t="s">
        <v>103</v>
      </c>
      <c r="B65" s="73" t="s">
        <v>195</v>
      </c>
      <c r="C65" s="46" t="s">
        <v>63</v>
      </c>
      <c r="D65" s="82">
        <v>1</v>
      </c>
      <c r="E65" s="48"/>
      <c r="F65" s="49"/>
      <c r="G65" s="49"/>
      <c r="H65" s="48">
        <v>14060.95</v>
      </c>
      <c r="I65" s="49">
        <f t="shared" ref="I65:I68" si="45">ROUND(H65*D65,2)</f>
        <v>14060.95</v>
      </c>
      <c r="J65" s="49">
        <f t="shared" si="44"/>
        <v>16873.14</v>
      </c>
      <c r="K65" s="50">
        <f t="shared" si="36"/>
        <v>14060.95</v>
      </c>
      <c r="L65" s="49">
        <f t="shared" si="36"/>
        <v>16873.14</v>
      </c>
      <c r="M65" s="21" t="s">
        <v>589</v>
      </c>
    </row>
    <row r="66" spans="1:13" ht="18.75" customHeight="1" x14ac:dyDescent="0.25">
      <c r="A66" s="44" t="s">
        <v>555</v>
      </c>
      <c r="B66" s="45" t="s">
        <v>201</v>
      </c>
      <c r="C66" s="90" t="s">
        <v>126</v>
      </c>
      <c r="D66" s="47">
        <f>ROUND(16*0.137,2)</f>
        <v>2.19</v>
      </c>
      <c r="E66" s="48"/>
      <c r="F66" s="49"/>
      <c r="G66" s="49"/>
      <c r="H66" s="49">
        <v>120.65</v>
      </c>
      <c r="I66" s="49">
        <f t="shared" si="45"/>
        <v>264.22000000000003</v>
      </c>
      <c r="J66" s="49">
        <f t="shared" si="44"/>
        <v>317.06</v>
      </c>
      <c r="K66" s="50">
        <f t="shared" ref="K66:K68" si="46">F66+I66</f>
        <v>264.22000000000003</v>
      </c>
      <c r="L66" s="49">
        <f t="shared" ref="L66:L68" si="47">G66+J66</f>
        <v>317.06</v>
      </c>
    </row>
    <row r="67" spans="1:13" ht="18.75" customHeight="1" x14ac:dyDescent="0.25">
      <c r="A67" s="44" t="s">
        <v>556</v>
      </c>
      <c r="B67" s="45" t="s">
        <v>202</v>
      </c>
      <c r="C67" s="90" t="s">
        <v>126</v>
      </c>
      <c r="D67" s="47">
        <f>ROUND(16*0.032,2)</f>
        <v>0.51</v>
      </c>
      <c r="E67" s="48"/>
      <c r="F67" s="49"/>
      <c r="G67" s="49"/>
      <c r="H67" s="49">
        <v>139.65</v>
      </c>
      <c r="I67" s="49">
        <f t="shared" si="45"/>
        <v>71.22</v>
      </c>
      <c r="J67" s="49">
        <f t="shared" si="44"/>
        <v>85.46</v>
      </c>
      <c r="K67" s="50">
        <f t="shared" si="46"/>
        <v>71.22</v>
      </c>
      <c r="L67" s="49">
        <f t="shared" si="47"/>
        <v>85.46</v>
      </c>
    </row>
    <row r="68" spans="1:13" ht="18.75" customHeight="1" x14ac:dyDescent="0.25">
      <c r="A68" s="44" t="s">
        <v>557</v>
      </c>
      <c r="B68" s="45" t="s">
        <v>203</v>
      </c>
      <c r="C68" s="90" t="s">
        <v>126</v>
      </c>
      <c r="D68" s="47">
        <f>ROUND(32*0.013,2)</f>
        <v>0.42</v>
      </c>
      <c r="E68" s="48"/>
      <c r="F68" s="49"/>
      <c r="G68" s="49"/>
      <c r="H68" s="49">
        <v>188.1</v>
      </c>
      <c r="I68" s="49">
        <f t="shared" si="45"/>
        <v>79</v>
      </c>
      <c r="J68" s="49">
        <f t="shared" si="44"/>
        <v>94.8</v>
      </c>
      <c r="K68" s="50">
        <f t="shared" si="46"/>
        <v>79</v>
      </c>
      <c r="L68" s="49">
        <f t="shared" si="47"/>
        <v>94.8</v>
      </c>
    </row>
    <row r="69" spans="1:13" ht="30" x14ac:dyDescent="0.25">
      <c r="A69" s="119">
        <f>A64+1</f>
        <v>31</v>
      </c>
      <c r="B69" s="138" t="s">
        <v>196</v>
      </c>
      <c r="C69" s="121" t="s">
        <v>63</v>
      </c>
      <c r="D69" s="182">
        <v>1</v>
      </c>
      <c r="E69" s="154">
        <v>6891.24</v>
      </c>
      <c r="F69" s="124">
        <f t="shared" si="34"/>
        <v>6891.24</v>
      </c>
      <c r="G69" s="124">
        <f t="shared" si="35"/>
        <v>8269.49</v>
      </c>
      <c r="H69" s="145"/>
      <c r="I69" s="124"/>
      <c r="J69" s="124"/>
      <c r="K69" s="125">
        <f t="shared" si="36"/>
        <v>6891.24</v>
      </c>
      <c r="L69" s="123">
        <f t="shared" si="36"/>
        <v>8269.49</v>
      </c>
    </row>
    <row r="70" spans="1:13" ht="30" x14ac:dyDescent="0.25">
      <c r="A70" s="44" t="s">
        <v>106</v>
      </c>
      <c r="B70" s="73" t="s">
        <v>197</v>
      </c>
      <c r="C70" s="46" t="s">
        <v>63</v>
      </c>
      <c r="D70" s="82">
        <v>1</v>
      </c>
      <c r="E70" s="48"/>
      <c r="F70" s="49"/>
      <c r="G70" s="49"/>
      <c r="H70" s="220">
        <f>ROUND(11010.8*1.15,2)</f>
        <v>12662.42</v>
      </c>
      <c r="I70" s="63">
        <f t="shared" ref="I70" si="48">ROUND(H70*D70,2)</f>
        <v>12662.42</v>
      </c>
      <c r="J70" s="63">
        <f t="shared" si="44"/>
        <v>15194.9</v>
      </c>
      <c r="K70" s="65">
        <f t="shared" si="36"/>
        <v>12662.42</v>
      </c>
      <c r="L70" s="63">
        <f t="shared" si="36"/>
        <v>15194.9</v>
      </c>
      <c r="M70" s="66" t="s">
        <v>155</v>
      </c>
    </row>
    <row r="71" spans="1:13" ht="30" x14ac:dyDescent="0.25">
      <c r="A71" s="119">
        <f>A69+1</f>
        <v>32</v>
      </c>
      <c r="B71" s="138" t="s">
        <v>198</v>
      </c>
      <c r="C71" s="121" t="s">
        <v>63</v>
      </c>
      <c r="D71" s="182">
        <v>1</v>
      </c>
      <c r="E71" s="154">
        <v>1389.85</v>
      </c>
      <c r="F71" s="124">
        <f t="shared" si="34"/>
        <v>1389.85</v>
      </c>
      <c r="G71" s="124">
        <f t="shared" si="35"/>
        <v>1667.82</v>
      </c>
      <c r="H71" s="145"/>
      <c r="I71" s="124"/>
      <c r="J71" s="124"/>
      <c r="K71" s="125">
        <f t="shared" si="36"/>
        <v>1389.85</v>
      </c>
      <c r="L71" s="123">
        <f t="shared" si="36"/>
        <v>1667.82</v>
      </c>
    </row>
    <row r="72" spans="1:13" s="61" customFormat="1" ht="18" customHeight="1" x14ac:dyDescent="0.25">
      <c r="A72" s="44" t="s">
        <v>109</v>
      </c>
      <c r="B72" s="45" t="s">
        <v>141</v>
      </c>
      <c r="C72" s="46" t="s">
        <v>63</v>
      </c>
      <c r="D72" s="82">
        <v>1</v>
      </c>
      <c r="E72" s="49"/>
      <c r="F72" s="49"/>
      <c r="G72" s="49"/>
      <c r="H72" s="49">
        <v>585.20000000000005</v>
      </c>
      <c r="I72" s="49">
        <f>ROUND(H72*D72,2)</f>
        <v>585.20000000000005</v>
      </c>
      <c r="J72" s="49">
        <f>ROUND(I72*1.2,2)</f>
        <v>702.24</v>
      </c>
      <c r="K72" s="50">
        <f t="shared" si="36"/>
        <v>585.20000000000005</v>
      </c>
      <c r="L72" s="49">
        <f t="shared" si="36"/>
        <v>702.24</v>
      </c>
      <c r="M72" s="60"/>
    </row>
    <row r="73" spans="1:13" ht="19.5" customHeight="1" x14ac:dyDescent="0.25">
      <c r="A73" s="119">
        <f>A71+1</f>
        <v>33</v>
      </c>
      <c r="B73" s="138" t="s">
        <v>199</v>
      </c>
      <c r="C73" s="121" t="s">
        <v>63</v>
      </c>
      <c r="D73" s="182">
        <v>1</v>
      </c>
      <c r="E73" s="154">
        <v>3601.88</v>
      </c>
      <c r="F73" s="124">
        <f t="shared" si="34"/>
        <v>3601.88</v>
      </c>
      <c r="G73" s="124">
        <f t="shared" si="35"/>
        <v>4322.26</v>
      </c>
      <c r="H73" s="145"/>
      <c r="I73" s="124"/>
      <c r="J73" s="124"/>
      <c r="K73" s="125">
        <f t="shared" si="36"/>
        <v>3601.88</v>
      </c>
      <c r="L73" s="123">
        <f t="shared" si="36"/>
        <v>4322.26</v>
      </c>
    </row>
    <row r="74" spans="1:13" ht="18.75" customHeight="1" x14ac:dyDescent="0.25">
      <c r="A74" s="44" t="s">
        <v>112</v>
      </c>
      <c r="B74" s="73" t="s">
        <v>200</v>
      </c>
      <c r="C74" s="46" t="s">
        <v>63</v>
      </c>
      <c r="D74" s="82">
        <v>1</v>
      </c>
      <c r="E74" s="48"/>
      <c r="F74" s="49"/>
      <c r="G74" s="49"/>
      <c r="H74" s="95">
        <v>6897</v>
      </c>
      <c r="I74" s="49">
        <f>ROUND(H74*D74,2)</f>
        <v>6897</v>
      </c>
      <c r="J74" s="49">
        <f>ROUND(I74*1.2,2)</f>
        <v>8276.4</v>
      </c>
      <c r="K74" s="50">
        <f t="shared" si="36"/>
        <v>6897</v>
      </c>
      <c r="L74" s="49">
        <f t="shared" si="36"/>
        <v>8276.4</v>
      </c>
    </row>
    <row r="75" spans="1:13" ht="19.5" customHeight="1" x14ac:dyDescent="0.25">
      <c r="A75" s="44" t="s">
        <v>261</v>
      </c>
      <c r="B75" s="73" t="s">
        <v>428</v>
      </c>
      <c r="C75" s="46" t="s">
        <v>63</v>
      </c>
      <c r="D75" s="74">
        <v>2</v>
      </c>
      <c r="E75" s="65"/>
      <c r="F75" s="49"/>
      <c r="G75" s="49"/>
      <c r="H75" s="65">
        <v>26.6</v>
      </c>
      <c r="I75" s="49">
        <f>ROUND(H75*D75,2)</f>
        <v>53.2</v>
      </c>
      <c r="J75" s="49">
        <f>ROUND(I75*1.2,2)</f>
        <v>63.84</v>
      </c>
      <c r="K75" s="50">
        <f t="shared" si="36"/>
        <v>53.2</v>
      </c>
      <c r="L75" s="49">
        <f t="shared" si="36"/>
        <v>63.84</v>
      </c>
      <c r="M75" s="66"/>
    </row>
    <row r="76" spans="1:13" ht="45" x14ac:dyDescent="0.25">
      <c r="A76" s="127">
        <f>A73+1</f>
        <v>34</v>
      </c>
      <c r="B76" s="143" t="s">
        <v>204</v>
      </c>
      <c r="C76" s="129" t="s">
        <v>63</v>
      </c>
      <c r="D76" s="166">
        <v>1</v>
      </c>
      <c r="E76" s="151">
        <f>ROUND(14174.05*1.33,2)</f>
        <v>18851.490000000002</v>
      </c>
      <c r="F76" s="132">
        <f t="shared" si="34"/>
        <v>18851.490000000002</v>
      </c>
      <c r="G76" s="132">
        <f t="shared" si="35"/>
        <v>22621.79</v>
      </c>
      <c r="H76" s="155"/>
      <c r="I76" s="132"/>
      <c r="J76" s="132"/>
      <c r="K76" s="133">
        <f t="shared" si="36"/>
        <v>18851.490000000002</v>
      </c>
      <c r="L76" s="131">
        <f t="shared" si="36"/>
        <v>22621.79</v>
      </c>
      <c r="M76" s="66" t="s">
        <v>71</v>
      </c>
    </row>
    <row r="77" spans="1:13" ht="30" x14ac:dyDescent="0.25">
      <c r="A77" s="44" t="s">
        <v>116</v>
      </c>
      <c r="B77" s="73" t="s">
        <v>205</v>
      </c>
      <c r="C77" s="46" t="s">
        <v>63</v>
      </c>
      <c r="D77" s="82">
        <v>1</v>
      </c>
      <c r="E77" s="48"/>
      <c r="F77" s="49"/>
      <c r="G77" s="49"/>
      <c r="H77" s="220">
        <f>ROUND(39583*1.15,2)</f>
        <v>45520.45</v>
      </c>
      <c r="I77" s="63">
        <f>ROUND(H77*D77,2)</f>
        <v>45520.45</v>
      </c>
      <c r="J77" s="63">
        <f>ROUND(I77*1.2,2)</f>
        <v>54624.54</v>
      </c>
      <c r="K77" s="65">
        <f t="shared" si="36"/>
        <v>45520.45</v>
      </c>
      <c r="L77" s="63">
        <f t="shared" si="36"/>
        <v>54624.54</v>
      </c>
      <c r="M77" s="66" t="s">
        <v>155</v>
      </c>
    </row>
    <row r="78" spans="1:13" ht="30" x14ac:dyDescent="0.25">
      <c r="A78" s="127">
        <f>A76+1</f>
        <v>35</v>
      </c>
      <c r="B78" s="143" t="s">
        <v>206</v>
      </c>
      <c r="C78" s="129" t="s">
        <v>63</v>
      </c>
      <c r="D78" s="166">
        <v>1</v>
      </c>
      <c r="E78" s="151">
        <v>7080.73</v>
      </c>
      <c r="F78" s="132">
        <f t="shared" si="34"/>
        <v>7080.73</v>
      </c>
      <c r="G78" s="132">
        <f t="shared" si="35"/>
        <v>8496.8799999999992</v>
      </c>
      <c r="H78" s="155"/>
      <c r="I78" s="132"/>
      <c r="J78" s="132"/>
      <c r="K78" s="133">
        <f t="shared" si="36"/>
        <v>7080.73</v>
      </c>
      <c r="L78" s="131">
        <f t="shared" si="36"/>
        <v>8496.8799999999992</v>
      </c>
      <c r="M78" s="66" t="s">
        <v>207</v>
      </c>
    </row>
    <row r="79" spans="1:13" ht="23.25" customHeight="1" x14ac:dyDescent="0.25">
      <c r="A79" s="129">
        <f>A78+1</f>
        <v>36</v>
      </c>
      <c r="B79" s="143" t="s">
        <v>208</v>
      </c>
      <c r="C79" s="129" t="s">
        <v>22</v>
      </c>
      <c r="D79" s="166">
        <v>2</v>
      </c>
      <c r="E79" s="151">
        <v>2321.87</v>
      </c>
      <c r="F79" s="132">
        <f t="shared" si="34"/>
        <v>4643.74</v>
      </c>
      <c r="G79" s="132">
        <f t="shared" si="35"/>
        <v>5572.49</v>
      </c>
      <c r="H79" s="155"/>
      <c r="I79" s="132"/>
      <c r="J79" s="132"/>
      <c r="K79" s="133">
        <f t="shared" si="36"/>
        <v>4643.74</v>
      </c>
      <c r="L79" s="131">
        <f t="shared" si="36"/>
        <v>5572.49</v>
      </c>
      <c r="M79" s="21" t="s">
        <v>71</v>
      </c>
    </row>
    <row r="80" spans="1:13" ht="18.75" customHeight="1" x14ac:dyDescent="0.25">
      <c r="A80" s="44" t="s">
        <v>211</v>
      </c>
      <c r="B80" s="45" t="s">
        <v>55</v>
      </c>
      <c r="C80" s="46" t="s">
        <v>22</v>
      </c>
      <c r="D80" s="71">
        <f>1.02*2</f>
        <v>2.04</v>
      </c>
      <c r="E80" s="49"/>
      <c r="F80" s="49"/>
      <c r="G80" s="49"/>
      <c r="H80" s="63">
        <v>376.2</v>
      </c>
      <c r="I80" s="49">
        <f>ROUND(H80*D80,2)</f>
        <v>767.45</v>
      </c>
      <c r="J80" s="49">
        <f>ROUND(I80*1.2,2)</f>
        <v>920.94</v>
      </c>
      <c r="K80" s="50">
        <f t="shared" si="36"/>
        <v>767.45</v>
      </c>
      <c r="L80" s="49">
        <f t="shared" si="36"/>
        <v>920.94</v>
      </c>
      <c r="M80" s="64"/>
    </row>
    <row r="81" spans="1:13" ht="18.75" customHeight="1" x14ac:dyDescent="0.25">
      <c r="A81" s="119">
        <f>A79+1</f>
        <v>37</v>
      </c>
      <c r="B81" s="138" t="s">
        <v>209</v>
      </c>
      <c r="C81" s="121" t="s">
        <v>63</v>
      </c>
      <c r="D81" s="182">
        <v>2</v>
      </c>
      <c r="E81" s="154">
        <v>4704.3999999999996</v>
      </c>
      <c r="F81" s="124">
        <f t="shared" si="34"/>
        <v>9408.7999999999993</v>
      </c>
      <c r="G81" s="124">
        <f t="shared" si="35"/>
        <v>11290.56</v>
      </c>
      <c r="H81" s="145"/>
      <c r="I81" s="124"/>
      <c r="J81" s="124"/>
      <c r="K81" s="125">
        <f t="shared" si="36"/>
        <v>9408.7999999999993</v>
      </c>
      <c r="L81" s="123">
        <f t="shared" si="36"/>
        <v>11290.56</v>
      </c>
      <c r="M81" s="21" t="s">
        <v>589</v>
      </c>
    </row>
    <row r="82" spans="1:13" ht="18.75" customHeight="1" x14ac:dyDescent="0.25">
      <c r="A82" s="44" t="s">
        <v>121</v>
      </c>
      <c r="B82" s="73" t="s">
        <v>98</v>
      </c>
      <c r="C82" s="46" t="s">
        <v>63</v>
      </c>
      <c r="D82" s="74">
        <v>2</v>
      </c>
      <c r="E82" s="48"/>
      <c r="F82" s="49"/>
      <c r="G82" s="49"/>
      <c r="H82" s="49">
        <v>1254</v>
      </c>
      <c r="I82" s="49">
        <f>ROUND(H82*D82,2)</f>
        <v>2508</v>
      </c>
      <c r="J82" s="49">
        <f>ROUND(I82*1.2,2)</f>
        <v>3009.6</v>
      </c>
      <c r="K82" s="50">
        <f t="shared" si="36"/>
        <v>2508</v>
      </c>
      <c r="L82" s="49">
        <f t="shared" si="36"/>
        <v>3009.6</v>
      </c>
      <c r="M82" s="21" t="s">
        <v>589</v>
      </c>
    </row>
    <row r="83" spans="1:13" ht="20.25" customHeight="1" x14ac:dyDescent="0.25">
      <c r="A83" s="38"/>
      <c r="B83" s="94" t="s">
        <v>210</v>
      </c>
      <c r="C83" s="38"/>
      <c r="D83" s="52"/>
      <c r="E83" s="34"/>
      <c r="F83" s="35"/>
      <c r="G83" s="35"/>
      <c r="H83" s="62"/>
      <c r="I83" s="35"/>
      <c r="J83" s="35"/>
      <c r="K83" s="59"/>
      <c r="L83" s="41"/>
      <c r="M83" s="36"/>
    </row>
    <row r="84" spans="1:13" ht="36.75" customHeight="1" x14ac:dyDescent="0.25">
      <c r="A84" s="119">
        <f>A81+1</f>
        <v>38</v>
      </c>
      <c r="B84" s="120" t="s">
        <v>173</v>
      </c>
      <c r="C84" s="121" t="s">
        <v>24</v>
      </c>
      <c r="D84" s="135">
        <f>1*0.18+3*0.24+1*0.1+2*0.02</f>
        <v>1.0399999999999998</v>
      </c>
      <c r="E84" s="154">
        <v>17265.68</v>
      </c>
      <c r="F84" s="124">
        <f t="shared" ref="F84" si="49">ROUND(E84*D84,2)</f>
        <v>17956.310000000001</v>
      </c>
      <c r="G84" s="124">
        <f t="shared" ref="G84" si="50">ROUND(F84*1.2,2)</f>
        <v>21547.57</v>
      </c>
      <c r="H84" s="145"/>
      <c r="I84" s="124"/>
      <c r="J84" s="124"/>
      <c r="K84" s="125">
        <f t="shared" ref="K84:L93" si="51">F84+I84</f>
        <v>17956.310000000001</v>
      </c>
      <c r="L84" s="123">
        <f t="shared" si="51"/>
        <v>21547.57</v>
      </c>
    </row>
    <row r="85" spans="1:13" ht="18.75" customHeight="1" x14ac:dyDescent="0.25">
      <c r="A85" s="44" t="s">
        <v>124</v>
      </c>
      <c r="B85" s="73" t="s">
        <v>212</v>
      </c>
      <c r="C85" s="46" t="s">
        <v>63</v>
      </c>
      <c r="D85" s="67">
        <v>1</v>
      </c>
      <c r="E85" s="48"/>
      <c r="F85" s="49"/>
      <c r="G85" s="49"/>
      <c r="H85" s="95">
        <v>1657.75</v>
      </c>
      <c r="I85" s="49">
        <f t="shared" ref="I85:I89" si="52">ROUND(H85*D85,2)</f>
        <v>1657.75</v>
      </c>
      <c r="J85" s="49">
        <f t="shared" ref="J85:J89" si="53">ROUND(I85*1.2,2)</f>
        <v>1989.3</v>
      </c>
      <c r="K85" s="50">
        <f t="shared" si="51"/>
        <v>1657.75</v>
      </c>
      <c r="L85" s="49">
        <f t="shared" si="51"/>
        <v>1989.3</v>
      </c>
      <c r="M85" s="21" t="s">
        <v>590</v>
      </c>
    </row>
    <row r="86" spans="1:13" ht="18.75" customHeight="1" x14ac:dyDescent="0.25">
      <c r="A86" s="44" t="s">
        <v>218</v>
      </c>
      <c r="B86" s="73" t="s">
        <v>213</v>
      </c>
      <c r="C86" s="46" t="s">
        <v>63</v>
      </c>
      <c r="D86" s="67">
        <v>3</v>
      </c>
      <c r="E86" s="48"/>
      <c r="F86" s="49"/>
      <c r="G86" s="49"/>
      <c r="H86" s="95">
        <v>2500.4</v>
      </c>
      <c r="I86" s="49">
        <f t="shared" si="52"/>
        <v>7501.2</v>
      </c>
      <c r="J86" s="49">
        <f t="shared" si="53"/>
        <v>9001.44</v>
      </c>
      <c r="K86" s="50">
        <f t="shared" si="51"/>
        <v>7501.2</v>
      </c>
      <c r="L86" s="49">
        <f t="shared" si="51"/>
        <v>9001.44</v>
      </c>
      <c r="M86" s="21" t="s">
        <v>590</v>
      </c>
    </row>
    <row r="87" spans="1:13" ht="18.75" customHeight="1" x14ac:dyDescent="0.25">
      <c r="A87" s="44" t="s">
        <v>219</v>
      </c>
      <c r="B87" s="73" t="s">
        <v>214</v>
      </c>
      <c r="C87" s="46" t="s">
        <v>63</v>
      </c>
      <c r="D87" s="67">
        <v>1</v>
      </c>
      <c r="E87" s="48"/>
      <c r="F87" s="49"/>
      <c r="G87" s="49"/>
      <c r="H87" s="95">
        <v>1427.85</v>
      </c>
      <c r="I87" s="49">
        <f t="shared" si="52"/>
        <v>1427.85</v>
      </c>
      <c r="J87" s="49">
        <f t="shared" si="53"/>
        <v>1713.42</v>
      </c>
      <c r="K87" s="50">
        <f t="shared" si="51"/>
        <v>1427.85</v>
      </c>
      <c r="L87" s="49">
        <f t="shared" si="51"/>
        <v>1713.42</v>
      </c>
      <c r="M87" s="21" t="s">
        <v>590</v>
      </c>
    </row>
    <row r="88" spans="1:13" ht="18.75" customHeight="1" x14ac:dyDescent="0.25">
      <c r="A88" s="44" t="s">
        <v>221</v>
      </c>
      <c r="B88" s="73" t="s">
        <v>180</v>
      </c>
      <c r="C88" s="46" t="s">
        <v>63</v>
      </c>
      <c r="D88" s="67">
        <v>2</v>
      </c>
      <c r="E88" s="48"/>
      <c r="F88" s="49"/>
      <c r="G88" s="49"/>
      <c r="H88" s="219">
        <f>ROUND(1150/1.2*1.15,2)</f>
        <v>1102.08</v>
      </c>
      <c r="I88" s="49">
        <f t="shared" si="52"/>
        <v>2204.16</v>
      </c>
      <c r="J88" s="49">
        <f t="shared" si="53"/>
        <v>2644.99</v>
      </c>
      <c r="K88" s="50">
        <f t="shared" si="51"/>
        <v>2204.16</v>
      </c>
      <c r="L88" s="49">
        <f t="shared" si="51"/>
        <v>2644.99</v>
      </c>
      <c r="M88" s="66" t="s">
        <v>181</v>
      </c>
    </row>
    <row r="89" spans="1:13" ht="18.75" customHeight="1" x14ac:dyDescent="0.25">
      <c r="A89" s="44" t="s">
        <v>459</v>
      </c>
      <c r="B89" s="73" t="s">
        <v>183</v>
      </c>
      <c r="C89" s="46" t="s">
        <v>63</v>
      </c>
      <c r="D89" s="67">
        <v>1</v>
      </c>
      <c r="E89" s="48"/>
      <c r="F89" s="49"/>
      <c r="G89" s="49"/>
      <c r="H89" s="95">
        <v>14421</v>
      </c>
      <c r="I89" s="49">
        <f t="shared" si="52"/>
        <v>14421</v>
      </c>
      <c r="J89" s="49">
        <f t="shared" si="53"/>
        <v>17305.2</v>
      </c>
      <c r="K89" s="50">
        <f t="shared" si="51"/>
        <v>14421</v>
      </c>
      <c r="L89" s="49">
        <f t="shared" si="51"/>
        <v>17305.2</v>
      </c>
    </row>
    <row r="90" spans="1:13" ht="27.75" customHeight="1" x14ac:dyDescent="0.25">
      <c r="A90" s="121">
        <f>A84+1</f>
        <v>39</v>
      </c>
      <c r="B90" s="120" t="s">
        <v>352</v>
      </c>
      <c r="C90" s="121" t="s">
        <v>34</v>
      </c>
      <c r="D90" s="122">
        <v>11.5</v>
      </c>
      <c r="E90" s="154">
        <v>144.4</v>
      </c>
      <c r="F90" s="124">
        <f>ROUND(E90*D90,2)</f>
        <v>1660.6</v>
      </c>
      <c r="G90" s="124">
        <f t="shared" ref="G90" si="54">ROUND(F90*1.2,2)</f>
        <v>1992.72</v>
      </c>
      <c r="H90" s="125"/>
      <c r="I90" s="124"/>
      <c r="J90" s="124"/>
      <c r="K90" s="125">
        <f t="shared" si="51"/>
        <v>1660.6</v>
      </c>
      <c r="L90" s="123">
        <f t="shared" si="51"/>
        <v>1992.72</v>
      </c>
      <c r="M90" s="66" t="s">
        <v>256</v>
      </c>
    </row>
    <row r="91" spans="1:13" ht="17.25" customHeight="1" x14ac:dyDescent="0.25">
      <c r="A91" s="44" t="s">
        <v>128</v>
      </c>
      <c r="B91" s="73" t="s">
        <v>353</v>
      </c>
      <c r="C91" s="46" t="s">
        <v>215</v>
      </c>
      <c r="D91" s="108">
        <f>D90*0.3*20/16</f>
        <v>4.3125</v>
      </c>
      <c r="E91" s="48"/>
      <c r="F91" s="49"/>
      <c r="G91" s="49"/>
      <c r="H91" s="95">
        <v>237.5</v>
      </c>
      <c r="I91" s="49">
        <f>ROUND(H91*D91,2)</f>
        <v>1024.22</v>
      </c>
      <c r="J91" s="49">
        <f t="shared" ref="J91" si="55">ROUND(I91*1.2,2)</f>
        <v>1229.06</v>
      </c>
      <c r="K91" s="50">
        <f t="shared" si="51"/>
        <v>1024.22</v>
      </c>
      <c r="L91" s="49">
        <f t="shared" si="51"/>
        <v>1229.06</v>
      </c>
      <c r="M91" s="66"/>
    </row>
    <row r="92" spans="1:13" ht="28.5" customHeight="1" x14ac:dyDescent="0.25">
      <c r="A92" s="121">
        <f>A90+1</f>
        <v>40</v>
      </c>
      <c r="B92" s="120" t="s">
        <v>354</v>
      </c>
      <c r="C92" s="121" t="s">
        <v>34</v>
      </c>
      <c r="D92" s="122">
        <v>11.5</v>
      </c>
      <c r="E92" s="154">
        <v>299.76</v>
      </c>
      <c r="F92" s="124">
        <f>ROUND(E92*D92,2)</f>
        <v>3447.24</v>
      </c>
      <c r="G92" s="124">
        <f t="shared" ref="G92" si="56">ROUND(F92*1.2,2)</f>
        <v>4136.6899999999996</v>
      </c>
      <c r="H92" s="125"/>
      <c r="I92" s="124"/>
      <c r="J92" s="124"/>
      <c r="K92" s="125">
        <f t="shared" si="51"/>
        <v>3447.24</v>
      </c>
      <c r="L92" s="123">
        <f t="shared" si="51"/>
        <v>4136.6899999999996</v>
      </c>
      <c r="M92" s="66" t="s">
        <v>256</v>
      </c>
    </row>
    <row r="93" spans="1:13" ht="15.75" x14ac:dyDescent="0.25">
      <c r="A93" s="44" t="s">
        <v>132</v>
      </c>
      <c r="B93" s="73" t="s">
        <v>355</v>
      </c>
      <c r="C93" s="46" t="s">
        <v>126</v>
      </c>
      <c r="D93" s="47">
        <f>D92*2.5*2</f>
        <v>57.5</v>
      </c>
      <c r="E93" s="48"/>
      <c r="F93" s="49"/>
      <c r="G93" s="49"/>
      <c r="H93" s="95">
        <v>296.39999999999998</v>
      </c>
      <c r="I93" s="49">
        <f t="shared" ref="I93" si="57">ROUND(H93*D93,2)</f>
        <v>17043</v>
      </c>
      <c r="J93" s="49">
        <f t="shared" ref="J93" si="58">ROUND(I93*1.2,2)</f>
        <v>20451.599999999999</v>
      </c>
      <c r="K93" s="65">
        <f t="shared" si="51"/>
        <v>17043</v>
      </c>
      <c r="L93" s="63">
        <f t="shared" si="51"/>
        <v>20451.599999999999</v>
      </c>
      <c r="M93" s="66"/>
    </row>
    <row r="94" spans="1:13" ht="27" customHeight="1" x14ac:dyDescent="0.25">
      <c r="A94" s="38"/>
      <c r="B94" s="94" t="s">
        <v>216</v>
      </c>
      <c r="C94" s="38"/>
      <c r="D94" s="52"/>
      <c r="E94" s="34"/>
      <c r="F94" s="35"/>
      <c r="G94" s="35"/>
      <c r="H94" s="62"/>
      <c r="I94" s="35"/>
      <c r="J94" s="35"/>
      <c r="K94" s="59"/>
      <c r="L94" s="41"/>
      <c r="M94" s="36"/>
    </row>
    <row r="95" spans="1:13" ht="45" x14ac:dyDescent="0.25">
      <c r="A95" s="121">
        <f>A92+1</f>
        <v>41</v>
      </c>
      <c r="B95" s="138" t="s">
        <v>185</v>
      </c>
      <c r="C95" s="121" t="s">
        <v>63</v>
      </c>
      <c r="D95" s="146">
        <v>1</v>
      </c>
      <c r="E95" s="154">
        <v>14312.75</v>
      </c>
      <c r="F95" s="124">
        <f t="shared" ref="F95:F105" si="59">ROUND(E95*D95,2)</f>
        <v>14312.75</v>
      </c>
      <c r="G95" s="124">
        <f t="shared" ref="G95:G105" si="60">ROUND(F95*1.2,2)</f>
        <v>17175.3</v>
      </c>
      <c r="H95" s="145"/>
      <c r="I95" s="124"/>
      <c r="J95" s="124"/>
      <c r="K95" s="125">
        <f t="shared" ref="K95:L106" si="61">F95+I95</f>
        <v>14312.75</v>
      </c>
      <c r="L95" s="123">
        <f t="shared" si="61"/>
        <v>17175.3</v>
      </c>
    </row>
    <row r="96" spans="1:13" ht="45" x14ac:dyDescent="0.25">
      <c r="A96" s="44" t="s">
        <v>134</v>
      </c>
      <c r="B96" s="73" t="s">
        <v>186</v>
      </c>
      <c r="C96" s="46" t="s">
        <v>63</v>
      </c>
      <c r="D96" s="67">
        <v>1</v>
      </c>
      <c r="E96" s="48"/>
      <c r="F96" s="49"/>
      <c r="G96" s="49"/>
      <c r="H96" s="97">
        <v>109202.5</v>
      </c>
      <c r="I96" s="49">
        <f t="shared" ref="I96:I99" si="62">ROUND(H96*D96,2)</f>
        <v>109202.5</v>
      </c>
      <c r="J96" s="49">
        <f t="shared" ref="J96:J103" si="63">ROUND(I96*1.2,2)</f>
        <v>131043</v>
      </c>
      <c r="K96" s="50">
        <f t="shared" si="61"/>
        <v>109202.5</v>
      </c>
      <c r="L96" s="49">
        <f t="shared" si="61"/>
        <v>131043</v>
      </c>
    </row>
    <row r="97" spans="1:13" ht="18.75" customHeight="1" x14ac:dyDescent="0.25">
      <c r="A97" s="44" t="s">
        <v>498</v>
      </c>
      <c r="B97" s="45" t="s">
        <v>191</v>
      </c>
      <c r="C97" s="90" t="s">
        <v>126</v>
      </c>
      <c r="D97" s="47">
        <f>ROUND(32*0.243,2)</f>
        <v>7.78</v>
      </c>
      <c r="E97" s="48"/>
      <c r="F97" s="49"/>
      <c r="G97" s="49"/>
      <c r="H97" s="95">
        <v>120.65</v>
      </c>
      <c r="I97" s="49">
        <f t="shared" si="62"/>
        <v>938.66</v>
      </c>
      <c r="J97" s="49">
        <f t="shared" ref="J97:J99" si="64">ROUND(I97*1.2,2)</f>
        <v>1126.3900000000001</v>
      </c>
      <c r="K97" s="50">
        <f t="shared" ref="K97:K99" si="65">F97+I97</f>
        <v>938.66</v>
      </c>
      <c r="L97" s="49">
        <f t="shared" ref="L97:L99" si="66">G97+J97</f>
        <v>1126.3900000000001</v>
      </c>
    </row>
    <row r="98" spans="1:13" ht="18.75" customHeight="1" x14ac:dyDescent="0.25">
      <c r="A98" s="44" t="s">
        <v>499</v>
      </c>
      <c r="B98" s="45" t="s">
        <v>220</v>
      </c>
      <c r="C98" s="90" t="s">
        <v>126</v>
      </c>
      <c r="D98" s="47">
        <f>ROUND(32*0.071,2)</f>
        <v>2.27</v>
      </c>
      <c r="E98" s="48"/>
      <c r="F98" s="49"/>
      <c r="G98" s="49"/>
      <c r="H98" s="95">
        <v>139.65</v>
      </c>
      <c r="I98" s="49">
        <f t="shared" si="62"/>
        <v>317.01</v>
      </c>
      <c r="J98" s="49">
        <f t="shared" si="64"/>
        <v>380.41</v>
      </c>
      <c r="K98" s="50">
        <f t="shared" si="65"/>
        <v>317.01</v>
      </c>
      <c r="L98" s="49">
        <f t="shared" si="66"/>
        <v>380.41</v>
      </c>
    </row>
    <row r="99" spans="1:13" ht="18.75" customHeight="1" x14ac:dyDescent="0.25">
      <c r="A99" s="44" t="s">
        <v>500</v>
      </c>
      <c r="B99" s="45" t="s">
        <v>222</v>
      </c>
      <c r="C99" s="90" t="s">
        <v>126</v>
      </c>
      <c r="D99" s="47">
        <f>ROUND(64*0.0172,2)</f>
        <v>1.1000000000000001</v>
      </c>
      <c r="E99" s="48"/>
      <c r="F99" s="49"/>
      <c r="G99" s="49"/>
      <c r="H99" s="95">
        <v>188.1</v>
      </c>
      <c r="I99" s="49">
        <f t="shared" si="62"/>
        <v>206.91</v>
      </c>
      <c r="J99" s="49">
        <f t="shared" si="64"/>
        <v>248.29</v>
      </c>
      <c r="K99" s="50">
        <f t="shared" si="65"/>
        <v>206.91</v>
      </c>
      <c r="L99" s="49">
        <f t="shared" si="66"/>
        <v>248.29</v>
      </c>
    </row>
    <row r="100" spans="1:13" ht="30" x14ac:dyDescent="0.25">
      <c r="A100" s="119">
        <f>A95+1</f>
        <v>42</v>
      </c>
      <c r="B100" s="138" t="s">
        <v>217</v>
      </c>
      <c r="C100" s="121" t="s">
        <v>63</v>
      </c>
      <c r="D100" s="146">
        <v>1</v>
      </c>
      <c r="E100" s="154">
        <v>6891.24</v>
      </c>
      <c r="F100" s="124">
        <f t="shared" si="59"/>
        <v>6891.24</v>
      </c>
      <c r="G100" s="124">
        <f t="shared" si="60"/>
        <v>8269.49</v>
      </c>
      <c r="H100" s="145"/>
      <c r="I100" s="124"/>
      <c r="J100" s="124"/>
      <c r="K100" s="125">
        <f t="shared" si="61"/>
        <v>6891.24</v>
      </c>
      <c r="L100" s="123">
        <f t="shared" si="61"/>
        <v>8269.49</v>
      </c>
    </row>
    <row r="101" spans="1:13" ht="18.75" customHeight="1" x14ac:dyDescent="0.25">
      <c r="A101" s="44" t="s">
        <v>137</v>
      </c>
      <c r="B101" s="45" t="s">
        <v>190</v>
      </c>
      <c r="C101" s="46" t="s">
        <v>63</v>
      </c>
      <c r="D101" s="67">
        <v>1</v>
      </c>
      <c r="E101" s="48"/>
      <c r="F101" s="49"/>
      <c r="G101" s="49"/>
      <c r="H101" s="95">
        <v>5092</v>
      </c>
      <c r="I101" s="49">
        <f t="shared" ref="I101" si="67">ROUND(H101*D101,2)</f>
        <v>5092</v>
      </c>
      <c r="J101" s="49">
        <f t="shared" si="63"/>
        <v>6110.4</v>
      </c>
      <c r="K101" s="50">
        <f t="shared" si="61"/>
        <v>5092</v>
      </c>
      <c r="L101" s="49">
        <f t="shared" si="61"/>
        <v>6110.4</v>
      </c>
    </row>
    <row r="102" spans="1:13" ht="30" x14ac:dyDescent="0.25">
      <c r="A102" s="127">
        <f>A100+1</f>
        <v>43</v>
      </c>
      <c r="B102" s="143" t="s">
        <v>223</v>
      </c>
      <c r="C102" s="129" t="s">
        <v>63</v>
      </c>
      <c r="D102" s="140">
        <v>1</v>
      </c>
      <c r="E102" s="151">
        <v>6891.24</v>
      </c>
      <c r="F102" s="132">
        <f t="shared" si="59"/>
        <v>6891.24</v>
      </c>
      <c r="G102" s="132">
        <f t="shared" si="60"/>
        <v>8269.49</v>
      </c>
      <c r="H102" s="155"/>
      <c r="I102" s="132"/>
      <c r="J102" s="132"/>
      <c r="K102" s="133">
        <f t="shared" si="61"/>
        <v>6891.24</v>
      </c>
      <c r="L102" s="131">
        <f t="shared" si="61"/>
        <v>8269.49</v>
      </c>
    </row>
    <row r="103" spans="1:13" ht="18.75" customHeight="1" x14ac:dyDescent="0.25">
      <c r="A103" s="44" t="s">
        <v>140</v>
      </c>
      <c r="B103" s="73" t="s">
        <v>224</v>
      </c>
      <c r="C103" s="46" t="s">
        <v>63</v>
      </c>
      <c r="D103" s="67">
        <v>1</v>
      </c>
      <c r="E103" s="48"/>
      <c r="F103" s="49"/>
      <c r="G103" s="49"/>
      <c r="H103" s="219">
        <f>ROUND(11010.8*1.15,2)</f>
        <v>12662.42</v>
      </c>
      <c r="I103" s="63">
        <f t="shared" ref="I103" si="68">ROUND(H103*D103,2)</f>
        <v>12662.42</v>
      </c>
      <c r="J103" s="63">
        <f t="shared" si="63"/>
        <v>15194.9</v>
      </c>
      <c r="K103" s="65">
        <f t="shared" si="61"/>
        <v>12662.42</v>
      </c>
      <c r="L103" s="63">
        <f t="shared" si="61"/>
        <v>15194.9</v>
      </c>
      <c r="M103" s="21" t="s">
        <v>155</v>
      </c>
    </row>
    <row r="104" spans="1:13" ht="19.5" customHeight="1" x14ac:dyDescent="0.25">
      <c r="A104" s="44" t="s">
        <v>282</v>
      </c>
      <c r="B104" s="73" t="s">
        <v>370</v>
      </c>
      <c r="C104" s="46" t="s">
        <v>63</v>
      </c>
      <c r="D104" s="74">
        <v>2</v>
      </c>
      <c r="E104" s="65"/>
      <c r="F104" s="49"/>
      <c r="G104" s="49"/>
      <c r="H104" s="65">
        <v>85.5</v>
      </c>
      <c r="I104" s="49">
        <f>ROUND(H104*D104,2)</f>
        <v>171</v>
      </c>
      <c r="J104" s="49">
        <f>ROUND(I104*1.2,2)</f>
        <v>205.2</v>
      </c>
      <c r="K104" s="50">
        <f t="shared" si="61"/>
        <v>171</v>
      </c>
      <c r="L104" s="49">
        <f t="shared" si="61"/>
        <v>205.2</v>
      </c>
      <c r="M104" s="66"/>
    </row>
    <row r="105" spans="1:13" ht="18.75" customHeight="1" x14ac:dyDescent="0.25">
      <c r="A105" s="119">
        <f>A102+1</f>
        <v>44</v>
      </c>
      <c r="B105" s="138" t="s">
        <v>187</v>
      </c>
      <c r="C105" s="121" t="s">
        <v>63</v>
      </c>
      <c r="D105" s="146">
        <v>1</v>
      </c>
      <c r="E105" s="154">
        <v>6039.48</v>
      </c>
      <c r="F105" s="124">
        <f t="shared" si="59"/>
        <v>6039.48</v>
      </c>
      <c r="G105" s="124">
        <f t="shared" si="60"/>
        <v>7247.38</v>
      </c>
      <c r="H105" s="145"/>
      <c r="I105" s="124"/>
      <c r="J105" s="124"/>
      <c r="K105" s="125">
        <f t="shared" si="61"/>
        <v>6039.48</v>
      </c>
      <c r="L105" s="123">
        <f t="shared" si="61"/>
        <v>7247.38</v>
      </c>
    </row>
    <row r="106" spans="1:13" ht="18.75" customHeight="1" x14ac:dyDescent="0.25">
      <c r="A106" s="44" t="s">
        <v>143</v>
      </c>
      <c r="B106" s="73" t="s">
        <v>188</v>
      </c>
      <c r="C106" s="46" t="s">
        <v>63</v>
      </c>
      <c r="D106" s="67">
        <v>1</v>
      </c>
      <c r="E106" s="48"/>
      <c r="F106" s="49"/>
      <c r="G106" s="49"/>
      <c r="H106" s="95">
        <v>2886.1</v>
      </c>
      <c r="I106" s="49">
        <f t="shared" ref="I106" si="69">ROUND(H106*D106,2)</f>
        <v>2886.1</v>
      </c>
      <c r="J106" s="49">
        <f t="shared" ref="J106" si="70">ROUND(I106*1.2,2)</f>
        <v>3463.32</v>
      </c>
      <c r="K106" s="50">
        <f t="shared" si="61"/>
        <v>2886.1</v>
      </c>
      <c r="L106" s="49">
        <f t="shared" si="61"/>
        <v>3463.32</v>
      </c>
    </row>
    <row r="107" spans="1:13" ht="15.75" x14ac:dyDescent="0.25">
      <c r="A107" s="38"/>
      <c r="B107" s="68"/>
      <c r="C107" s="38"/>
      <c r="D107" s="52"/>
      <c r="E107" s="34"/>
      <c r="F107" s="35"/>
      <c r="G107" s="35"/>
      <c r="H107" s="62"/>
      <c r="I107" s="35"/>
      <c r="J107" s="35"/>
      <c r="K107" s="59"/>
      <c r="L107" s="41"/>
    </row>
    <row r="108" spans="1:13" s="101" customFormat="1" ht="21.75" customHeight="1" x14ac:dyDescent="0.3">
      <c r="A108" s="212" t="s">
        <v>144</v>
      </c>
      <c r="B108" s="213"/>
      <c r="C108" s="213"/>
      <c r="D108" s="213"/>
      <c r="E108" s="214"/>
      <c r="F108" s="98">
        <f>SUM(F7:F107)</f>
        <v>924105.26</v>
      </c>
      <c r="G108" s="84">
        <f>ROUND(F108*1.2,2)</f>
        <v>1108926.31</v>
      </c>
      <c r="H108" s="99"/>
      <c r="I108" s="98">
        <f>SUM(I7:I107)</f>
        <v>1024703.3999999999</v>
      </c>
      <c r="J108" s="84">
        <f>ROUND(I108*1.2,2)</f>
        <v>1229644.08</v>
      </c>
      <c r="K108" s="98">
        <f>SUM(K7:K107)</f>
        <v>1948808.6599999995</v>
      </c>
      <c r="L108" s="84">
        <f>ROUND(K108*1.2,2)</f>
        <v>2338570.39</v>
      </c>
      <c r="M108" s="100"/>
    </row>
    <row r="110" spans="1:13" x14ac:dyDescent="0.25">
      <c r="B110" s="174" t="s">
        <v>586</v>
      </c>
    </row>
    <row r="111" spans="1:13" x14ac:dyDescent="0.25">
      <c r="B111" s="175" t="s">
        <v>587</v>
      </c>
    </row>
  </sheetData>
  <mergeCells count="10">
    <mergeCell ref="B6:D6"/>
    <mergeCell ref="A108:E10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79998168889431442"/>
  </sheetPr>
  <dimension ref="A1:M121"/>
  <sheetViews>
    <sheetView view="pageBreakPreview" zoomScale="80" zoomScaleNormal="100" zoomScaleSheetLayoutView="80" workbookViewId="0">
      <selection activeCell="H94" sqref="H94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style="116" customWidth="1"/>
    <col min="6" max="6" width="16" customWidth="1"/>
    <col min="7" max="7" width="17.140625" style="89" customWidth="1"/>
    <col min="8" max="8" width="16.140625" style="89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194" t="s">
        <v>0</v>
      </c>
      <c r="B1" s="197" t="s">
        <v>8</v>
      </c>
      <c r="C1" s="200" t="s">
        <v>9</v>
      </c>
      <c r="D1" s="200" t="s">
        <v>10</v>
      </c>
      <c r="E1" s="206" t="s">
        <v>11</v>
      </c>
      <c r="F1" s="207"/>
      <c r="G1" s="207"/>
      <c r="H1" s="207"/>
      <c r="I1" s="207"/>
      <c r="J1" s="207"/>
      <c r="K1" s="207"/>
      <c r="L1" s="207"/>
    </row>
    <row r="2" spans="1:13" ht="14.45" customHeight="1" x14ac:dyDescent="0.25">
      <c r="A2" s="195"/>
      <c r="B2" s="198"/>
      <c r="C2" s="200"/>
      <c r="D2" s="200"/>
      <c r="E2" s="208"/>
      <c r="F2" s="209"/>
      <c r="G2" s="209"/>
      <c r="H2" s="209"/>
      <c r="I2" s="209"/>
      <c r="J2" s="209"/>
      <c r="K2" s="209"/>
      <c r="L2" s="209"/>
    </row>
    <row r="3" spans="1:13" ht="27.75" customHeight="1" x14ac:dyDescent="0.25">
      <c r="A3" s="195"/>
      <c r="B3" s="198"/>
      <c r="C3" s="200"/>
      <c r="D3" s="200"/>
      <c r="E3" s="200" t="s">
        <v>12</v>
      </c>
      <c r="F3" s="200"/>
      <c r="G3" s="200"/>
      <c r="H3" s="200" t="s">
        <v>13</v>
      </c>
      <c r="I3" s="200"/>
      <c r="J3" s="200"/>
      <c r="K3" s="190" t="s">
        <v>14</v>
      </c>
      <c r="L3" s="190"/>
    </row>
    <row r="4" spans="1:13" ht="56.1" customHeight="1" x14ac:dyDescent="0.25">
      <c r="A4" s="196"/>
      <c r="B4" s="199"/>
      <c r="C4" s="200"/>
      <c r="D4" s="200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30" customHeight="1" x14ac:dyDescent="0.25">
      <c r="A6" s="26"/>
      <c r="B6" s="217" t="s">
        <v>455</v>
      </c>
      <c r="C6" s="218"/>
      <c r="D6" s="218"/>
      <c r="E6" s="27"/>
      <c r="F6" s="28"/>
      <c r="G6" s="29"/>
      <c r="H6" s="29"/>
      <c r="I6" s="29"/>
      <c r="J6" s="29"/>
      <c r="K6" s="29"/>
      <c r="L6" s="29"/>
      <c r="M6" s="111" t="s">
        <v>432</v>
      </c>
    </row>
    <row r="7" spans="1:13" ht="18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22.5" customHeight="1" x14ac:dyDescent="0.25">
      <c r="A8" s="119">
        <v>1</v>
      </c>
      <c r="B8" s="120" t="s">
        <v>395</v>
      </c>
      <c r="C8" s="164" t="s">
        <v>63</v>
      </c>
      <c r="D8" s="146">
        <v>4</v>
      </c>
      <c r="E8" s="123">
        <v>1055.02</v>
      </c>
      <c r="F8" s="124">
        <f t="shared" ref="F8:F11" si="0">ROUND(E8*D8,2)</f>
        <v>4220.08</v>
      </c>
      <c r="G8" s="124">
        <f t="shared" ref="G8:G11" si="1">ROUND(F8*1.2,2)</f>
        <v>5064.1000000000004</v>
      </c>
      <c r="H8" s="154"/>
      <c r="I8" s="124"/>
      <c r="J8" s="124"/>
      <c r="K8" s="126">
        <f t="shared" ref="K8:L11" si="2">F8+I8</f>
        <v>4220.08</v>
      </c>
      <c r="L8" s="124">
        <f t="shared" si="2"/>
        <v>5064.1000000000004</v>
      </c>
      <c r="M8" s="66" t="s">
        <v>25</v>
      </c>
    </row>
    <row r="9" spans="1:13" ht="22.5" customHeight="1" x14ac:dyDescent="0.25">
      <c r="A9" s="127">
        <f>A8+1</f>
        <v>2</v>
      </c>
      <c r="B9" s="128" t="s">
        <v>21</v>
      </c>
      <c r="C9" s="129" t="s">
        <v>22</v>
      </c>
      <c r="D9" s="130">
        <v>16.34</v>
      </c>
      <c r="E9" s="131">
        <v>3500</v>
      </c>
      <c r="F9" s="131">
        <f t="shared" si="0"/>
        <v>57190</v>
      </c>
      <c r="G9" s="131">
        <f t="shared" si="1"/>
        <v>68628</v>
      </c>
      <c r="H9" s="151"/>
      <c r="I9" s="131"/>
      <c r="J9" s="131"/>
      <c r="K9" s="133">
        <f t="shared" si="2"/>
        <v>57190</v>
      </c>
      <c r="L9" s="131">
        <f t="shared" si="2"/>
        <v>68628</v>
      </c>
      <c r="M9" s="40" t="s">
        <v>610</v>
      </c>
    </row>
    <row r="10" spans="1:13" ht="22.5" customHeight="1" x14ac:dyDescent="0.25">
      <c r="A10" s="119">
        <f>A9+1</f>
        <v>3</v>
      </c>
      <c r="B10" s="120" t="s">
        <v>23</v>
      </c>
      <c r="C10" s="121" t="s">
        <v>24</v>
      </c>
      <c r="D10" s="135">
        <v>8.69</v>
      </c>
      <c r="E10" s="123">
        <f>ROUND(65055.24/(297.03*0.05),2)</f>
        <v>4380.38</v>
      </c>
      <c r="F10" s="124">
        <f t="shared" si="0"/>
        <v>38065.5</v>
      </c>
      <c r="G10" s="124">
        <f t="shared" si="1"/>
        <v>45678.6</v>
      </c>
      <c r="H10" s="154"/>
      <c r="I10" s="124"/>
      <c r="J10" s="124"/>
      <c r="K10" s="126">
        <f t="shared" si="2"/>
        <v>38065.5</v>
      </c>
      <c r="L10" s="124">
        <f t="shared" si="2"/>
        <v>45678.6</v>
      </c>
      <c r="M10" s="21" t="s">
        <v>25</v>
      </c>
    </row>
    <row r="11" spans="1:13" ht="22.5" customHeight="1" x14ac:dyDescent="0.25">
      <c r="A11" s="119">
        <f t="shared" ref="A11" si="3">A10+1</f>
        <v>4</v>
      </c>
      <c r="B11" s="120" t="s">
        <v>26</v>
      </c>
      <c r="C11" s="121" t="s">
        <v>24</v>
      </c>
      <c r="D11" s="135">
        <v>12.86</v>
      </c>
      <c r="E11" s="125">
        <v>304</v>
      </c>
      <c r="F11" s="124">
        <f t="shared" si="0"/>
        <v>3909.44</v>
      </c>
      <c r="G11" s="124">
        <f t="shared" si="1"/>
        <v>4691.33</v>
      </c>
      <c r="H11" s="124"/>
      <c r="I11" s="124"/>
      <c r="J11" s="124"/>
      <c r="K11" s="126">
        <f t="shared" si="2"/>
        <v>3909.44</v>
      </c>
      <c r="L11" s="124">
        <f t="shared" si="2"/>
        <v>4691.33</v>
      </c>
      <c r="M11" s="21" t="s">
        <v>25</v>
      </c>
    </row>
    <row r="12" spans="1:13" ht="20.25" customHeight="1" x14ac:dyDescent="0.25">
      <c r="A12" s="30"/>
      <c r="B12" s="102" t="s">
        <v>227</v>
      </c>
      <c r="C12" s="38"/>
      <c r="D12" s="39"/>
      <c r="E12" s="117"/>
      <c r="F12" s="35"/>
      <c r="G12" s="35"/>
      <c r="H12" s="35"/>
      <c r="I12" s="35"/>
      <c r="J12" s="35"/>
      <c r="K12" s="32"/>
      <c r="L12" s="35"/>
      <c r="M12" s="66"/>
    </row>
    <row r="13" spans="1:13" ht="24" customHeight="1" x14ac:dyDescent="0.25">
      <c r="A13" s="119">
        <f>A11+1</f>
        <v>5</v>
      </c>
      <c r="B13" s="138" t="s">
        <v>27</v>
      </c>
      <c r="C13" s="121" t="s">
        <v>37</v>
      </c>
      <c r="D13" s="135">
        <v>34.04</v>
      </c>
      <c r="E13" s="123">
        <v>431.37</v>
      </c>
      <c r="F13" s="124">
        <f t="shared" ref="F13" si="4">ROUND(E13*D13,2)</f>
        <v>14683.83</v>
      </c>
      <c r="G13" s="124">
        <f t="shared" ref="G13" si="5">ROUND(F13*1.2,2)</f>
        <v>17620.599999999999</v>
      </c>
      <c r="H13" s="154"/>
      <c r="I13" s="124"/>
      <c r="J13" s="124"/>
      <c r="K13" s="126">
        <f t="shared" ref="K13:L13" si="6">F13+I13</f>
        <v>14683.83</v>
      </c>
      <c r="L13" s="124">
        <f t="shared" si="6"/>
        <v>17620.599999999999</v>
      </c>
      <c r="M13" s="66" t="s">
        <v>153</v>
      </c>
    </row>
    <row r="14" spans="1:13" ht="20.25" customHeight="1" x14ac:dyDescent="0.25">
      <c r="A14" s="51"/>
      <c r="B14" s="42" t="s">
        <v>458</v>
      </c>
      <c r="C14" s="38"/>
      <c r="D14" s="52"/>
      <c r="E14" s="53"/>
      <c r="F14" s="54"/>
      <c r="G14" s="55"/>
      <c r="H14" s="56"/>
      <c r="I14" s="57"/>
      <c r="J14" s="57"/>
      <c r="K14" s="58"/>
      <c r="L14" s="57"/>
    </row>
    <row r="15" spans="1:13" ht="24" customHeight="1" x14ac:dyDescent="0.25">
      <c r="A15" s="119">
        <f>A13+1</f>
        <v>6</v>
      </c>
      <c r="B15" s="120" t="s">
        <v>44</v>
      </c>
      <c r="C15" s="121" t="s">
        <v>24</v>
      </c>
      <c r="D15" s="135">
        <v>64.31</v>
      </c>
      <c r="E15" s="125">
        <v>308.75</v>
      </c>
      <c r="F15" s="124">
        <f t="shared" ref="F15:F22" si="7">ROUND(E15*D15,2)</f>
        <v>19855.71</v>
      </c>
      <c r="G15" s="124">
        <f t="shared" ref="G15:G22" si="8">ROUND(F15*1.2,2)</f>
        <v>23826.85</v>
      </c>
      <c r="H15" s="136"/>
      <c r="I15" s="137"/>
      <c r="J15" s="137"/>
      <c r="K15" s="125">
        <f t="shared" ref="K15:L22" si="9">F15+I15</f>
        <v>19855.71</v>
      </c>
      <c r="L15" s="123">
        <f t="shared" si="9"/>
        <v>23826.85</v>
      </c>
    </row>
    <row r="16" spans="1:13" ht="24" customHeight="1" x14ac:dyDescent="0.25">
      <c r="A16" s="119">
        <f>A15+1</f>
        <v>7</v>
      </c>
      <c r="B16" s="120" t="s">
        <v>45</v>
      </c>
      <c r="C16" s="121" t="s">
        <v>24</v>
      </c>
      <c r="D16" s="135">
        <v>1.92</v>
      </c>
      <c r="E16" s="125">
        <v>1688.15</v>
      </c>
      <c r="F16" s="124">
        <f t="shared" si="7"/>
        <v>3241.25</v>
      </c>
      <c r="G16" s="124">
        <f t="shared" si="8"/>
        <v>3889.5</v>
      </c>
      <c r="H16" s="136"/>
      <c r="I16" s="137"/>
      <c r="J16" s="137"/>
      <c r="K16" s="125">
        <f t="shared" si="9"/>
        <v>3241.25</v>
      </c>
      <c r="L16" s="123">
        <f t="shared" si="9"/>
        <v>3889.5</v>
      </c>
    </row>
    <row r="17" spans="1:13" ht="20.25" customHeight="1" x14ac:dyDescent="0.25">
      <c r="A17" s="119">
        <f>A16+1</f>
        <v>8</v>
      </c>
      <c r="B17" s="120" t="s">
        <v>433</v>
      </c>
      <c r="C17" s="121" t="s">
        <v>331</v>
      </c>
      <c r="D17" s="135">
        <v>1.44</v>
      </c>
      <c r="E17" s="125">
        <v>1350.9</v>
      </c>
      <c r="F17" s="123">
        <f>ROUND(E17*D17,2)</f>
        <v>1945.3</v>
      </c>
      <c r="G17" s="123">
        <f t="shared" si="8"/>
        <v>2334.36</v>
      </c>
      <c r="H17" s="154"/>
      <c r="I17" s="123"/>
      <c r="J17" s="123"/>
      <c r="K17" s="125">
        <f t="shared" si="9"/>
        <v>1945.3</v>
      </c>
      <c r="L17" s="123">
        <f t="shared" si="9"/>
        <v>2334.36</v>
      </c>
      <c r="M17" s="66" t="s">
        <v>153</v>
      </c>
    </row>
    <row r="18" spans="1:13" ht="20.25" customHeight="1" x14ac:dyDescent="0.25">
      <c r="A18" s="44" t="s">
        <v>42</v>
      </c>
      <c r="B18" s="45" t="s">
        <v>154</v>
      </c>
      <c r="C18" s="46" t="s">
        <v>24</v>
      </c>
      <c r="D18" s="47">
        <f>D17*1.26</f>
        <v>1.8144</v>
      </c>
      <c r="E18" s="65"/>
      <c r="F18" s="63"/>
      <c r="G18" s="63"/>
      <c r="H18" s="65">
        <v>1299.5999999999999</v>
      </c>
      <c r="I18" s="49">
        <f>ROUND(H18*D18,2)</f>
        <v>2357.9899999999998</v>
      </c>
      <c r="J18" s="49">
        <f>ROUND(I18*1.2,2)</f>
        <v>2829.59</v>
      </c>
      <c r="K18" s="50">
        <f t="shared" si="9"/>
        <v>2357.9899999999998</v>
      </c>
      <c r="L18" s="49">
        <f t="shared" si="9"/>
        <v>2829.59</v>
      </c>
      <c r="M18" s="64"/>
    </row>
    <row r="19" spans="1:13" ht="24" customHeight="1" x14ac:dyDescent="0.25">
      <c r="A19" s="119">
        <f>A17+1</f>
        <v>9</v>
      </c>
      <c r="B19" s="138" t="s">
        <v>457</v>
      </c>
      <c r="C19" s="121" t="s">
        <v>24</v>
      </c>
      <c r="D19" s="135">
        <v>22.35</v>
      </c>
      <c r="E19" s="125">
        <v>1310.05</v>
      </c>
      <c r="F19" s="124">
        <f t="shared" si="7"/>
        <v>29279.62</v>
      </c>
      <c r="G19" s="124">
        <f t="shared" si="8"/>
        <v>35135.54</v>
      </c>
      <c r="H19" s="124"/>
      <c r="I19" s="124"/>
      <c r="J19" s="124"/>
      <c r="K19" s="126">
        <f t="shared" si="9"/>
        <v>29279.62</v>
      </c>
      <c r="L19" s="124">
        <f t="shared" si="9"/>
        <v>35135.54</v>
      </c>
    </row>
    <row r="20" spans="1:13" ht="20.25" customHeight="1" x14ac:dyDescent="0.25">
      <c r="A20" s="44" t="s">
        <v>442</v>
      </c>
      <c r="B20" s="45" t="s">
        <v>48</v>
      </c>
      <c r="C20" s="46" t="s">
        <v>24</v>
      </c>
      <c r="D20" s="47">
        <f>D19*1.1</f>
        <v>24.585000000000004</v>
      </c>
      <c r="E20" s="65"/>
      <c r="F20" s="49"/>
      <c r="G20" s="49"/>
      <c r="H20" s="49">
        <v>1191.3</v>
      </c>
      <c r="I20" s="49">
        <f>ROUND(H20*D20,2)</f>
        <v>29288.11</v>
      </c>
      <c r="J20" s="49">
        <f>ROUND(I20*1.2,2)</f>
        <v>35145.730000000003</v>
      </c>
      <c r="K20" s="50">
        <f t="shared" si="9"/>
        <v>29288.11</v>
      </c>
      <c r="L20" s="49">
        <f t="shared" si="9"/>
        <v>35145.730000000003</v>
      </c>
    </row>
    <row r="21" spans="1:13" s="61" customFormat="1" ht="22.5" customHeight="1" x14ac:dyDescent="0.25">
      <c r="A21" s="121">
        <f>A19+1</f>
        <v>10</v>
      </c>
      <c r="B21" s="120" t="s">
        <v>148</v>
      </c>
      <c r="C21" s="121" t="s">
        <v>24</v>
      </c>
      <c r="D21" s="135">
        <v>45.81</v>
      </c>
      <c r="E21" s="125">
        <v>118.75</v>
      </c>
      <c r="F21" s="124">
        <f t="shared" si="7"/>
        <v>5439.94</v>
      </c>
      <c r="G21" s="124">
        <f t="shared" si="8"/>
        <v>6527.93</v>
      </c>
      <c r="H21" s="136"/>
      <c r="I21" s="137"/>
      <c r="J21" s="137"/>
      <c r="K21" s="125">
        <f t="shared" si="9"/>
        <v>5439.94</v>
      </c>
      <c r="L21" s="123">
        <f t="shared" si="9"/>
        <v>6527.93</v>
      </c>
      <c r="M21" s="60"/>
    </row>
    <row r="22" spans="1:13" ht="22.5" customHeight="1" x14ac:dyDescent="0.25">
      <c r="A22" s="119">
        <f>A21+1</f>
        <v>11</v>
      </c>
      <c r="B22" s="120" t="s">
        <v>574</v>
      </c>
      <c r="C22" s="121" t="s">
        <v>24</v>
      </c>
      <c r="D22" s="135">
        <v>68.16</v>
      </c>
      <c r="E22" s="125">
        <v>188.1</v>
      </c>
      <c r="F22" s="124">
        <f t="shared" si="7"/>
        <v>12820.9</v>
      </c>
      <c r="G22" s="124">
        <f t="shared" si="8"/>
        <v>15385.08</v>
      </c>
      <c r="H22" s="125"/>
      <c r="I22" s="124"/>
      <c r="J22" s="124"/>
      <c r="K22" s="125">
        <f t="shared" si="9"/>
        <v>12820.9</v>
      </c>
      <c r="L22" s="123">
        <f t="shared" si="9"/>
        <v>15385.08</v>
      </c>
    </row>
    <row r="23" spans="1:13" ht="20.25" customHeight="1" x14ac:dyDescent="0.25">
      <c r="A23" s="51"/>
      <c r="B23" s="42" t="s">
        <v>335</v>
      </c>
      <c r="C23" s="38"/>
      <c r="D23" s="52"/>
      <c r="E23" s="53"/>
      <c r="F23" s="54"/>
      <c r="G23" s="55"/>
      <c r="H23" s="56"/>
      <c r="I23" s="57"/>
      <c r="J23" s="57"/>
      <c r="K23" s="58"/>
      <c r="L23" s="57"/>
    </row>
    <row r="24" spans="1:13" ht="24" customHeight="1" x14ac:dyDescent="0.25">
      <c r="A24" s="119">
        <f>A22+1</f>
        <v>12</v>
      </c>
      <c r="B24" s="120" t="s">
        <v>44</v>
      </c>
      <c r="C24" s="121" t="s">
        <v>24</v>
      </c>
      <c r="D24" s="135">
        <v>22.63</v>
      </c>
      <c r="E24" s="125">
        <v>308.75</v>
      </c>
      <c r="F24" s="124">
        <f t="shared" ref="F24:F25" si="10">ROUND(E24*D24,2)</f>
        <v>6987.01</v>
      </c>
      <c r="G24" s="124">
        <f t="shared" ref="G24:G25" si="11">ROUND(F24*1.2,2)</f>
        <v>8384.41</v>
      </c>
      <c r="H24" s="136"/>
      <c r="I24" s="137"/>
      <c r="J24" s="137"/>
      <c r="K24" s="125">
        <f t="shared" ref="K24:K29" si="12">F24+I24</f>
        <v>6987.01</v>
      </c>
      <c r="L24" s="123">
        <f t="shared" ref="L24:L29" si="13">G24+J24</f>
        <v>8384.41</v>
      </c>
    </row>
    <row r="25" spans="1:13" ht="24" customHeight="1" x14ac:dyDescent="0.25">
      <c r="A25" s="119">
        <f>A24+1</f>
        <v>13</v>
      </c>
      <c r="B25" s="120" t="s">
        <v>45</v>
      </c>
      <c r="C25" s="121" t="s">
        <v>24</v>
      </c>
      <c r="D25" s="135">
        <v>0.7</v>
      </c>
      <c r="E25" s="125">
        <v>1688.15</v>
      </c>
      <c r="F25" s="124">
        <f t="shared" si="10"/>
        <v>1181.71</v>
      </c>
      <c r="G25" s="124">
        <f t="shared" si="11"/>
        <v>1418.05</v>
      </c>
      <c r="H25" s="136"/>
      <c r="I25" s="137"/>
      <c r="J25" s="137"/>
      <c r="K25" s="125">
        <f t="shared" si="12"/>
        <v>1181.71</v>
      </c>
      <c r="L25" s="123">
        <f t="shared" si="13"/>
        <v>1418.05</v>
      </c>
    </row>
    <row r="26" spans="1:13" ht="24" customHeight="1" x14ac:dyDescent="0.25">
      <c r="A26" s="119">
        <f>A25+1</f>
        <v>14</v>
      </c>
      <c r="B26" s="138" t="s">
        <v>460</v>
      </c>
      <c r="C26" s="121" t="s">
        <v>24</v>
      </c>
      <c r="D26" s="135">
        <v>10.050000000000001</v>
      </c>
      <c r="E26" s="125">
        <v>1310.05</v>
      </c>
      <c r="F26" s="124">
        <f t="shared" ref="F26" si="14">ROUND(E26*D26,2)</f>
        <v>13166</v>
      </c>
      <c r="G26" s="124">
        <f t="shared" ref="G26" si="15">ROUND(F26*1.2,2)</f>
        <v>15799.2</v>
      </c>
      <c r="H26" s="124"/>
      <c r="I26" s="124"/>
      <c r="J26" s="124"/>
      <c r="K26" s="126">
        <f t="shared" si="12"/>
        <v>13166</v>
      </c>
      <c r="L26" s="124">
        <f t="shared" si="13"/>
        <v>15799.2</v>
      </c>
    </row>
    <row r="27" spans="1:13" ht="20.25" customHeight="1" x14ac:dyDescent="0.25">
      <c r="A27" s="44" t="s">
        <v>443</v>
      </c>
      <c r="B27" s="45" t="s">
        <v>48</v>
      </c>
      <c r="C27" s="46" t="s">
        <v>24</v>
      </c>
      <c r="D27" s="47">
        <f>D26*1.1</f>
        <v>11.055000000000001</v>
      </c>
      <c r="E27" s="65"/>
      <c r="F27" s="49"/>
      <c r="G27" s="49"/>
      <c r="H27" s="49">
        <v>1191.3</v>
      </c>
      <c r="I27" s="49">
        <f>ROUND(H27*D27,2)</f>
        <v>13169.82</v>
      </c>
      <c r="J27" s="49">
        <f>ROUND(I27*1.2,2)</f>
        <v>15803.78</v>
      </c>
      <c r="K27" s="50">
        <f t="shared" si="12"/>
        <v>13169.82</v>
      </c>
      <c r="L27" s="49">
        <f t="shared" si="13"/>
        <v>15803.78</v>
      </c>
    </row>
    <row r="28" spans="1:13" s="61" customFormat="1" ht="22.5" customHeight="1" x14ac:dyDescent="0.25">
      <c r="A28" s="121">
        <f>A26+1</f>
        <v>15</v>
      </c>
      <c r="B28" s="120" t="s">
        <v>148</v>
      </c>
      <c r="C28" s="121" t="s">
        <v>24</v>
      </c>
      <c r="D28" s="135">
        <v>25.79</v>
      </c>
      <c r="E28" s="125">
        <v>118.75</v>
      </c>
      <c r="F28" s="124">
        <f t="shared" ref="F28:F29" si="16">ROUND(E28*D28,2)</f>
        <v>3062.56</v>
      </c>
      <c r="G28" s="124">
        <f t="shared" ref="G28:G29" si="17">ROUND(F28*1.2,2)</f>
        <v>3675.07</v>
      </c>
      <c r="H28" s="136"/>
      <c r="I28" s="137"/>
      <c r="J28" s="137"/>
      <c r="K28" s="125">
        <f t="shared" si="12"/>
        <v>3062.56</v>
      </c>
      <c r="L28" s="123">
        <f t="shared" si="13"/>
        <v>3675.07</v>
      </c>
      <c r="M28" s="60"/>
    </row>
    <row r="29" spans="1:13" ht="22.5" customHeight="1" x14ac:dyDescent="0.25">
      <c r="A29" s="119">
        <f>A28+1</f>
        <v>16</v>
      </c>
      <c r="B29" s="120" t="s">
        <v>575</v>
      </c>
      <c r="C29" s="121" t="s">
        <v>24</v>
      </c>
      <c r="D29" s="135">
        <v>35.840000000000003</v>
      </c>
      <c r="E29" s="125">
        <v>188.1</v>
      </c>
      <c r="F29" s="124">
        <f t="shared" si="16"/>
        <v>6741.5</v>
      </c>
      <c r="G29" s="124">
        <f t="shared" si="17"/>
        <v>8089.8</v>
      </c>
      <c r="H29" s="125"/>
      <c r="I29" s="124"/>
      <c r="J29" s="124"/>
      <c r="K29" s="125">
        <f t="shared" si="12"/>
        <v>6741.5</v>
      </c>
      <c r="L29" s="123">
        <f t="shared" si="13"/>
        <v>8089.8</v>
      </c>
    </row>
    <row r="30" spans="1:13" ht="18.75" customHeight="1" x14ac:dyDescent="0.25">
      <c r="A30" s="30"/>
      <c r="B30" s="112" t="s">
        <v>461</v>
      </c>
      <c r="C30" s="91"/>
      <c r="D30" s="92"/>
      <c r="E30" s="114"/>
      <c r="F30" s="35"/>
      <c r="G30" s="35"/>
      <c r="H30" s="62"/>
      <c r="I30" s="35"/>
      <c r="J30" s="35"/>
      <c r="K30" s="59"/>
      <c r="L30" s="41"/>
    </row>
    <row r="31" spans="1:13" ht="30.75" customHeight="1" x14ac:dyDescent="0.25">
      <c r="A31" s="121">
        <f>A29+1</f>
        <v>17</v>
      </c>
      <c r="B31" s="120" t="s">
        <v>173</v>
      </c>
      <c r="C31" s="121" t="s">
        <v>24</v>
      </c>
      <c r="D31" s="135">
        <f>1*0.18+2*0.24+1*0.1+1*0.1</f>
        <v>0.85999999999999988</v>
      </c>
      <c r="E31" s="125">
        <v>17265.68</v>
      </c>
      <c r="F31" s="124">
        <f t="shared" ref="F31" si="18">ROUND(E31*D31,2)</f>
        <v>14848.48</v>
      </c>
      <c r="G31" s="124">
        <f t="shared" ref="G31" si="19">ROUND(F31*1.2,2)</f>
        <v>17818.18</v>
      </c>
      <c r="H31" s="145"/>
      <c r="I31" s="124"/>
      <c r="J31" s="124"/>
      <c r="K31" s="125">
        <f t="shared" ref="K31:L41" si="20">F31+I31</f>
        <v>14848.48</v>
      </c>
      <c r="L31" s="123">
        <f t="shared" ref="L31:L41" si="21">G31+J31</f>
        <v>17818.18</v>
      </c>
    </row>
    <row r="32" spans="1:13" ht="18.75" customHeight="1" x14ac:dyDescent="0.25">
      <c r="A32" s="44" t="s">
        <v>60</v>
      </c>
      <c r="B32" s="73" t="s">
        <v>462</v>
      </c>
      <c r="C32" s="46" t="s">
        <v>63</v>
      </c>
      <c r="D32" s="67">
        <v>1</v>
      </c>
      <c r="E32" s="65"/>
      <c r="F32" s="49"/>
      <c r="G32" s="49"/>
      <c r="H32" s="95">
        <v>1657.75</v>
      </c>
      <c r="I32" s="49">
        <f t="shared" ref="I32:I36" si="22">ROUND(H32*D32,2)</f>
        <v>1657.75</v>
      </c>
      <c r="J32" s="49">
        <f t="shared" ref="J32:J36" si="23">ROUND(I32*1.2,2)</f>
        <v>1989.3</v>
      </c>
      <c r="K32" s="50">
        <f t="shared" si="20"/>
        <v>1657.75</v>
      </c>
      <c r="L32" s="49">
        <f t="shared" si="20"/>
        <v>1989.3</v>
      </c>
      <c r="M32" s="21" t="s">
        <v>590</v>
      </c>
    </row>
    <row r="33" spans="1:13" ht="18.75" customHeight="1" x14ac:dyDescent="0.25">
      <c r="A33" s="44" t="s">
        <v>61</v>
      </c>
      <c r="B33" s="73" t="s">
        <v>463</v>
      </c>
      <c r="C33" s="46" t="s">
        <v>63</v>
      </c>
      <c r="D33" s="67">
        <v>2</v>
      </c>
      <c r="E33" s="65"/>
      <c r="F33" s="49"/>
      <c r="G33" s="49"/>
      <c r="H33" s="95">
        <v>2500.4</v>
      </c>
      <c r="I33" s="49">
        <f t="shared" si="22"/>
        <v>5000.8</v>
      </c>
      <c r="J33" s="49">
        <f t="shared" si="23"/>
        <v>6000.96</v>
      </c>
      <c r="K33" s="50">
        <f t="shared" si="20"/>
        <v>5000.8</v>
      </c>
      <c r="L33" s="49">
        <f t="shared" si="20"/>
        <v>6000.96</v>
      </c>
      <c r="M33" s="21" t="s">
        <v>590</v>
      </c>
    </row>
    <row r="34" spans="1:13" ht="18.75" customHeight="1" x14ac:dyDescent="0.25">
      <c r="A34" s="44" t="s">
        <v>465</v>
      </c>
      <c r="B34" s="73" t="s">
        <v>464</v>
      </c>
      <c r="C34" s="46" t="s">
        <v>63</v>
      </c>
      <c r="D34" s="67">
        <v>1</v>
      </c>
      <c r="E34" s="65"/>
      <c r="F34" s="49"/>
      <c r="G34" s="49"/>
      <c r="H34" s="95">
        <v>1427.85</v>
      </c>
      <c r="I34" s="49">
        <f t="shared" si="22"/>
        <v>1427.85</v>
      </c>
      <c r="J34" s="49">
        <f t="shared" si="23"/>
        <v>1713.42</v>
      </c>
      <c r="K34" s="50">
        <f t="shared" si="20"/>
        <v>1427.85</v>
      </c>
      <c r="L34" s="49">
        <f t="shared" si="20"/>
        <v>1713.42</v>
      </c>
      <c r="M34" s="21" t="s">
        <v>590</v>
      </c>
    </row>
    <row r="35" spans="1:13" ht="18.75" customHeight="1" x14ac:dyDescent="0.25">
      <c r="A35" s="44" t="s">
        <v>466</v>
      </c>
      <c r="B35" s="73" t="s">
        <v>469</v>
      </c>
      <c r="C35" s="46" t="s">
        <v>63</v>
      </c>
      <c r="D35" s="67">
        <v>1</v>
      </c>
      <c r="E35" s="65"/>
      <c r="F35" s="49"/>
      <c r="G35" s="49"/>
      <c r="H35" s="219">
        <v>3136</v>
      </c>
      <c r="I35" s="49">
        <f t="shared" si="22"/>
        <v>3136</v>
      </c>
      <c r="J35" s="49">
        <f t="shared" si="23"/>
        <v>3763.2</v>
      </c>
      <c r="K35" s="50">
        <f t="shared" si="20"/>
        <v>3136</v>
      </c>
      <c r="L35" s="49">
        <f t="shared" si="20"/>
        <v>3763.2</v>
      </c>
      <c r="M35" s="66" t="s">
        <v>76</v>
      </c>
    </row>
    <row r="36" spans="1:13" ht="18.75" customHeight="1" x14ac:dyDescent="0.25">
      <c r="A36" s="44" t="s">
        <v>467</v>
      </c>
      <c r="B36" s="73" t="s">
        <v>183</v>
      </c>
      <c r="C36" s="46" t="s">
        <v>63</v>
      </c>
      <c r="D36" s="67">
        <v>1</v>
      </c>
      <c r="E36" s="65"/>
      <c r="F36" s="49"/>
      <c r="G36" s="49"/>
      <c r="H36" s="95">
        <v>14421</v>
      </c>
      <c r="I36" s="49">
        <f t="shared" si="22"/>
        <v>14421</v>
      </c>
      <c r="J36" s="49">
        <f t="shared" si="23"/>
        <v>17305.2</v>
      </c>
      <c r="K36" s="50">
        <f t="shared" si="20"/>
        <v>14421</v>
      </c>
      <c r="L36" s="49">
        <f t="shared" si="20"/>
        <v>17305.2</v>
      </c>
      <c r="M36" s="64"/>
    </row>
    <row r="37" spans="1:13" ht="18.75" customHeight="1" x14ac:dyDescent="0.25">
      <c r="A37" s="44" t="s">
        <v>468</v>
      </c>
      <c r="B37" s="73" t="s">
        <v>534</v>
      </c>
      <c r="C37" s="46" t="s">
        <v>126</v>
      </c>
      <c r="D37" s="183">
        <v>29.2</v>
      </c>
      <c r="E37" s="65"/>
      <c r="F37" s="49"/>
      <c r="G37" s="49"/>
      <c r="H37" s="97">
        <v>666.9</v>
      </c>
      <c r="I37" s="49">
        <f>ROUND(H37*D37,2)</f>
        <v>19473.48</v>
      </c>
      <c r="J37" s="49">
        <f>ROUND(I37*1.2,2)</f>
        <v>23368.18</v>
      </c>
      <c r="K37" s="50">
        <f t="shared" si="20"/>
        <v>19473.48</v>
      </c>
      <c r="L37" s="49">
        <f t="shared" si="20"/>
        <v>23368.18</v>
      </c>
      <c r="M37" s="21" t="s">
        <v>590</v>
      </c>
    </row>
    <row r="38" spans="1:13" ht="27.75" customHeight="1" x14ac:dyDescent="0.25">
      <c r="A38" s="121">
        <f>A31+1</f>
        <v>18</v>
      </c>
      <c r="B38" s="120" t="s">
        <v>352</v>
      </c>
      <c r="C38" s="121" t="s">
        <v>34</v>
      </c>
      <c r="D38" s="122">
        <v>10.33</v>
      </c>
      <c r="E38" s="125">
        <v>144.4</v>
      </c>
      <c r="F38" s="124">
        <f>ROUND(E38*D38,2)</f>
        <v>1491.65</v>
      </c>
      <c r="G38" s="124">
        <f t="shared" ref="G38" si="24">ROUND(F38*1.2,2)</f>
        <v>1789.98</v>
      </c>
      <c r="H38" s="125"/>
      <c r="I38" s="124"/>
      <c r="J38" s="124"/>
      <c r="K38" s="125">
        <f t="shared" si="20"/>
        <v>1491.65</v>
      </c>
      <c r="L38" s="123">
        <f t="shared" si="21"/>
        <v>1789.98</v>
      </c>
      <c r="M38" s="66" t="s">
        <v>256</v>
      </c>
    </row>
    <row r="39" spans="1:13" ht="17.25" customHeight="1" x14ac:dyDescent="0.25">
      <c r="A39" s="44" t="s">
        <v>65</v>
      </c>
      <c r="B39" s="73" t="s">
        <v>353</v>
      </c>
      <c r="C39" s="46" t="s">
        <v>215</v>
      </c>
      <c r="D39" s="108">
        <f>D38*0.3*20/16</f>
        <v>3.8737499999999998</v>
      </c>
      <c r="E39" s="65"/>
      <c r="F39" s="49"/>
      <c r="G39" s="49"/>
      <c r="H39" s="95">
        <v>237.5</v>
      </c>
      <c r="I39" s="49">
        <f>ROUND(H39*D39,2)</f>
        <v>920.02</v>
      </c>
      <c r="J39" s="49">
        <f t="shared" ref="J39" si="25">ROUND(I39*1.2,2)</f>
        <v>1104.02</v>
      </c>
      <c r="K39" s="50">
        <f t="shared" si="20"/>
        <v>920.02</v>
      </c>
      <c r="L39" s="49">
        <f t="shared" si="21"/>
        <v>1104.02</v>
      </c>
      <c r="M39" s="66"/>
    </row>
    <row r="40" spans="1:13" ht="28.5" customHeight="1" x14ac:dyDescent="0.25">
      <c r="A40" s="121">
        <f>A38+1</f>
        <v>19</v>
      </c>
      <c r="B40" s="120" t="s">
        <v>354</v>
      </c>
      <c r="C40" s="121" t="s">
        <v>34</v>
      </c>
      <c r="D40" s="122">
        <v>10.33</v>
      </c>
      <c r="E40" s="125">
        <v>299.76</v>
      </c>
      <c r="F40" s="124">
        <f>ROUND(E40*D40,2)</f>
        <v>3096.52</v>
      </c>
      <c r="G40" s="124">
        <f t="shared" ref="G40" si="26">ROUND(F40*1.2,2)</f>
        <v>3715.82</v>
      </c>
      <c r="H40" s="125"/>
      <c r="I40" s="124"/>
      <c r="J40" s="124"/>
      <c r="K40" s="125">
        <f t="shared" si="20"/>
        <v>3096.52</v>
      </c>
      <c r="L40" s="123">
        <f t="shared" si="21"/>
        <v>3715.82</v>
      </c>
      <c r="M40" s="66" t="s">
        <v>256</v>
      </c>
    </row>
    <row r="41" spans="1:13" ht="17.25" customHeight="1" x14ac:dyDescent="0.25">
      <c r="A41" s="44" t="s">
        <v>67</v>
      </c>
      <c r="B41" s="73" t="s">
        <v>355</v>
      </c>
      <c r="C41" s="46" t="s">
        <v>126</v>
      </c>
      <c r="D41" s="47">
        <f>D40*2.5*2</f>
        <v>51.65</v>
      </c>
      <c r="E41" s="65"/>
      <c r="F41" s="49"/>
      <c r="G41" s="49"/>
      <c r="H41" s="95">
        <v>296.39999999999998</v>
      </c>
      <c r="I41" s="49">
        <f t="shared" ref="I41" si="27">ROUND(H41*D41,2)</f>
        <v>15309.06</v>
      </c>
      <c r="J41" s="49">
        <f t="shared" ref="J41" si="28">ROUND(I41*1.2,2)</f>
        <v>18370.87</v>
      </c>
      <c r="K41" s="65">
        <f t="shared" si="20"/>
        <v>15309.06</v>
      </c>
      <c r="L41" s="63">
        <f t="shared" si="21"/>
        <v>18370.87</v>
      </c>
      <c r="M41" s="66"/>
    </row>
    <row r="42" spans="1:13" ht="18.75" customHeight="1" x14ac:dyDescent="0.25">
      <c r="A42" s="30"/>
      <c r="B42" s="112" t="s">
        <v>470</v>
      </c>
      <c r="C42" s="91"/>
      <c r="D42" s="92"/>
      <c r="E42" s="114"/>
      <c r="F42" s="35"/>
      <c r="G42" s="35"/>
      <c r="H42" s="62"/>
      <c r="I42" s="35"/>
      <c r="J42" s="35"/>
      <c r="K42" s="59"/>
      <c r="L42" s="41"/>
    </row>
    <row r="43" spans="1:13" ht="30.75" customHeight="1" x14ac:dyDescent="0.25">
      <c r="A43" s="121">
        <f>A40+1</f>
        <v>20</v>
      </c>
      <c r="B43" s="120" t="s">
        <v>173</v>
      </c>
      <c r="C43" s="121" t="s">
        <v>24</v>
      </c>
      <c r="D43" s="135">
        <f>1*0.18+2*0.4+1*0.27</f>
        <v>1.25</v>
      </c>
      <c r="E43" s="125">
        <v>17265.68</v>
      </c>
      <c r="F43" s="124">
        <f t="shared" ref="F43" si="29">ROUND(E43*D43,2)</f>
        <v>21582.1</v>
      </c>
      <c r="G43" s="124">
        <f t="shared" ref="G43" si="30">ROUND(F43*1.2,2)</f>
        <v>25898.52</v>
      </c>
      <c r="H43" s="145"/>
      <c r="I43" s="124"/>
      <c r="J43" s="124"/>
      <c r="K43" s="125">
        <f t="shared" ref="K43:K52" si="31">F43+I43</f>
        <v>21582.1</v>
      </c>
      <c r="L43" s="123">
        <f t="shared" ref="L43:L52" si="32">G43+J43</f>
        <v>25898.52</v>
      </c>
    </row>
    <row r="44" spans="1:13" ht="18.75" customHeight="1" x14ac:dyDescent="0.25">
      <c r="A44" s="44" t="s">
        <v>72</v>
      </c>
      <c r="B44" s="73" t="s">
        <v>445</v>
      </c>
      <c r="C44" s="46" t="s">
        <v>63</v>
      </c>
      <c r="D44" s="67">
        <v>1</v>
      </c>
      <c r="E44" s="65"/>
      <c r="F44" s="49"/>
      <c r="G44" s="49"/>
      <c r="H44" s="95">
        <v>4336.75</v>
      </c>
      <c r="I44" s="49">
        <f t="shared" ref="I44:I47" si="33">ROUND(H44*D44,2)</f>
        <v>4336.75</v>
      </c>
      <c r="J44" s="49">
        <f t="shared" ref="J44:J47" si="34">ROUND(I44*1.2,2)</f>
        <v>5204.1000000000004</v>
      </c>
      <c r="K44" s="50">
        <f t="shared" si="31"/>
        <v>4336.75</v>
      </c>
      <c r="L44" s="49">
        <f t="shared" si="32"/>
        <v>5204.1000000000004</v>
      </c>
      <c r="M44" s="64"/>
    </row>
    <row r="45" spans="1:13" ht="18.75" customHeight="1" x14ac:dyDescent="0.25">
      <c r="A45" s="44" t="s">
        <v>167</v>
      </c>
      <c r="B45" s="73" t="s">
        <v>471</v>
      </c>
      <c r="C45" s="46" t="s">
        <v>63</v>
      </c>
      <c r="D45" s="67">
        <v>2</v>
      </c>
      <c r="E45" s="65"/>
      <c r="F45" s="49"/>
      <c r="G45" s="49"/>
      <c r="H45" s="95">
        <v>4807</v>
      </c>
      <c r="I45" s="49">
        <f t="shared" si="33"/>
        <v>9614</v>
      </c>
      <c r="J45" s="49">
        <f t="shared" si="34"/>
        <v>11536.8</v>
      </c>
      <c r="K45" s="50">
        <f t="shared" si="31"/>
        <v>9614</v>
      </c>
      <c r="L45" s="49">
        <f t="shared" si="32"/>
        <v>11536.8</v>
      </c>
      <c r="M45" s="64"/>
    </row>
    <row r="46" spans="1:13" ht="18.75" customHeight="1" x14ac:dyDescent="0.25">
      <c r="A46" s="44" t="s">
        <v>473</v>
      </c>
      <c r="B46" s="73" t="s">
        <v>472</v>
      </c>
      <c r="C46" s="46" t="s">
        <v>63</v>
      </c>
      <c r="D46" s="67">
        <v>1</v>
      </c>
      <c r="E46" s="65"/>
      <c r="F46" s="49"/>
      <c r="G46" s="49"/>
      <c r="H46" s="95">
        <v>4075.5</v>
      </c>
      <c r="I46" s="49">
        <f t="shared" si="33"/>
        <v>4075.5</v>
      </c>
      <c r="J46" s="49">
        <f t="shared" si="34"/>
        <v>4890.6000000000004</v>
      </c>
      <c r="K46" s="50">
        <f t="shared" si="31"/>
        <v>4075.5</v>
      </c>
      <c r="L46" s="49">
        <f t="shared" si="32"/>
        <v>4890.6000000000004</v>
      </c>
      <c r="M46" s="64"/>
    </row>
    <row r="47" spans="1:13" ht="18.75" customHeight="1" x14ac:dyDescent="0.25">
      <c r="A47" s="44" t="s">
        <v>474</v>
      </c>
      <c r="B47" s="73" t="s">
        <v>183</v>
      </c>
      <c r="C47" s="46" t="s">
        <v>63</v>
      </c>
      <c r="D47" s="67">
        <v>1</v>
      </c>
      <c r="E47" s="65"/>
      <c r="F47" s="49"/>
      <c r="G47" s="49"/>
      <c r="H47" s="95">
        <v>14421</v>
      </c>
      <c r="I47" s="49">
        <f t="shared" si="33"/>
        <v>14421</v>
      </c>
      <c r="J47" s="49">
        <f t="shared" si="34"/>
        <v>17305.2</v>
      </c>
      <c r="K47" s="50">
        <f t="shared" si="31"/>
        <v>14421</v>
      </c>
      <c r="L47" s="49">
        <f t="shared" si="32"/>
        <v>17305.2</v>
      </c>
      <c r="M47" s="64"/>
    </row>
    <row r="48" spans="1:13" ht="18.75" customHeight="1" x14ac:dyDescent="0.25">
      <c r="A48" s="44" t="s">
        <v>475</v>
      </c>
      <c r="B48" s="73" t="s">
        <v>534</v>
      </c>
      <c r="C48" s="46" t="s">
        <v>126</v>
      </c>
      <c r="D48" s="104">
        <v>29.2</v>
      </c>
      <c r="E48" s="65"/>
      <c r="F48" s="49"/>
      <c r="G48" s="49"/>
      <c r="H48" s="97">
        <v>666.9</v>
      </c>
      <c r="I48" s="49">
        <f>ROUND(H48*D48,2)</f>
        <v>19473.48</v>
      </c>
      <c r="J48" s="49">
        <f>ROUND(I48*1.2,2)</f>
        <v>23368.18</v>
      </c>
      <c r="K48" s="50">
        <f t="shared" si="31"/>
        <v>19473.48</v>
      </c>
      <c r="L48" s="49">
        <f t="shared" si="32"/>
        <v>23368.18</v>
      </c>
      <c r="M48" s="64"/>
    </row>
    <row r="49" spans="1:13" ht="27.75" customHeight="1" x14ac:dyDescent="0.25">
      <c r="A49" s="121">
        <f>A43+1</f>
        <v>21</v>
      </c>
      <c r="B49" s="120" t="s">
        <v>352</v>
      </c>
      <c r="C49" s="121" t="s">
        <v>34</v>
      </c>
      <c r="D49" s="122">
        <v>15.06</v>
      </c>
      <c r="E49" s="125">
        <v>144.4</v>
      </c>
      <c r="F49" s="124">
        <f>ROUND(E49*D49,2)</f>
        <v>2174.66</v>
      </c>
      <c r="G49" s="124">
        <f t="shared" ref="G49" si="35">ROUND(F49*1.2,2)</f>
        <v>2609.59</v>
      </c>
      <c r="H49" s="125"/>
      <c r="I49" s="124"/>
      <c r="J49" s="124"/>
      <c r="K49" s="125">
        <f t="shared" si="31"/>
        <v>2174.66</v>
      </c>
      <c r="L49" s="123">
        <f t="shared" si="32"/>
        <v>2609.59</v>
      </c>
      <c r="M49" s="66" t="s">
        <v>256</v>
      </c>
    </row>
    <row r="50" spans="1:13" ht="17.25" customHeight="1" x14ac:dyDescent="0.25">
      <c r="A50" s="44" t="s">
        <v>74</v>
      </c>
      <c r="B50" s="73" t="s">
        <v>353</v>
      </c>
      <c r="C50" s="46" t="s">
        <v>215</v>
      </c>
      <c r="D50" s="108">
        <f>D49*0.3*20/16</f>
        <v>5.6475</v>
      </c>
      <c r="E50" s="65"/>
      <c r="F50" s="49"/>
      <c r="G50" s="49"/>
      <c r="H50" s="95">
        <v>237.5</v>
      </c>
      <c r="I50" s="49">
        <f>ROUND(H50*D50,2)</f>
        <v>1341.28</v>
      </c>
      <c r="J50" s="49">
        <f t="shared" ref="J50" si="36">ROUND(I50*1.2,2)</f>
        <v>1609.54</v>
      </c>
      <c r="K50" s="50">
        <f t="shared" si="31"/>
        <v>1341.28</v>
      </c>
      <c r="L50" s="49">
        <f t="shared" si="32"/>
        <v>1609.54</v>
      </c>
      <c r="M50" s="66"/>
    </row>
    <row r="51" spans="1:13" ht="28.5" customHeight="1" x14ac:dyDescent="0.25">
      <c r="A51" s="121">
        <f>A49+1</f>
        <v>22</v>
      </c>
      <c r="B51" s="120" t="s">
        <v>354</v>
      </c>
      <c r="C51" s="121" t="s">
        <v>34</v>
      </c>
      <c r="D51" s="122">
        <v>15.06</v>
      </c>
      <c r="E51" s="125">
        <v>299.76</v>
      </c>
      <c r="F51" s="124">
        <f>ROUND(E51*D51,2)</f>
        <v>4514.3900000000003</v>
      </c>
      <c r="G51" s="124">
        <f t="shared" ref="G51" si="37">ROUND(F51*1.2,2)</f>
        <v>5417.27</v>
      </c>
      <c r="H51" s="125"/>
      <c r="I51" s="124"/>
      <c r="J51" s="124"/>
      <c r="K51" s="125">
        <f t="shared" si="31"/>
        <v>4514.3900000000003</v>
      </c>
      <c r="L51" s="123">
        <f t="shared" si="32"/>
        <v>5417.27</v>
      </c>
      <c r="M51" s="66" t="s">
        <v>256</v>
      </c>
    </row>
    <row r="52" spans="1:13" x14ac:dyDescent="0.25">
      <c r="A52" s="44" t="s">
        <v>78</v>
      </c>
      <c r="B52" s="73" t="s">
        <v>355</v>
      </c>
      <c r="C52" s="46" t="s">
        <v>126</v>
      </c>
      <c r="D52" s="47">
        <f>D51*2.5*2</f>
        <v>75.3</v>
      </c>
      <c r="E52" s="65"/>
      <c r="F52" s="49"/>
      <c r="G52" s="49"/>
      <c r="H52" s="95">
        <v>296.39999999999998</v>
      </c>
      <c r="I52" s="49">
        <f t="shared" ref="I52" si="38">ROUND(H52*D52,2)</f>
        <v>22318.92</v>
      </c>
      <c r="J52" s="49">
        <f t="shared" ref="J52" si="39">ROUND(I52*1.2,2)</f>
        <v>26782.7</v>
      </c>
      <c r="K52" s="65">
        <f t="shared" si="31"/>
        <v>22318.92</v>
      </c>
      <c r="L52" s="63">
        <f t="shared" si="32"/>
        <v>26782.7</v>
      </c>
      <c r="M52" s="66"/>
    </row>
    <row r="53" spans="1:13" ht="22.5" customHeight="1" x14ac:dyDescent="0.25">
      <c r="A53" s="44"/>
      <c r="B53" s="42" t="s">
        <v>52</v>
      </c>
      <c r="C53" s="38"/>
      <c r="D53" s="52"/>
      <c r="E53" s="53"/>
      <c r="F53" s="54"/>
      <c r="G53" s="55"/>
      <c r="H53" s="62"/>
      <c r="I53" s="35"/>
      <c r="J53" s="35"/>
      <c r="K53" s="32"/>
      <c r="L53" s="35"/>
    </row>
    <row r="54" spans="1:13" ht="37.5" customHeight="1" x14ac:dyDescent="0.25">
      <c r="A54" s="119">
        <f>A51+1</f>
        <v>23</v>
      </c>
      <c r="B54" s="120" t="s">
        <v>476</v>
      </c>
      <c r="C54" s="121" t="s">
        <v>22</v>
      </c>
      <c r="D54" s="135">
        <v>12.18</v>
      </c>
      <c r="E54" s="125">
        <v>1724.25</v>
      </c>
      <c r="F54" s="124">
        <f t="shared" ref="F54" si="40">ROUND(E54*D54,2)</f>
        <v>21001.37</v>
      </c>
      <c r="G54" s="124">
        <f t="shared" ref="G54" si="41">ROUND(F54*1.2,2)</f>
        <v>25201.64</v>
      </c>
      <c r="H54" s="145"/>
      <c r="I54" s="124"/>
      <c r="J54" s="124"/>
      <c r="K54" s="125">
        <f t="shared" ref="K54:L61" si="42">F54+I54</f>
        <v>21001.37</v>
      </c>
      <c r="L54" s="123">
        <f t="shared" si="42"/>
        <v>25201.64</v>
      </c>
    </row>
    <row r="55" spans="1:13" ht="30.75" customHeight="1" x14ac:dyDescent="0.25">
      <c r="A55" s="44" t="s">
        <v>81</v>
      </c>
      <c r="B55" s="45" t="s">
        <v>477</v>
      </c>
      <c r="C55" s="46" t="s">
        <v>22</v>
      </c>
      <c r="D55" s="47">
        <f>D54*1.02</f>
        <v>12.4236</v>
      </c>
      <c r="E55" s="65"/>
      <c r="F55" s="63"/>
      <c r="G55" s="63"/>
      <c r="H55" s="63">
        <v>5747.5</v>
      </c>
      <c r="I55" s="63">
        <f>ROUND(H55*D55,2)</f>
        <v>71404.639999999999</v>
      </c>
      <c r="J55" s="63">
        <f>ROUND(I55*1.2,2)</f>
        <v>85685.57</v>
      </c>
      <c r="K55" s="65">
        <f t="shared" si="42"/>
        <v>71404.639999999999</v>
      </c>
      <c r="L55" s="63">
        <f t="shared" si="42"/>
        <v>85685.57</v>
      </c>
    </row>
    <row r="56" spans="1:13" ht="23.25" customHeight="1" x14ac:dyDescent="0.25">
      <c r="A56" s="184">
        <f>A54+1</f>
        <v>24</v>
      </c>
      <c r="B56" s="143" t="s">
        <v>550</v>
      </c>
      <c r="C56" s="129" t="s">
        <v>63</v>
      </c>
      <c r="D56" s="140">
        <v>1</v>
      </c>
      <c r="E56" s="133">
        <v>3190.34</v>
      </c>
      <c r="F56" s="131">
        <f t="shared" ref="F56" si="43">ROUND(E56*D56,2)</f>
        <v>3190.34</v>
      </c>
      <c r="G56" s="131">
        <f t="shared" ref="G56" si="44">ROUND(F56*1.2,2)</f>
        <v>3828.41</v>
      </c>
      <c r="H56" s="151"/>
      <c r="I56" s="131"/>
      <c r="J56" s="131"/>
      <c r="K56" s="133">
        <f t="shared" si="42"/>
        <v>3190.34</v>
      </c>
      <c r="L56" s="131">
        <f t="shared" si="42"/>
        <v>3828.41</v>
      </c>
      <c r="M56" s="64"/>
    </row>
    <row r="57" spans="1:13" ht="36.75" customHeight="1" x14ac:dyDescent="0.25">
      <c r="A57" s="119">
        <f>A54+1</f>
        <v>24</v>
      </c>
      <c r="B57" s="120" t="s">
        <v>478</v>
      </c>
      <c r="C57" s="121" t="s">
        <v>22</v>
      </c>
      <c r="D57" s="135">
        <v>12.18</v>
      </c>
      <c r="E57" s="125">
        <v>1150.45</v>
      </c>
      <c r="F57" s="124">
        <f t="shared" ref="F57" si="45">ROUND(E57*D57,2)</f>
        <v>14012.48</v>
      </c>
      <c r="G57" s="124">
        <f t="shared" ref="G57" si="46">ROUND(F57*1.2,2)</f>
        <v>16814.98</v>
      </c>
      <c r="H57" s="145"/>
      <c r="I57" s="124"/>
      <c r="J57" s="124"/>
      <c r="K57" s="125">
        <f t="shared" si="42"/>
        <v>14012.48</v>
      </c>
      <c r="L57" s="123">
        <f t="shared" si="42"/>
        <v>16814.98</v>
      </c>
      <c r="M57" s="66"/>
    </row>
    <row r="58" spans="1:13" ht="21" customHeight="1" x14ac:dyDescent="0.25">
      <c r="A58" s="44" t="s">
        <v>84</v>
      </c>
      <c r="B58" s="45" t="s">
        <v>479</v>
      </c>
      <c r="C58" s="46" t="s">
        <v>22</v>
      </c>
      <c r="D58" s="47">
        <f>D57*1.02</f>
        <v>12.4236</v>
      </c>
      <c r="E58" s="65"/>
      <c r="F58" s="49"/>
      <c r="G58" s="49"/>
      <c r="H58" s="49">
        <v>783.75</v>
      </c>
      <c r="I58" s="49">
        <f>ROUND(H58*D58,2)</f>
        <v>9737</v>
      </c>
      <c r="J58" s="49">
        <f>ROUND(I58*1.2,2)</f>
        <v>11684.4</v>
      </c>
      <c r="K58" s="50">
        <f t="shared" si="42"/>
        <v>9737</v>
      </c>
      <c r="L58" s="49">
        <f t="shared" si="42"/>
        <v>11684.4</v>
      </c>
    </row>
    <row r="59" spans="1:13" ht="24.75" customHeight="1" x14ac:dyDescent="0.25">
      <c r="A59" s="44" t="s">
        <v>175</v>
      </c>
      <c r="B59" s="45" t="s">
        <v>480</v>
      </c>
      <c r="C59" s="46" t="s">
        <v>63</v>
      </c>
      <c r="D59" s="67">
        <v>6</v>
      </c>
      <c r="E59" s="65"/>
      <c r="F59" s="49"/>
      <c r="G59" s="49"/>
      <c r="H59" s="49">
        <v>919.6</v>
      </c>
      <c r="I59" s="49">
        <f>ROUND(H59*D59,2)</f>
        <v>5517.6</v>
      </c>
      <c r="J59" s="49">
        <f>ROUND(I59*1.2,2)</f>
        <v>6621.12</v>
      </c>
      <c r="K59" s="50">
        <f t="shared" si="42"/>
        <v>5517.6</v>
      </c>
      <c r="L59" s="49">
        <f t="shared" si="42"/>
        <v>6621.12</v>
      </c>
    </row>
    <row r="60" spans="1:13" ht="36.75" customHeight="1" x14ac:dyDescent="0.25">
      <c r="A60" s="119">
        <f>A57+1</f>
        <v>25</v>
      </c>
      <c r="B60" s="120" t="s">
        <v>481</v>
      </c>
      <c r="C60" s="121" t="s">
        <v>22</v>
      </c>
      <c r="D60" s="135">
        <v>12.5</v>
      </c>
      <c r="E60" s="125">
        <v>1149.5</v>
      </c>
      <c r="F60" s="124">
        <f t="shared" ref="F60" si="47">ROUND(E60*D60,2)</f>
        <v>14368.75</v>
      </c>
      <c r="G60" s="124">
        <f t="shared" ref="G60" si="48">ROUND(F60*1.2,2)</f>
        <v>17242.5</v>
      </c>
      <c r="H60" s="145"/>
      <c r="I60" s="124"/>
      <c r="J60" s="124"/>
      <c r="K60" s="125">
        <f t="shared" si="42"/>
        <v>14368.75</v>
      </c>
      <c r="L60" s="123">
        <f t="shared" si="42"/>
        <v>17242.5</v>
      </c>
      <c r="M60" s="66"/>
    </row>
    <row r="61" spans="1:13" ht="21" customHeight="1" x14ac:dyDescent="0.25">
      <c r="A61" s="44" t="s">
        <v>87</v>
      </c>
      <c r="B61" s="45" t="s">
        <v>479</v>
      </c>
      <c r="C61" s="46" t="s">
        <v>22</v>
      </c>
      <c r="D61" s="47">
        <f>D60*1.02</f>
        <v>12.75</v>
      </c>
      <c r="E61" s="65"/>
      <c r="F61" s="49"/>
      <c r="G61" s="49"/>
      <c r="H61" s="49">
        <v>783.75</v>
      </c>
      <c r="I61" s="49">
        <f>ROUND(H61*D61,2)</f>
        <v>9992.81</v>
      </c>
      <c r="J61" s="49">
        <f>ROUND(I61*1.2,2)</f>
        <v>11991.37</v>
      </c>
      <c r="K61" s="50">
        <f t="shared" si="42"/>
        <v>9992.81</v>
      </c>
      <c r="L61" s="49">
        <f t="shared" si="42"/>
        <v>11991.37</v>
      </c>
    </row>
    <row r="62" spans="1:13" ht="30" x14ac:dyDescent="0.25">
      <c r="A62" s="119">
        <f>A60+1</f>
        <v>26</v>
      </c>
      <c r="B62" s="120" t="s">
        <v>559</v>
      </c>
      <c r="C62" s="121" t="s">
        <v>63</v>
      </c>
      <c r="D62" s="146">
        <v>2</v>
      </c>
      <c r="E62" s="125">
        <v>4670.4399999999996</v>
      </c>
      <c r="F62" s="124">
        <f t="shared" ref="F62" si="49">ROUND(E62*D62,2)</f>
        <v>9340.8799999999992</v>
      </c>
      <c r="G62" s="124">
        <f t="shared" ref="G62" si="50">ROUND(F62*1.2,2)</f>
        <v>11209.06</v>
      </c>
      <c r="H62" s="145"/>
      <c r="I62" s="124"/>
      <c r="J62" s="124"/>
      <c r="K62" s="125">
        <f t="shared" ref="K62:K65" si="51">F62+I62</f>
        <v>9340.8799999999992</v>
      </c>
      <c r="L62" s="123">
        <f t="shared" ref="L62:L65" si="52">G62+J62</f>
        <v>11209.06</v>
      </c>
      <c r="M62" s="21" t="s">
        <v>591</v>
      </c>
    </row>
    <row r="63" spans="1:13" x14ac:dyDescent="0.25">
      <c r="A63" s="44" t="s">
        <v>90</v>
      </c>
      <c r="B63" s="45" t="s">
        <v>558</v>
      </c>
      <c r="C63" s="46" t="s">
        <v>63</v>
      </c>
      <c r="D63" s="67">
        <v>2</v>
      </c>
      <c r="E63" s="65"/>
      <c r="F63" s="49"/>
      <c r="G63" s="49"/>
      <c r="H63" s="49">
        <v>3239.5</v>
      </c>
      <c r="I63" s="49">
        <f>ROUND(H63*D63,2)</f>
        <v>6479</v>
      </c>
      <c r="J63" s="49">
        <f>ROUND(I63*1.2,2)</f>
        <v>7774.8</v>
      </c>
      <c r="K63" s="50">
        <f t="shared" si="51"/>
        <v>6479</v>
      </c>
      <c r="L63" s="49">
        <f t="shared" si="52"/>
        <v>7774.8</v>
      </c>
      <c r="M63" s="21" t="s">
        <v>591</v>
      </c>
    </row>
    <row r="64" spans="1:13" ht="30" x14ac:dyDescent="0.25">
      <c r="A64" s="119">
        <f>A62+1</f>
        <v>27</v>
      </c>
      <c r="B64" s="120" t="s">
        <v>66</v>
      </c>
      <c r="C64" s="121" t="s">
        <v>24</v>
      </c>
      <c r="D64" s="135">
        <v>1.02</v>
      </c>
      <c r="E64" s="125">
        <v>8327.42</v>
      </c>
      <c r="F64" s="124">
        <f t="shared" ref="F64" si="53">ROUND(E64*D64,2)</f>
        <v>8493.9699999999993</v>
      </c>
      <c r="G64" s="124">
        <f t="shared" ref="G64" si="54">ROUND(F64*1.2,2)</f>
        <v>10192.76</v>
      </c>
      <c r="H64" s="145"/>
      <c r="I64" s="124"/>
      <c r="J64" s="124"/>
      <c r="K64" s="125">
        <f t="shared" si="51"/>
        <v>8493.9699999999993</v>
      </c>
      <c r="L64" s="123">
        <f t="shared" si="52"/>
        <v>10192.76</v>
      </c>
    </row>
    <row r="65" spans="1:13" x14ac:dyDescent="0.25">
      <c r="A65" s="44" t="s">
        <v>93</v>
      </c>
      <c r="B65" s="45" t="s">
        <v>68</v>
      </c>
      <c r="C65" s="46" t="s">
        <v>24</v>
      </c>
      <c r="D65" s="47">
        <v>1.02</v>
      </c>
      <c r="E65" s="65"/>
      <c r="F65" s="49"/>
      <c r="G65" s="49"/>
      <c r="H65" s="49">
        <v>3657.5</v>
      </c>
      <c r="I65" s="49">
        <f t="shared" ref="I65" si="55">ROUND(H65*D65,2)</f>
        <v>3730.65</v>
      </c>
      <c r="J65" s="49">
        <f t="shared" ref="J65" si="56">ROUND(I65*1.2,2)</f>
        <v>4476.78</v>
      </c>
      <c r="K65" s="50">
        <f t="shared" si="51"/>
        <v>3730.65</v>
      </c>
      <c r="L65" s="49">
        <f t="shared" si="52"/>
        <v>4476.78</v>
      </c>
      <c r="M65" s="64"/>
    </row>
    <row r="66" spans="1:13" s="61" customFormat="1" ht="20.25" customHeight="1" x14ac:dyDescent="0.25">
      <c r="A66" s="44"/>
      <c r="B66" s="42" t="s">
        <v>482</v>
      </c>
      <c r="C66" s="38"/>
      <c r="D66" s="96"/>
      <c r="E66" s="35"/>
      <c r="F66" s="35"/>
      <c r="G66" s="35"/>
      <c r="H66" s="35"/>
      <c r="I66" s="35"/>
      <c r="J66" s="35"/>
      <c r="K66" s="32"/>
      <c r="L66" s="35"/>
      <c r="M66" s="40"/>
    </row>
    <row r="67" spans="1:13" ht="24" customHeight="1" x14ac:dyDescent="0.25">
      <c r="A67" s="129">
        <f>A64+1</f>
        <v>28</v>
      </c>
      <c r="B67" s="143" t="s">
        <v>483</v>
      </c>
      <c r="C67" s="129" t="s">
        <v>63</v>
      </c>
      <c r="D67" s="140">
        <v>1</v>
      </c>
      <c r="E67" s="151">
        <v>4704.3999999999996</v>
      </c>
      <c r="F67" s="132">
        <f>ROUND(E67*D67,2)</f>
        <v>4704.3999999999996</v>
      </c>
      <c r="G67" s="132">
        <f t="shared" ref="G67" si="57">ROUND(F67*1.2,2)</f>
        <v>5645.28</v>
      </c>
      <c r="H67" s="133"/>
      <c r="I67" s="132"/>
      <c r="J67" s="132"/>
      <c r="K67" s="133">
        <f t="shared" ref="K67:L99" si="58">F67+I67</f>
        <v>4704.3999999999996</v>
      </c>
      <c r="L67" s="131">
        <f t="shared" si="58"/>
        <v>5645.28</v>
      </c>
      <c r="M67" s="66"/>
    </row>
    <row r="68" spans="1:13" ht="18" customHeight="1" x14ac:dyDescent="0.25">
      <c r="A68" s="44" t="s">
        <v>97</v>
      </c>
      <c r="B68" s="73" t="s">
        <v>484</v>
      </c>
      <c r="C68" s="46" t="s">
        <v>63</v>
      </c>
      <c r="D68" s="67">
        <v>1</v>
      </c>
      <c r="E68" s="65"/>
      <c r="F68" s="49"/>
      <c r="G68" s="49"/>
      <c r="H68" s="95">
        <v>2870</v>
      </c>
      <c r="I68" s="49">
        <f t="shared" ref="I68" si="59">ROUND(H68*D68,2)</f>
        <v>2870</v>
      </c>
      <c r="J68" s="49">
        <f t="shared" ref="J68" si="60">ROUND(I68*1.2,2)</f>
        <v>3444</v>
      </c>
      <c r="K68" s="65">
        <f t="shared" ref="K68:K69" si="61">F68+I68</f>
        <v>2870</v>
      </c>
      <c r="L68" s="63">
        <f t="shared" ref="L68:L69" si="62">G68+J68</f>
        <v>3444</v>
      </c>
      <c r="M68" s="66"/>
    </row>
    <row r="69" spans="1:13" ht="24" customHeight="1" x14ac:dyDescent="0.25">
      <c r="A69" s="129">
        <f>A67+1</f>
        <v>29</v>
      </c>
      <c r="B69" s="143" t="s">
        <v>485</v>
      </c>
      <c r="C69" s="129" t="s">
        <v>63</v>
      </c>
      <c r="D69" s="140">
        <v>1</v>
      </c>
      <c r="E69" s="133">
        <f>ROUND(1468.66*1.33,2)</f>
        <v>1953.32</v>
      </c>
      <c r="F69" s="132">
        <f>ROUND(E69*D69,2)</f>
        <v>1953.32</v>
      </c>
      <c r="G69" s="132">
        <f t="shared" ref="G69" si="63">ROUND(F69*1.2,2)</f>
        <v>2343.98</v>
      </c>
      <c r="H69" s="133"/>
      <c r="I69" s="132"/>
      <c r="J69" s="132"/>
      <c r="K69" s="133">
        <f t="shared" si="61"/>
        <v>1953.32</v>
      </c>
      <c r="L69" s="131">
        <f t="shared" si="62"/>
        <v>2343.98</v>
      </c>
      <c r="M69" s="66"/>
    </row>
    <row r="70" spans="1:13" ht="18" customHeight="1" x14ac:dyDescent="0.25">
      <c r="A70" s="44" t="s">
        <v>100</v>
      </c>
      <c r="B70" s="73" t="s">
        <v>486</v>
      </c>
      <c r="C70" s="46" t="s">
        <v>63</v>
      </c>
      <c r="D70" s="67">
        <v>1</v>
      </c>
      <c r="E70" s="65"/>
      <c r="F70" s="49"/>
      <c r="G70" s="49"/>
      <c r="H70" s="65">
        <f>ROUND(2208.64/1.2*1.15,2)</f>
        <v>2116.61</v>
      </c>
      <c r="I70" s="49">
        <f t="shared" ref="I70" si="64">ROUND(H70*D70,2)</f>
        <v>2116.61</v>
      </c>
      <c r="J70" s="49">
        <f t="shared" ref="J70" si="65">ROUND(I70*1.2,2)</f>
        <v>2539.9299999999998</v>
      </c>
      <c r="K70" s="65">
        <f t="shared" ref="K70:K71" si="66">F70+I70</f>
        <v>2116.61</v>
      </c>
      <c r="L70" s="63">
        <f t="shared" ref="L70:L71" si="67">G70+J70</f>
        <v>2539.9299999999998</v>
      </c>
      <c r="M70" s="66"/>
    </row>
    <row r="71" spans="1:13" ht="34.5" customHeight="1" x14ac:dyDescent="0.25">
      <c r="A71" s="129">
        <f>A69+1</f>
        <v>30</v>
      </c>
      <c r="B71" s="143" t="s">
        <v>487</v>
      </c>
      <c r="C71" s="129" t="s">
        <v>63</v>
      </c>
      <c r="D71" s="140">
        <v>1</v>
      </c>
      <c r="E71" s="151">
        <v>6232.95</v>
      </c>
      <c r="F71" s="132">
        <f>ROUND(E71*D71,2)</f>
        <v>6232.95</v>
      </c>
      <c r="G71" s="132">
        <f t="shared" ref="G71" si="68">ROUND(F71*1.2,2)</f>
        <v>7479.54</v>
      </c>
      <c r="H71" s="133"/>
      <c r="I71" s="132"/>
      <c r="J71" s="132"/>
      <c r="K71" s="133">
        <f t="shared" si="66"/>
        <v>6232.95</v>
      </c>
      <c r="L71" s="131">
        <f t="shared" si="67"/>
        <v>7479.54</v>
      </c>
      <c r="M71" s="66"/>
    </row>
    <row r="72" spans="1:13" ht="18" customHeight="1" x14ac:dyDescent="0.25">
      <c r="A72" s="44" t="s">
        <v>103</v>
      </c>
      <c r="B72" s="73" t="s">
        <v>488</v>
      </c>
      <c r="C72" s="46" t="s">
        <v>63</v>
      </c>
      <c r="D72" s="67">
        <v>1</v>
      </c>
      <c r="E72" s="65"/>
      <c r="F72" s="49"/>
      <c r="G72" s="49"/>
      <c r="H72" s="95">
        <v>2116.61</v>
      </c>
      <c r="I72" s="49">
        <f t="shared" ref="I72" si="69">ROUND(H72*D72,2)</f>
        <v>2116.61</v>
      </c>
      <c r="J72" s="49">
        <f t="shared" ref="J72" si="70">ROUND(I72*1.2,2)</f>
        <v>2539.9299999999998</v>
      </c>
      <c r="K72" s="65">
        <f t="shared" ref="K72:K73" si="71">F72+I72</f>
        <v>2116.61</v>
      </c>
      <c r="L72" s="63">
        <f t="shared" ref="L72:L73" si="72">G72+J72</f>
        <v>2539.9299999999998</v>
      </c>
      <c r="M72" s="66"/>
    </row>
    <row r="73" spans="1:13" ht="34.5" customHeight="1" x14ac:dyDescent="0.25">
      <c r="A73" s="129">
        <f>A71+1</f>
        <v>31</v>
      </c>
      <c r="B73" s="143" t="s">
        <v>489</v>
      </c>
      <c r="C73" s="129" t="s">
        <v>63</v>
      </c>
      <c r="D73" s="140">
        <v>1</v>
      </c>
      <c r="E73" s="151">
        <v>6546.68</v>
      </c>
      <c r="F73" s="132">
        <f>ROUND(E73*D73,2)</f>
        <v>6546.68</v>
      </c>
      <c r="G73" s="132">
        <f t="shared" ref="G73" si="73">ROUND(F73*1.2,2)</f>
        <v>7856.02</v>
      </c>
      <c r="H73" s="133"/>
      <c r="I73" s="132"/>
      <c r="J73" s="132"/>
      <c r="K73" s="133">
        <f t="shared" si="71"/>
        <v>6546.68</v>
      </c>
      <c r="L73" s="131">
        <f t="shared" si="72"/>
        <v>7856.02</v>
      </c>
      <c r="M73" s="66"/>
    </row>
    <row r="74" spans="1:13" ht="33" customHeight="1" x14ac:dyDescent="0.25">
      <c r="A74" s="44" t="s">
        <v>106</v>
      </c>
      <c r="B74" s="73" t="s">
        <v>490</v>
      </c>
      <c r="C74" s="46" t="s">
        <v>63</v>
      </c>
      <c r="D74" s="67">
        <v>1</v>
      </c>
      <c r="E74" s="65"/>
      <c r="F74" s="49"/>
      <c r="G74" s="49"/>
      <c r="H74" s="220">
        <v>3184</v>
      </c>
      <c r="I74" s="63">
        <f t="shared" ref="I74:I78" si="74">ROUND(H74*D74,2)</f>
        <v>3184</v>
      </c>
      <c r="J74" s="63">
        <f t="shared" ref="J74:J78" si="75">ROUND(I74*1.2,2)</f>
        <v>3820.8</v>
      </c>
      <c r="K74" s="65">
        <f t="shared" ref="K74:L86" si="76">F74+I74</f>
        <v>3184</v>
      </c>
      <c r="L74" s="63">
        <f t="shared" ref="L74:L84" si="77">G74+J74</f>
        <v>3820.8</v>
      </c>
      <c r="M74" s="21" t="s">
        <v>76</v>
      </c>
    </row>
    <row r="75" spans="1:13" ht="18.75" customHeight="1" x14ac:dyDescent="0.25">
      <c r="A75" s="44" t="s">
        <v>560</v>
      </c>
      <c r="B75" s="73" t="s">
        <v>286</v>
      </c>
      <c r="C75" s="46" t="s">
        <v>63</v>
      </c>
      <c r="D75" s="74">
        <v>1</v>
      </c>
      <c r="E75" s="48"/>
      <c r="F75" s="49"/>
      <c r="G75" s="49"/>
      <c r="H75" s="65">
        <f>ROUND(71.06*1.15,2)</f>
        <v>81.72</v>
      </c>
      <c r="I75" s="49">
        <f>ROUND(H75*D75,2)</f>
        <v>81.72</v>
      </c>
      <c r="J75" s="49">
        <f>ROUND(I75*1.2,2)</f>
        <v>98.06</v>
      </c>
      <c r="K75" s="50">
        <f>F75+I75</f>
        <v>81.72</v>
      </c>
      <c r="L75" s="49">
        <f>G75+J75</f>
        <v>98.06</v>
      </c>
      <c r="M75" s="21" t="s">
        <v>76</v>
      </c>
    </row>
    <row r="76" spans="1:13" ht="18.75" customHeight="1" x14ac:dyDescent="0.25">
      <c r="A76" s="44" t="s">
        <v>561</v>
      </c>
      <c r="B76" s="45" t="s">
        <v>491</v>
      </c>
      <c r="C76" s="90" t="s">
        <v>126</v>
      </c>
      <c r="D76" s="47">
        <f>ROUND(8*0.137,2)</f>
        <v>1.1000000000000001</v>
      </c>
      <c r="E76" s="65"/>
      <c r="F76" s="49"/>
      <c r="G76" s="49"/>
      <c r="H76" s="49">
        <v>120.65</v>
      </c>
      <c r="I76" s="49">
        <f t="shared" si="74"/>
        <v>132.72</v>
      </c>
      <c r="J76" s="49">
        <f t="shared" si="75"/>
        <v>159.26</v>
      </c>
      <c r="K76" s="50">
        <f t="shared" ref="K76:K80" si="78">F76+I76</f>
        <v>132.72</v>
      </c>
      <c r="L76" s="49">
        <f t="shared" si="77"/>
        <v>159.26</v>
      </c>
    </row>
    <row r="77" spans="1:13" ht="18.75" customHeight="1" x14ac:dyDescent="0.25">
      <c r="A77" s="44" t="s">
        <v>562</v>
      </c>
      <c r="B77" s="45" t="s">
        <v>492</v>
      </c>
      <c r="C77" s="90" t="s">
        <v>126</v>
      </c>
      <c r="D77" s="47">
        <f>ROUND(8*0.032,2)</f>
        <v>0.26</v>
      </c>
      <c r="E77" s="65"/>
      <c r="F77" s="49"/>
      <c r="G77" s="49"/>
      <c r="H77" s="49">
        <v>139.65</v>
      </c>
      <c r="I77" s="49">
        <f t="shared" si="74"/>
        <v>36.31</v>
      </c>
      <c r="J77" s="49">
        <f t="shared" si="75"/>
        <v>43.57</v>
      </c>
      <c r="K77" s="50">
        <f t="shared" si="78"/>
        <v>36.31</v>
      </c>
      <c r="L77" s="49">
        <f t="shared" si="77"/>
        <v>43.57</v>
      </c>
    </row>
    <row r="78" spans="1:13" ht="18.75" customHeight="1" x14ac:dyDescent="0.25">
      <c r="A78" s="44" t="s">
        <v>563</v>
      </c>
      <c r="B78" s="45" t="s">
        <v>493</v>
      </c>
      <c r="C78" s="90" t="s">
        <v>126</v>
      </c>
      <c r="D78" s="47">
        <f>ROUND(16*0.013,2)</f>
        <v>0.21</v>
      </c>
      <c r="E78" s="65"/>
      <c r="F78" s="49"/>
      <c r="G78" s="49"/>
      <c r="H78" s="49">
        <v>188.1</v>
      </c>
      <c r="I78" s="49">
        <f t="shared" si="74"/>
        <v>39.5</v>
      </c>
      <c r="J78" s="49">
        <f t="shared" si="75"/>
        <v>47.4</v>
      </c>
      <c r="K78" s="50">
        <f t="shared" si="78"/>
        <v>39.5</v>
      </c>
      <c r="L78" s="49">
        <f t="shared" si="77"/>
        <v>47.4</v>
      </c>
    </row>
    <row r="79" spans="1:13" ht="28.5" customHeight="1" x14ac:dyDescent="0.25">
      <c r="A79" s="121">
        <f>A73+1</f>
        <v>32</v>
      </c>
      <c r="B79" s="138" t="s">
        <v>387</v>
      </c>
      <c r="C79" s="121" t="s">
        <v>63</v>
      </c>
      <c r="D79" s="147">
        <v>1</v>
      </c>
      <c r="E79" s="125">
        <v>3065.79</v>
      </c>
      <c r="F79" s="124">
        <f t="shared" ref="F79" si="79">ROUND(E79*D79,2)</f>
        <v>3065.79</v>
      </c>
      <c r="G79" s="124">
        <f t="shared" ref="G79" si="80">ROUND(F79*1.2,2)</f>
        <v>3678.95</v>
      </c>
      <c r="H79" s="125"/>
      <c r="I79" s="124"/>
      <c r="J79" s="124"/>
      <c r="K79" s="125">
        <f t="shared" si="78"/>
        <v>3065.79</v>
      </c>
      <c r="L79" s="123">
        <f t="shared" si="77"/>
        <v>3678.95</v>
      </c>
      <c r="M79" s="66"/>
    </row>
    <row r="80" spans="1:13" ht="18" customHeight="1" x14ac:dyDescent="0.25">
      <c r="A80" s="44" t="s">
        <v>109</v>
      </c>
      <c r="B80" s="73" t="s">
        <v>389</v>
      </c>
      <c r="C80" s="46" t="s">
        <v>63</v>
      </c>
      <c r="D80" s="74">
        <v>1</v>
      </c>
      <c r="E80" s="65"/>
      <c r="F80" s="49"/>
      <c r="G80" s="49"/>
      <c r="H80" s="65">
        <v>6897</v>
      </c>
      <c r="I80" s="49">
        <f>ROUND(H80*D80,2)</f>
        <v>6897</v>
      </c>
      <c r="J80" s="49">
        <f>ROUND(I80*1.2,2)</f>
        <v>8276.4</v>
      </c>
      <c r="K80" s="50">
        <f t="shared" si="78"/>
        <v>6897</v>
      </c>
      <c r="L80" s="49">
        <f t="shared" si="77"/>
        <v>8276.4</v>
      </c>
      <c r="M80" s="66"/>
    </row>
    <row r="81" spans="1:13" ht="21" customHeight="1" x14ac:dyDescent="0.25">
      <c r="A81" s="121">
        <f>A79+1</f>
        <v>33</v>
      </c>
      <c r="B81" s="138" t="s">
        <v>390</v>
      </c>
      <c r="C81" s="121" t="s">
        <v>63</v>
      </c>
      <c r="D81" s="147">
        <v>1</v>
      </c>
      <c r="E81" s="125">
        <v>1389.85</v>
      </c>
      <c r="F81" s="124">
        <f t="shared" ref="F81" si="81">ROUND(E81*D81,2)</f>
        <v>1389.85</v>
      </c>
      <c r="G81" s="124">
        <f t="shared" ref="G81" si="82">ROUND(F81*1.2,2)</f>
        <v>1667.82</v>
      </c>
      <c r="H81" s="125"/>
      <c r="I81" s="124"/>
      <c r="J81" s="124"/>
      <c r="K81" s="125">
        <f t="shared" si="76"/>
        <v>1389.85</v>
      </c>
      <c r="L81" s="123">
        <f t="shared" si="77"/>
        <v>1667.82</v>
      </c>
      <c r="M81" s="66"/>
    </row>
    <row r="82" spans="1:13" ht="19.5" customHeight="1" x14ac:dyDescent="0.25">
      <c r="A82" s="44" t="s">
        <v>112</v>
      </c>
      <c r="B82" s="73" t="s">
        <v>141</v>
      </c>
      <c r="C82" s="46"/>
      <c r="D82" s="74">
        <v>1</v>
      </c>
      <c r="E82" s="65"/>
      <c r="F82" s="49"/>
      <c r="G82" s="49"/>
      <c r="H82" s="65">
        <v>585.20000000000005</v>
      </c>
      <c r="I82" s="49">
        <f>ROUND(H82*D82,2)</f>
        <v>585.20000000000005</v>
      </c>
      <c r="J82" s="49">
        <f>ROUND(I82*1.2,2)</f>
        <v>702.24</v>
      </c>
      <c r="K82" s="50">
        <f t="shared" si="76"/>
        <v>585.20000000000005</v>
      </c>
      <c r="L82" s="49">
        <f t="shared" si="77"/>
        <v>702.24</v>
      </c>
      <c r="M82" s="66"/>
    </row>
    <row r="83" spans="1:13" ht="19.5" customHeight="1" x14ac:dyDescent="0.25">
      <c r="A83" s="172">
        <f>A81+1</f>
        <v>34</v>
      </c>
      <c r="B83" s="185" t="s">
        <v>564</v>
      </c>
      <c r="C83" s="121" t="s">
        <v>63</v>
      </c>
      <c r="D83" s="146">
        <v>2</v>
      </c>
      <c r="E83" s="186">
        <v>2314.11</v>
      </c>
      <c r="F83" s="123">
        <f t="shared" ref="F83:F84" si="83">ROUND(E83*D83,2)</f>
        <v>4628.22</v>
      </c>
      <c r="G83" s="123">
        <f t="shared" ref="G83:G84" si="84">ROUND(F83*1.2,2)</f>
        <v>5553.86</v>
      </c>
      <c r="H83" s="154"/>
      <c r="I83" s="123"/>
      <c r="J83" s="123"/>
      <c r="K83" s="125">
        <f t="shared" si="76"/>
        <v>4628.22</v>
      </c>
      <c r="L83" s="123">
        <f t="shared" si="77"/>
        <v>5553.86</v>
      </c>
      <c r="M83" s="66"/>
    </row>
    <row r="84" spans="1:13" ht="19.5" customHeight="1" x14ac:dyDescent="0.25">
      <c r="A84" s="172">
        <f>A83+1</f>
        <v>35</v>
      </c>
      <c r="B84" s="185" t="s">
        <v>565</v>
      </c>
      <c r="C84" s="121" t="s">
        <v>63</v>
      </c>
      <c r="D84" s="146">
        <v>1</v>
      </c>
      <c r="E84" s="186">
        <v>2314.11</v>
      </c>
      <c r="F84" s="123">
        <f t="shared" si="83"/>
        <v>2314.11</v>
      </c>
      <c r="G84" s="123">
        <f t="shared" si="84"/>
        <v>2776.93</v>
      </c>
      <c r="H84" s="154"/>
      <c r="I84" s="123"/>
      <c r="J84" s="123"/>
      <c r="K84" s="125">
        <f t="shared" si="76"/>
        <v>2314.11</v>
      </c>
      <c r="L84" s="123">
        <f t="shared" si="77"/>
        <v>2776.93</v>
      </c>
      <c r="M84" s="66"/>
    </row>
    <row r="85" spans="1:13" ht="18" customHeight="1" x14ac:dyDescent="0.25">
      <c r="A85" s="121">
        <f>A84+1</f>
        <v>36</v>
      </c>
      <c r="B85" s="138" t="s">
        <v>423</v>
      </c>
      <c r="C85" s="121" t="s">
        <v>63</v>
      </c>
      <c r="D85" s="147">
        <v>2</v>
      </c>
      <c r="E85" s="125">
        <v>3358.25</v>
      </c>
      <c r="F85" s="124">
        <f t="shared" ref="F85" si="85">ROUND(E85*D85,2)</f>
        <v>6716.5</v>
      </c>
      <c r="G85" s="124">
        <f t="shared" ref="G85" si="86">ROUND(F85*1.2,2)</f>
        <v>8059.8</v>
      </c>
      <c r="H85" s="125"/>
      <c r="I85" s="124"/>
      <c r="J85" s="124"/>
      <c r="K85" s="125">
        <f t="shared" si="76"/>
        <v>6716.5</v>
      </c>
      <c r="L85" s="123">
        <f t="shared" si="76"/>
        <v>8059.8</v>
      </c>
      <c r="M85" s="66"/>
    </row>
    <row r="86" spans="1:13" ht="20.25" customHeight="1" x14ac:dyDescent="0.25">
      <c r="A86" s="44" t="s">
        <v>211</v>
      </c>
      <c r="B86" s="73" t="s">
        <v>424</v>
      </c>
      <c r="C86" s="46" t="s">
        <v>63</v>
      </c>
      <c r="D86" s="74">
        <v>2</v>
      </c>
      <c r="E86" s="65"/>
      <c r="F86" s="49"/>
      <c r="G86" s="49"/>
      <c r="H86" s="65">
        <v>731.5</v>
      </c>
      <c r="I86" s="49">
        <f>ROUND(H86*D86,2)</f>
        <v>1463</v>
      </c>
      <c r="J86" s="49">
        <f>ROUND(I86*1.2,2)</f>
        <v>1755.6</v>
      </c>
      <c r="K86" s="50">
        <f t="shared" si="76"/>
        <v>1463</v>
      </c>
      <c r="L86" s="49">
        <f t="shared" si="76"/>
        <v>1755.6</v>
      </c>
      <c r="M86" s="66"/>
    </row>
    <row r="87" spans="1:13" ht="18" customHeight="1" x14ac:dyDescent="0.25">
      <c r="A87" s="121">
        <f>A85+1</f>
        <v>37</v>
      </c>
      <c r="B87" s="138" t="s">
        <v>494</v>
      </c>
      <c r="C87" s="121" t="s">
        <v>63</v>
      </c>
      <c r="D87" s="147">
        <v>1</v>
      </c>
      <c r="E87" s="125">
        <v>3190.34</v>
      </c>
      <c r="F87" s="124">
        <f t="shared" ref="F87" si="87">ROUND(E87*D87,2)</f>
        <v>3190.34</v>
      </c>
      <c r="G87" s="124">
        <f t="shared" ref="G87" si="88">ROUND(F87*1.2,2)</f>
        <v>3828.41</v>
      </c>
      <c r="H87" s="125"/>
      <c r="I87" s="124"/>
      <c r="J87" s="124"/>
      <c r="K87" s="125">
        <f t="shared" ref="K87:K88" si="89">F87+I87</f>
        <v>3190.34</v>
      </c>
      <c r="L87" s="123">
        <f t="shared" ref="L87:L88" si="90">G87+J87</f>
        <v>3828.41</v>
      </c>
      <c r="M87" s="66"/>
    </row>
    <row r="88" spans="1:13" ht="20.25" customHeight="1" x14ac:dyDescent="0.25">
      <c r="A88" s="44" t="s">
        <v>121</v>
      </c>
      <c r="B88" s="73" t="s">
        <v>495</v>
      </c>
      <c r="C88" s="46" t="s">
        <v>63</v>
      </c>
      <c r="D88" s="74">
        <v>1</v>
      </c>
      <c r="E88" s="65"/>
      <c r="F88" s="49"/>
      <c r="G88" s="49"/>
      <c r="H88" s="65">
        <v>731.5</v>
      </c>
      <c r="I88" s="49">
        <f>ROUND(H88*D88,2)</f>
        <v>731.5</v>
      </c>
      <c r="J88" s="49">
        <f>ROUND(I88*1.2,2)</f>
        <v>877.8</v>
      </c>
      <c r="K88" s="50">
        <f t="shared" si="89"/>
        <v>731.5</v>
      </c>
      <c r="L88" s="49">
        <f t="shared" si="90"/>
        <v>877.8</v>
      </c>
      <c r="M88" s="66"/>
    </row>
    <row r="89" spans="1:13" ht="24.75" customHeight="1" x14ac:dyDescent="0.25">
      <c r="A89" s="38"/>
      <c r="B89" s="94" t="s">
        <v>496</v>
      </c>
      <c r="C89" s="38"/>
      <c r="D89" s="52"/>
      <c r="E89" s="59"/>
      <c r="F89" s="35"/>
      <c r="G89" s="35"/>
      <c r="H89" s="59"/>
      <c r="I89" s="35"/>
      <c r="J89" s="35"/>
      <c r="K89" s="59"/>
      <c r="L89" s="41"/>
      <c r="M89" s="66"/>
    </row>
    <row r="90" spans="1:13" ht="34.5" customHeight="1" x14ac:dyDescent="0.25">
      <c r="A90" s="121">
        <f>A87+1</f>
        <v>38</v>
      </c>
      <c r="B90" s="138" t="s">
        <v>497</v>
      </c>
      <c r="C90" s="121" t="s">
        <v>63</v>
      </c>
      <c r="D90" s="146">
        <v>1</v>
      </c>
      <c r="E90" s="125">
        <v>7035.89</v>
      </c>
      <c r="F90" s="124">
        <f>ROUND(E90*D90,2)</f>
        <v>7035.89</v>
      </c>
      <c r="G90" s="124">
        <f t="shared" ref="G90" si="91">ROUND(F90*1.2,2)</f>
        <v>8443.07</v>
      </c>
      <c r="H90" s="125"/>
      <c r="I90" s="124"/>
      <c r="J90" s="124"/>
      <c r="K90" s="125">
        <f t="shared" ref="K90" si="92">F90+I90</f>
        <v>7035.89</v>
      </c>
      <c r="L90" s="123">
        <f t="shared" ref="L90" si="93">G90+J90</f>
        <v>8443.07</v>
      </c>
      <c r="M90" s="66"/>
    </row>
    <row r="91" spans="1:13" ht="18" customHeight="1" x14ac:dyDescent="0.25">
      <c r="A91" s="44" t="s">
        <v>124</v>
      </c>
      <c r="B91" s="73" t="s">
        <v>357</v>
      </c>
      <c r="C91" s="46" t="s">
        <v>63</v>
      </c>
      <c r="D91" s="67">
        <v>1</v>
      </c>
      <c r="E91" s="65"/>
      <c r="F91" s="49"/>
      <c r="G91" s="49"/>
      <c r="H91" s="95">
        <v>16406.5</v>
      </c>
      <c r="I91" s="49">
        <f t="shared" ref="I91" si="94">ROUND(H91*D91,2)</f>
        <v>16406.5</v>
      </c>
      <c r="J91" s="49">
        <f t="shared" ref="J91" si="95">ROUND(I91*1.2,2)</f>
        <v>19687.8</v>
      </c>
      <c r="K91" s="65">
        <f t="shared" si="58"/>
        <v>16406.5</v>
      </c>
      <c r="L91" s="63">
        <f t="shared" si="58"/>
        <v>19687.8</v>
      </c>
      <c r="M91" s="66"/>
    </row>
    <row r="92" spans="1:13" ht="28.5" customHeight="1" x14ac:dyDescent="0.25">
      <c r="A92" s="121">
        <f>A90+1</f>
        <v>39</v>
      </c>
      <c r="B92" s="138" t="s">
        <v>358</v>
      </c>
      <c r="C92" s="121" t="s">
        <v>63</v>
      </c>
      <c r="D92" s="147">
        <v>1</v>
      </c>
      <c r="E92" s="125">
        <v>14312.75</v>
      </c>
      <c r="F92" s="124">
        <f t="shared" ref="F92:F98" si="96">ROUND(E92*D92,2)</f>
        <v>14312.75</v>
      </c>
      <c r="G92" s="124">
        <f t="shared" ref="G92:G98" si="97">ROUND(F92*1.2,2)</f>
        <v>17175.3</v>
      </c>
      <c r="H92" s="125"/>
      <c r="I92" s="124"/>
      <c r="J92" s="124"/>
      <c r="K92" s="125">
        <f t="shared" si="58"/>
        <v>14312.75</v>
      </c>
      <c r="L92" s="123">
        <f t="shared" si="58"/>
        <v>17175.3</v>
      </c>
      <c r="M92" s="66"/>
    </row>
    <row r="93" spans="1:13" ht="18.75" customHeight="1" x14ac:dyDescent="0.25">
      <c r="A93" s="44" t="s">
        <v>128</v>
      </c>
      <c r="B93" s="73" t="s">
        <v>359</v>
      </c>
      <c r="C93" s="46" t="s">
        <v>63</v>
      </c>
      <c r="D93" s="74">
        <v>1</v>
      </c>
      <c r="E93" s="65"/>
      <c r="F93" s="49"/>
      <c r="G93" s="49"/>
      <c r="H93" s="65">
        <v>109202.5</v>
      </c>
      <c r="I93" s="49">
        <f>ROUND(H93*D93,2)</f>
        <v>109202.5</v>
      </c>
      <c r="J93" s="49">
        <f>ROUND(I93*1.2,2)</f>
        <v>131043</v>
      </c>
      <c r="K93" s="50">
        <f t="shared" si="58"/>
        <v>109202.5</v>
      </c>
      <c r="L93" s="49">
        <f t="shared" si="58"/>
        <v>131043</v>
      </c>
      <c r="M93" s="66"/>
    </row>
    <row r="94" spans="1:13" ht="18.75" customHeight="1" x14ac:dyDescent="0.25">
      <c r="A94" s="44" t="s">
        <v>273</v>
      </c>
      <c r="B94" s="73" t="s">
        <v>274</v>
      </c>
      <c r="C94" s="46" t="s">
        <v>63</v>
      </c>
      <c r="D94" s="74">
        <v>3</v>
      </c>
      <c r="E94" s="48"/>
      <c r="F94" s="49"/>
      <c r="G94" s="49"/>
      <c r="H94" s="65">
        <f>ROUND(443.35*1.15,2)</f>
        <v>509.85</v>
      </c>
      <c r="I94" s="49">
        <f>ROUND(H94*D94,2)</f>
        <v>1529.55</v>
      </c>
      <c r="J94" s="49">
        <f>ROUND(I94*1.2,2)</f>
        <v>1835.46</v>
      </c>
      <c r="K94" s="50">
        <f t="shared" si="58"/>
        <v>1529.55</v>
      </c>
      <c r="L94" s="49">
        <f t="shared" si="58"/>
        <v>1835.46</v>
      </c>
      <c r="M94" s="21" t="s">
        <v>76</v>
      </c>
    </row>
    <row r="95" spans="1:13" ht="29.25" customHeight="1" x14ac:dyDescent="0.25">
      <c r="A95" s="44" t="s">
        <v>567</v>
      </c>
      <c r="B95" s="73" t="s">
        <v>504</v>
      </c>
      <c r="C95" s="46" t="s">
        <v>126</v>
      </c>
      <c r="D95" s="49">
        <f>36*0.243</f>
        <v>8.7479999999999993</v>
      </c>
      <c r="E95" s="65"/>
      <c r="F95" s="49"/>
      <c r="G95" s="49"/>
      <c r="H95" s="65">
        <v>120.65</v>
      </c>
      <c r="I95" s="49">
        <f>ROUND(H95*D95,2)</f>
        <v>1055.45</v>
      </c>
      <c r="J95" s="49">
        <f>ROUND(I95*1.2,2)</f>
        <v>1266.54</v>
      </c>
      <c r="K95" s="50">
        <f t="shared" si="58"/>
        <v>1055.45</v>
      </c>
      <c r="L95" s="49">
        <f t="shared" si="58"/>
        <v>1266.54</v>
      </c>
      <c r="M95" s="66"/>
    </row>
    <row r="96" spans="1:13" ht="19.5" customHeight="1" x14ac:dyDescent="0.25">
      <c r="A96" s="44" t="s">
        <v>568</v>
      </c>
      <c r="B96" s="73" t="s">
        <v>505</v>
      </c>
      <c r="C96" s="46" t="s">
        <v>126</v>
      </c>
      <c r="D96" s="49">
        <f>36*0.071</f>
        <v>2.5559999999999996</v>
      </c>
      <c r="E96" s="65"/>
      <c r="F96" s="49"/>
      <c r="G96" s="49"/>
      <c r="H96" s="65">
        <v>139.65</v>
      </c>
      <c r="I96" s="49">
        <f>ROUND(H96*D96,2)</f>
        <v>356.95</v>
      </c>
      <c r="J96" s="49">
        <f>ROUND(I96*1.2,2)</f>
        <v>428.34</v>
      </c>
      <c r="K96" s="50">
        <f t="shared" si="58"/>
        <v>356.95</v>
      </c>
      <c r="L96" s="49">
        <f t="shared" si="58"/>
        <v>428.34</v>
      </c>
      <c r="M96" s="66"/>
    </row>
    <row r="97" spans="1:13" ht="19.5" customHeight="1" x14ac:dyDescent="0.25">
      <c r="A97" s="44" t="s">
        <v>569</v>
      </c>
      <c r="B97" s="73" t="s">
        <v>506</v>
      </c>
      <c r="C97" s="46" t="s">
        <v>126</v>
      </c>
      <c r="D97" s="49">
        <f>72*0.0172</f>
        <v>1.2383999999999999</v>
      </c>
      <c r="E97" s="65"/>
      <c r="F97" s="49"/>
      <c r="G97" s="49"/>
      <c r="H97" s="65">
        <v>188.1</v>
      </c>
      <c r="I97" s="49">
        <f>ROUND(H97*D97,2)</f>
        <v>232.94</v>
      </c>
      <c r="J97" s="49">
        <f>ROUND(I97*1.2,2)</f>
        <v>279.52999999999997</v>
      </c>
      <c r="K97" s="50">
        <f t="shared" si="58"/>
        <v>232.94</v>
      </c>
      <c r="L97" s="49">
        <f t="shared" si="58"/>
        <v>279.52999999999997</v>
      </c>
      <c r="M97" s="66"/>
    </row>
    <row r="98" spans="1:13" ht="31.5" customHeight="1" x14ac:dyDescent="0.25">
      <c r="A98" s="121">
        <f>A92+1</f>
        <v>40</v>
      </c>
      <c r="B98" s="138" t="s">
        <v>360</v>
      </c>
      <c r="C98" s="121" t="s">
        <v>63</v>
      </c>
      <c r="D98" s="147">
        <v>2</v>
      </c>
      <c r="E98" s="125">
        <v>5650.6</v>
      </c>
      <c r="F98" s="124">
        <f t="shared" si="96"/>
        <v>11301.2</v>
      </c>
      <c r="G98" s="124">
        <f t="shared" si="97"/>
        <v>13561.44</v>
      </c>
      <c r="H98" s="125"/>
      <c r="I98" s="124"/>
      <c r="J98" s="124"/>
      <c r="K98" s="125">
        <f t="shared" si="58"/>
        <v>11301.2</v>
      </c>
      <c r="L98" s="123">
        <f t="shared" si="58"/>
        <v>13561.44</v>
      </c>
      <c r="M98" s="66"/>
    </row>
    <row r="99" spans="1:13" ht="18" customHeight="1" x14ac:dyDescent="0.25">
      <c r="A99" s="44" t="s">
        <v>132</v>
      </c>
      <c r="B99" s="73" t="s">
        <v>361</v>
      </c>
      <c r="C99" s="46" t="s">
        <v>63</v>
      </c>
      <c r="D99" s="74">
        <v>2</v>
      </c>
      <c r="E99" s="65"/>
      <c r="F99" s="49"/>
      <c r="G99" s="49"/>
      <c r="H99" s="65">
        <v>30988.05</v>
      </c>
      <c r="I99" s="49">
        <f>ROUND(H99*D99,2)</f>
        <v>61976.1</v>
      </c>
      <c r="J99" s="49">
        <f>ROUND(I99*1.2,2)</f>
        <v>74371.320000000007</v>
      </c>
      <c r="K99" s="50">
        <f t="shared" si="58"/>
        <v>61976.1</v>
      </c>
      <c r="L99" s="49">
        <f t="shared" si="58"/>
        <v>74371.320000000007</v>
      </c>
      <c r="M99" s="66"/>
    </row>
    <row r="100" spans="1:13" ht="18.75" customHeight="1" x14ac:dyDescent="0.25">
      <c r="A100" s="44" t="s">
        <v>277</v>
      </c>
      <c r="B100" s="73" t="s">
        <v>566</v>
      </c>
      <c r="C100" s="46" t="s">
        <v>63</v>
      </c>
      <c r="D100" s="74">
        <v>4</v>
      </c>
      <c r="E100" s="48"/>
      <c r="F100" s="49"/>
      <c r="G100" s="49"/>
      <c r="H100" s="65">
        <f>ROUND(443.35*1.15,2)</f>
        <v>509.85</v>
      </c>
      <c r="I100" s="49">
        <f>ROUND(H100*D100,2)</f>
        <v>2039.4</v>
      </c>
      <c r="J100" s="49">
        <f>ROUND(I100*1.2,2)</f>
        <v>2447.2800000000002</v>
      </c>
      <c r="K100" s="50">
        <f t="shared" ref="K100" si="98">F100+I100</f>
        <v>2039.4</v>
      </c>
      <c r="L100" s="49">
        <f t="shared" ref="L100" si="99">G100+J100</f>
        <v>2447.2800000000002</v>
      </c>
      <c r="M100" s="21" t="s">
        <v>76</v>
      </c>
    </row>
    <row r="101" spans="1:13" ht="18.75" customHeight="1" x14ac:dyDescent="0.25">
      <c r="A101" s="44" t="s">
        <v>570</v>
      </c>
      <c r="B101" s="45" t="s">
        <v>503</v>
      </c>
      <c r="C101" s="90" t="s">
        <v>126</v>
      </c>
      <c r="D101" s="47">
        <f>ROUND(32*0.137,2)</f>
        <v>4.38</v>
      </c>
      <c r="E101" s="65"/>
      <c r="F101" s="49"/>
      <c r="G101" s="49"/>
      <c r="H101" s="49">
        <v>120.65</v>
      </c>
      <c r="I101" s="49">
        <f t="shared" ref="I101:I103" si="100">ROUND(H101*D101,2)</f>
        <v>528.45000000000005</v>
      </c>
      <c r="J101" s="49">
        <f t="shared" ref="J101:J103" si="101">ROUND(I101*1.2,2)</f>
        <v>634.14</v>
      </c>
      <c r="K101" s="50">
        <f t="shared" ref="K101:K103" si="102">F101+I101</f>
        <v>528.45000000000005</v>
      </c>
      <c r="L101" s="49">
        <f t="shared" ref="L101:L103" si="103">G101+J101</f>
        <v>634.14</v>
      </c>
    </row>
    <row r="102" spans="1:13" ht="18.75" customHeight="1" x14ac:dyDescent="0.25">
      <c r="A102" s="44" t="s">
        <v>571</v>
      </c>
      <c r="B102" s="45" t="s">
        <v>501</v>
      </c>
      <c r="C102" s="90" t="s">
        <v>126</v>
      </c>
      <c r="D102" s="47">
        <f>ROUND(32*0.032,2)</f>
        <v>1.02</v>
      </c>
      <c r="E102" s="65"/>
      <c r="F102" s="49"/>
      <c r="G102" s="49"/>
      <c r="H102" s="49">
        <v>139.65</v>
      </c>
      <c r="I102" s="49">
        <f t="shared" si="100"/>
        <v>142.44</v>
      </c>
      <c r="J102" s="49">
        <f t="shared" si="101"/>
        <v>170.93</v>
      </c>
      <c r="K102" s="50">
        <f t="shared" si="102"/>
        <v>142.44</v>
      </c>
      <c r="L102" s="49">
        <f t="shared" si="103"/>
        <v>170.93</v>
      </c>
    </row>
    <row r="103" spans="1:13" ht="18.75" customHeight="1" x14ac:dyDescent="0.25">
      <c r="A103" s="44" t="s">
        <v>572</v>
      </c>
      <c r="B103" s="45" t="s">
        <v>502</v>
      </c>
      <c r="C103" s="90" t="s">
        <v>126</v>
      </c>
      <c r="D103" s="47">
        <f>ROUND(64*0.013,2)</f>
        <v>0.83</v>
      </c>
      <c r="E103" s="65"/>
      <c r="F103" s="49"/>
      <c r="G103" s="49"/>
      <c r="H103" s="49">
        <v>188.1</v>
      </c>
      <c r="I103" s="49">
        <f t="shared" si="100"/>
        <v>156.12</v>
      </c>
      <c r="J103" s="49">
        <f t="shared" si="101"/>
        <v>187.34</v>
      </c>
      <c r="K103" s="50">
        <f t="shared" si="102"/>
        <v>156.12</v>
      </c>
      <c r="L103" s="49">
        <f t="shared" si="103"/>
        <v>187.34</v>
      </c>
    </row>
    <row r="104" spans="1:13" ht="30" customHeight="1" x14ac:dyDescent="0.25">
      <c r="A104" s="121">
        <f>A98+1</f>
        <v>41</v>
      </c>
      <c r="B104" s="138" t="s">
        <v>368</v>
      </c>
      <c r="C104" s="121" t="s">
        <v>63</v>
      </c>
      <c r="D104" s="147">
        <v>2</v>
      </c>
      <c r="E104" s="125">
        <v>6546.68</v>
      </c>
      <c r="F104" s="124">
        <f t="shared" ref="F104" si="104">ROUND(E104*D104,2)</f>
        <v>13093.36</v>
      </c>
      <c r="G104" s="124">
        <f t="shared" ref="G104" si="105">ROUND(F104*1.2,2)</f>
        <v>15712.03</v>
      </c>
      <c r="H104" s="125"/>
      <c r="I104" s="124"/>
      <c r="J104" s="124"/>
      <c r="K104" s="125">
        <f t="shared" ref="K104:K117" si="106">F104+I104</f>
        <v>13093.36</v>
      </c>
      <c r="L104" s="123">
        <f t="shared" ref="L104:L117" si="107">G104+J104</f>
        <v>15712.03</v>
      </c>
      <c r="M104" s="66"/>
    </row>
    <row r="105" spans="1:13" ht="22.5" customHeight="1" x14ac:dyDescent="0.25">
      <c r="A105" s="44" t="s">
        <v>134</v>
      </c>
      <c r="B105" s="73" t="s">
        <v>190</v>
      </c>
      <c r="C105" s="46" t="s">
        <v>63</v>
      </c>
      <c r="D105" s="74">
        <v>2</v>
      </c>
      <c r="E105" s="65"/>
      <c r="F105" s="49"/>
      <c r="G105" s="49"/>
      <c r="H105" s="65">
        <v>2793</v>
      </c>
      <c r="I105" s="49">
        <f>ROUND(H105*D105,2)</f>
        <v>5586</v>
      </c>
      <c r="J105" s="49">
        <f>ROUND(I105*1.2,2)</f>
        <v>6703.2</v>
      </c>
      <c r="K105" s="50">
        <f t="shared" si="106"/>
        <v>5586</v>
      </c>
      <c r="L105" s="49">
        <f t="shared" si="107"/>
        <v>6703.2</v>
      </c>
      <c r="M105" s="66"/>
    </row>
    <row r="106" spans="1:13" ht="18" customHeight="1" x14ac:dyDescent="0.25">
      <c r="A106" s="121">
        <f>A104+1</f>
        <v>42</v>
      </c>
      <c r="B106" s="138" t="s">
        <v>298</v>
      </c>
      <c r="C106" s="121" t="s">
        <v>63</v>
      </c>
      <c r="D106" s="147">
        <v>2</v>
      </c>
      <c r="E106" s="125">
        <v>6039.48</v>
      </c>
      <c r="F106" s="124">
        <f t="shared" ref="F106" si="108">ROUND(E106*D106,2)</f>
        <v>12078.96</v>
      </c>
      <c r="G106" s="124">
        <f t="shared" ref="G106" si="109">ROUND(F106*1.2,2)</f>
        <v>14494.75</v>
      </c>
      <c r="H106" s="125"/>
      <c r="I106" s="124"/>
      <c r="J106" s="124"/>
      <c r="K106" s="125">
        <f t="shared" si="106"/>
        <v>12078.96</v>
      </c>
      <c r="L106" s="123">
        <f t="shared" si="107"/>
        <v>14494.75</v>
      </c>
      <c r="M106" s="66"/>
    </row>
    <row r="107" spans="1:13" ht="18" customHeight="1" x14ac:dyDescent="0.25">
      <c r="A107" s="44" t="s">
        <v>137</v>
      </c>
      <c r="B107" s="73" t="s">
        <v>372</v>
      </c>
      <c r="C107" s="46" t="s">
        <v>63</v>
      </c>
      <c r="D107" s="74">
        <v>2</v>
      </c>
      <c r="E107" s="65"/>
      <c r="F107" s="49"/>
      <c r="G107" s="49"/>
      <c r="H107" s="49">
        <v>2638.15</v>
      </c>
      <c r="I107" s="49">
        <f>ROUND(H107*D107,2)</f>
        <v>5276.3</v>
      </c>
      <c r="J107" s="49">
        <f>ROUND(I107*1.2,2)</f>
        <v>6331.56</v>
      </c>
      <c r="K107" s="50">
        <f t="shared" si="106"/>
        <v>5276.3</v>
      </c>
      <c r="L107" s="49">
        <f t="shared" si="107"/>
        <v>6331.56</v>
      </c>
      <c r="M107" s="66"/>
    </row>
    <row r="108" spans="1:13" ht="27.75" customHeight="1" x14ac:dyDescent="0.25">
      <c r="A108" s="121">
        <f>A106+1</f>
        <v>43</v>
      </c>
      <c r="B108" s="138" t="s">
        <v>373</v>
      </c>
      <c r="C108" s="121" t="s">
        <v>63</v>
      </c>
      <c r="D108" s="147">
        <v>2</v>
      </c>
      <c r="E108" s="125">
        <v>6131.59</v>
      </c>
      <c r="F108" s="124">
        <f t="shared" ref="F108" si="110">ROUND(E108*D108,2)</f>
        <v>12263.18</v>
      </c>
      <c r="G108" s="124">
        <f t="shared" ref="G108" si="111">ROUND(F108*1.2,2)</f>
        <v>14715.82</v>
      </c>
      <c r="H108" s="125"/>
      <c r="I108" s="124"/>
      <c r="J108" s="124"/>
      <c r="K108" s="125">
        <f t="shared" si="106"/>
        <v>12263.18</v>
      </c>
      <c r="L108" s="123">
        <f t="shared" si="107"/>
        <v>14715.82</v>
      </c>
      <c r="M108" s="66"/>
    </row>
    <row r="109" spans="1:13" ht="18" customHeight="1" x14ac:dyDescent="0.25">
      <c r="A109" s="44" t="s">
        <v>140</v>
      </c>
      <c r="B109" s="73" t="s">
        <v>374</v>
      </c>
      <c r="C109" s="46" t="s">
        <v>63</v>
      </c>
      <c r="D109" s="74">
        <v>2</v>
      </c>
      <c r="E109" s="65"/>
      <c r="F109" s="49"/>
      <c r="G109" s="49"/>
      <c r="H109" s="49">
        <v>1453.5</v>
      </c>
      <c r="I109" s="49">
        <f>ROUND(H109*D109,2)</f>
        <v>2907</v>
      </c>
      <c r="J109" s="49">
        <f>ROUND(I109*1.2,2)</f>
        <v>3488.4</v>
      </c>
      <c r="K109" s="50">
        <f t="shared" si="106"/>
        <v>2907</v>
      </c>
      <c r="L109" s="49">
        <f t="shared" si="107"/>
        <v>3488.4</v>
      </c>
      <c r="M109" s="66"/>
    </row>
    <row r="110" spans="1:13" ht="18" customHeight="1" x14ac:dyDescent="0.25">
      <c r="A110" s="121">
        <f>A108+1</f>
        <v>44</v>
      </c>
      <c r="B110" s="138" t="s">
        <v>376</v>
      </c>
      <c r="C110" s="121" t="s">
        <v>63</v>
      </c>
      <c r="D110" s="147">
        <v>2</v>
      </c>
      <c r="E110" s="125">
        <v>1389.85</v>
      </c>
      <c r="F110" s="124">
        <f t="shared" ref="F110" si="112">ROUND(E110*D110,2)</f>
        <v>2779.7</v>
      </c>
      <c r="G110" s="124">
        <f t="shared" ref="G110" si="113">ROUND(F110*1.2,2)</f>
        <v>3335.64</v>
      </c>
      <c r="H110" s="125"/>
      <c r="I110" s="124"/>
      <c r="J110" s="124"/>
      <c r="K110" s="125">
        <f t="shared" si="106"/>
        <v>2779.7</v>
      </c>
      <c r="L110" s="123">
        <f t="shared" si="107"/>
        <v>3335.64</v>
      </c>
      <c r="M110" s="66"/>
    </row>
    <row r="111" spans="1:13" ht="18" customHeight="1" x14ac:dyDescent="0.25">
      <c r="A111" s="44" t="s">
        <v>143</v>
      </c>
      <c r="B111" s="73" t="s">
        <v>377</v>
      </c>
      <c r="C111" s="46" t="s">
        <v>63</v>
      </c>
      <c r="D111" s="74">
        <v>2</v>
      </c>
      <c r="E111" s="65"/>
      <c r="F111" s="49"/>
      <c r="G111" s="49"/>
      <c r="H111" s="65">
        <v>471.2</v>
      </c>
      <c r="I111" s="49">
        <f>ROUND(H111*D111,2)</f>
        <v>942.4</v>
      </c>
      <c r="J111" s="49">
        <f>ROUND(I111*1.2,2)</f>
        <v>1130.8800000000001</v>
      </c>
      <c r="K111" s="50">
        <f t="shared" si="106"/>
        <v>942.4</v>
      </c>
      <c r="L111" s="49">
        <f t="shared" si="107"/>
        <v>1130.8800000000001</v>
      </c>
      <c r="M111" s="66"/>
    </row>
    <row r="112" spans="1:13" ht="24" customHeight="1" x14ac:dyDescent="0.25">
      <c r="A112" s="129">
        <f>A110+1</f>
        <v>45</v>
      </c>
      <c r="B112" s="143" t="s">
        <v>485</v>
      </c>
      <c r="C112" s="129" t="s">
        <v>63</v>
      </c>
      <c r="D112" s="140">
        <v>1</v>
      </c>
      <c r="E112" s="133">
        <f>ROUND(1468.66*1.33,2)</f>
        <v>1953.32</v>
      </c>
      <c r="F112" s="132">
        <f>ROUND(E112*D112,2)</f>
        <v>1953.32</v>
      </c>
      <c r="G112" s="132">
        <f t="shared" ref="G112" si="114">ROUND(F112*1.2,2)</f>
        <v>2343.98</v>
      </c>
      <c r="H112" s="133"/>
      <c r="I112" s="132"/>
      <c r="J112" s="132"/>
      <c r="K112" s="133">
        <f t="shared" si="106"/>
        <v>1953.32</v>
      </c>
      <c r="L112" s="131">
        <f t="shared" si="107"/>
        <v>2343.98</v>
      </c>
      <c r="M112" s="66"/>
    </row>
    <row r="113" spans="1:13" ht="18" customHeight="1" x14ac:dyDescent="0.25">
      <c r="A113" s="44" t="s">
        <v>285</v>
      </c>
      <c r="B113" s="73" t="s">
        <v>486</v>
      </c>
      <c r="C113" s="46" t="s">
        <v>63</v>
      </c>
      <c r="D113" s="67">
        <v>1</v>
      </c>
      <c r="E113" s="65"/>
      <c r="F113" s="49"/>
      <c r="G113" s="49"/>
      <c r="H113" s="157">
        <f>ROUND(2208.64/1.2*1.15,2)</f>
        <v>2116.61</v>
      </c>
      <c r="I113" s="49">
        <f t="shared" ref="I113" si="115">ROUND(H113*D113,2)</f>
        <v>2116.61</v>
      </c>
      <c r="J113" s="49">
        <f t="shared" ref="J113" si="116">ROUND(I113*1.2,2)</f>
        <v>2539.9299999999998</v>
      </c>
      <c r="K113" s="65">
        <f t="shared" si="106"/>
        <v>2116.61</v>
      </c>
      <c r="L113" s="63">
        <f t="shared" si="107"/>
        <v>2539.9299999999998</v>
      </c>
      <c r="M113" s="66"/>
    </row>
    <row r="114" spans="1:13" ht="18" customHeight="1" x14ac:dyDescent="0.25">
      <c r="A114" s="121">
        <f>A112+1</f>
        <v>46</v>
      </c>
      <c r="B114" s="138" t="s">
        <v>422</v>
      </c>
      <c r="C114" s="121" t="s">
        <v>63</v>
      </c>
      <c r="D114" s="147">
        <v>2</v>
      </c>
      <c r="E114" s="125">
        <v>4670.4399999999996</v>
      </c>
      <c r="F114" s="124">
        <f t="shared" ref="F114" si="117">ROUND(E114*D114,2)</f>
        <v>9340.8799999999992</v>
      </c>
      <c r="G114" s="124">
        <f t="shared" ref="G114" si="118">ROUND(F114*1.2,2)</f>
        <v>11209.06</v>
      </c>
      <c r="H114" s="125"/>
      <c r="I114" s="124"/>
      <c r="J114" s="124"/>
      <c r="K114" s="125">
        <f t="shared" si="106"/>
        <v>9340.8799999999992</v>
      </c>
      <c r="L114" s="123">
        <f t="shared" si="107"/>
        <v>11209.06</v>
      </c>
      <c r="M114" s="66"/>
    </row>
    <row r="115" spans="1:13" ht="18" customHeight="1" x14ac:dyDescent="0.25">
      <c r="A115" s="44" t="s">
        <v>288</v>
      </c>
      <c r="B115" s="73" t="s">
        <v>381</v>
      </c>
      <c r="C115" s="46" t="s">
        <v>63</v>
      </c>
      <c r="D115" s="74">
        <v>2</v>
      </c>
      <c r="E115" s="65"/>
      <c r="F115" s="49"/>
      <c r="G115" s="49"/>
      <c r="H115" s="65">
        <v>3239.5</v>
      </c>
      <c r="I115" s="49">
        <f>ROUND(H115*D115,2)</f>
        <v>6479</v>
      </c>
      <c r="J115" s="49">
        <f>ROUND(I115*1.2,2)</f>
        <v>7774.8</v>
      </c>
      <c r="K115" s="50">
        <f t="shared" si="106"/>
        <v>6479</v>
      </c>
      <c r="L115" s="49">
        <f t="shared" si="107"/>
        <v>7774.8</v>
      </c>
      <c r="M115" s="66"/>
    </row>
    <row r="116" spans="1:13" ht="18" customHeight="1" x14ac:dyDescent="0.25">
      <c r="A116" s="121">
        <f>A114+1</f>
        <v>47</v>
      </c>
      <c r="B116" s="138" t="s">
        <v>423</v>
      </c>
      <c r="C116" s="121" t="s">
        <v>63</v>
      </c>
      <c r="D116" s="147">
        <v>2</v>
      </c>
      <c r="E116" s="125">
        <v>3082.04</v>
      </c>
      <c r="F116" s="124">
        <f t="shared" ref="F116" si="119">ROUND(E116*D116,2)</f>
        <v>6164.08</v>
      </c>
      <c r="G116" s="124">
        <f t="shared" ref="G116" si="120">ROUND(F116*1.2,2)</f>
        <v>7396.9</v>
      </c>
      <c r="H116" s="125"/>
      <c r="I116" s="124"/>
      <c r="J116" s="124"/>
      <c r="K116" s="125">
        <f t="shared" si="106"/>
        <v>6164.08</v>
      </c>
      <c r="L116" s="123">
        <f t="shared" si="107"/>
        <v>7396.9</v>
      </c>
      <c r="M116" s="66"/>
    </row>
    <row r="117" spans="1:13" ht="20.25" customHeight="1" x14ac:dyDescent="0.25">
      <c r="A117" s="44" t="s">
        <v>291</v>
      </c>
      <c r="B117" s="73" t="s">
        <v>424</v>
      </c>
      <c r="C117" s="46" t="s">
        <v>63</v>
      </c>
      <c r="D117" s="74">
        <v>2</v>
      </c>
      <c r="E117" s="65"/>
      <c r="F117" s="49"/>
      <c r="G117" s="49"/>
      <c r="H117" s="65">
        <v>1421.2</v>
      </c>
      <c r="I117" s="49">
        <f>ROUND(H117*D117,2)</f>
        <v>2842.4</v>
      </c>
      <c r="J117" s="49">
        <f>ROUND(I117*1.2,2)</f>
        <v>3410.88</v>
      </c>
      <c r="K117" s="50">
        <f t="shared" si="106"/>
        <v>2842.4</v>
      </c>
      <c r="L117" s="49">
        <f t="shared" si="107"/>
        <v>3410.88</v>
      </c>
      <c r="M117" s="66"/>
    </row>
    <row r="118" spans="1:13" s="87" customFormat="1" ht="24" customHeight="1" x14ac:dyDescent="0.3">
      <c r="A118" s="212" t="s">
        <v>144</v>
      </c>
      <c r="B118" s="213"/>
      <c r="C118" s="213"/>
      <c r="D118" s="213"/>
      <c r="E118" s="214"/>
      <c r="F118" s="109">
        <f>SUM(F7:F117)</f>
        <v>470971.42</v>
      </c>
      <c r="G118" s="109">
        <f>ROUND(F118*1.2,2)</f>
        <v>565165.69999999995</v>
      </c>
      <c r="H118" s="113"/>
      <c r="I118" s="109">
        <f>SUM(I7:I117)</f>
        <v>528634.78999999992</v>
      </c>
      <c r="J118" s="109">
        <f>ROUND(I118*1.2,2)</f>
        <v>634361.75</v>
      </c>
      <c r="K118" s="109">
        <f>SUM(K7:K117)</f>
        <v>999606.20999999938</v>
      </c>
      <c r="L118" s="109">
        <f>ROUND(K118*1.2,2)</f>
        <v>1199527.45</v>
      </c>
      <c r="M118" s="86"/>
    </row>
    <row r="120" spans="1:13" x14ac:dyDescent="0.25">
      <c r="B120" s="174" t="s">
        <v>586</v>
      </c>
      <c r="K120" s="88"/>
    </row>
    <row r="121" spans="1:13" x14ac:dyDescent="0.25">
      <c r="B121" s="175" t="s">
        <v>587</v>
      </c>
    </row>
  </sheetData>
  <mergeCells count="10">
    <mergeCell ref="B6:D6"/>
    <mergeCell ref="A118:E11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Свод НВК3</vt:lpstr>
      <vt:lpstr>В1-3А, В1-4</vt:lpstr>
      <vt:lpstr>В1-4-до Уг.1</vt:lpstr>
      <vt:lpstr>Уг.1-до Уг.2</vt:lpstr>
      <vt:lpstr>Уг.2-до В1нов</vt:lpstr>
      <vt:lpstr>В1-30-В1-31</vt:lpstr>
      <vt:lpstr>В1-1-В1-1А</vt:lpstr>
      <vt:lpstr>В1-2-В1-2А</vt:lpstr>
      <vt:lpstr>В1нов1-В15</vt:lpstr>
      <vt:lpstr>В1нов1-цех121</vt:lpstr>
      <vt:lpstr>В1нов1-В17</vt:lpstr>
      <vt:lpstr>В1-7-В1-8</vt:lpstr>
      <vt:lpstr>'В1-1-В1-1А'!Область_печати</vt:lpstr>
      <vt:lpstr>'В1-2-В1-2А'!Область_печати</vt:lpstr>
      <vt:lpstr>'В1-30-В1-31'!Область_печати</vt:lpstr>
      <vt:lpstr>'В1-3А, В1-4'!Область_печати</vt:lpstr>
      <vt:lpstr>'В1-4-до Уг.1'!Область_печати</vt:lpstr>
      <vt:lpstr>'В1-7-В1-8'!Область_печати</vt:lpstr>
      <vt:lpstr>'В1нов1-В15'!Область_печати</vt:lpstr>
      <vt:lpstr>'В1нов1-В17'!Область_печати</vt:lpstr>
      <vt:lpstr>'В1нов1-цех121'!Область_печати</vt:lpstr>
      <vt:lpstr>'Свод НВК3'!Область_печати</vt:lpstr>
      <vt:lpstr>'Уг.1-до Уг.2'!Область_печати</vt:lpstr>
      <vt:lpstr>'Уг.2-до В1нов'!Область_печати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2024-06-05T11:48:07Z</dcterms:created>
  <dcterms:modified xsi:type="dcterms:W3CDTF">2024-10-09T06:07:38Z</dcterms:modified>
</cp:coreProperties>
</file>