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Анализ ВДЦ Мытищи\"/>
    </mc:Choice>
  </mc:AlternateContent>
  <xr:revisionPtr revIDLastSave="0" documentId="8_{B7C1C68E-906C-4448-9E02-52C5633A4192}" xr6:coauthVersionLast="45" xr6:coauthVersionMax="45" xr10:uidLastSave="{00000000-0000-0000-0000-000000000000}"/>
  <bookViews>
    <workbookView xWindow="-120" yWindow="-120" windowWidth="29040" windowHeight="15840" tabRatio="914" firstSheet="2" activeTab="2" xr2:uid="{00000000-000D-0000-FFFF-FFFF00000000}"/>
  </bookViews>
  <sheets>
    <sheet name="Лист1" sheetId="1" state="hidden" r:id="rId1"/>
    <sheet name="Лист2" sheetId="2" state="hidden" r:id="rId2"/>
    <sheet name="ТС3" sheetId="46" r:id="rId3"/>
    <sheet name="СМР 217 путь" sheetId="9" state="hidden" r:id="rId4"/>
    <sheet name="мат 217 путь" sheetId="4" state="hidden" r:id="rId5"/>
    <sheet name="СМР комм-ции 217 " sheetId="14" state="hidden" r:id="rId6"/>
    <sheet name="мат комм-ции 217" sheetId="15" state="hidden" r:id="rId7"/>
    <sheet name="СМР жд 8 цех" sheetId="10" state="hidden" r:id="rId8"/>
    <sheet name="мат 8 цех" sheetId="5" state="hidden" r:id="rId9"/>
  </sheets>
  <definedNames>
    <definedName name="_xlnm.Print_Area" localSheetId="6">'мат комм-ции 217'!$A$1:$G$109</definedName>
    <definedName name="_xlnm.Print_Area" localSheetId="5">'СМР комм-ции 217 '!$A$1:$G$253</definedName>
    <definedName name="_xlnm.Print_Area" localSheetId="2">ТС3!$A$1:$L$127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4" i="46" l="1"/>
  <c r="D80" i="46"/>
  <c r="H120" i="46" l="1"/>
  <c r="H116" i="46"/>
  <c r="D76" i="46" l="1"/>
  <c r="D51" i="46"/>
  <c r="D40" i="46"/>
  <c r="I120" i="46" l="1"/>
  <c r="K120" i="46" s="1"/>
  <c r="F119" i="46"/>
  <c r="G119" i="46" s="1"/>
  <c r="L119" i="46" s="1"/>
  <c r="I118" i="46"/>
  <c r="J118" i="46" s="1"/>
  <c r="L118" i="46" s="1"/>
  <c r="F117" i="46"/>
  <c r="G117" i="46" s="1"/>
  <c r="L117" i="46" s="1"/>
  <c r="I116" i="46"/>
  <c r="K116" i="46" s="1"/>
  <c r="F115" i="46"/>
  <c r="K115" i="46" s="1"/>
  <c r="J120" i="46" l="1"/>
  <c r="L120" i="46" s="1"/>
  <c r="K119" i="46"/>
  <c r="K117" i="46"/>
  <c r="K118" i="46"/>
  <c r="G115" i="46"/>
  <c r="L115" i="46" s="1"/>
  <c r="J116" i="46"/>
  <c r="L116" i="46" s="1"/>
  <c r="H105" i="46"/>
  <c r="H102" i="46"/>
  <c r="D105" i="46"/>
  <c r="D102" i="46"/>
  <c r="I122" i="46"/>
  <c r="K122" i="46" s="1"/>
  <c r="F121" i="46"/>
  <c r="G121" i="46" s="1"/>
  <c r="L121" i="46" s="1"/>
  <c r="I114" i="46"/>
  <c r="K114" i="46" s="1"/>
  <c r="F113" i="46"/>
  <c r="G113" i="46" s="1"/>
  <c r="L113" i="46" s="1"/>
  <c r="K121" i="46" l="1"/>
  <c r="J114" i="46"/>
  <c r="L114" i="46" s="1"/>
  <c r="K113" i="46"/>
  <c r="J122" i="46"/>
  <c r="L122" i="46" s="1"/>
  <c r="I105" i="46" l="1"/>
  <c r="I102" i="46"/>
  <c r="D104" i="46"/>
  <c r="D103" i="46"/>
  <c r="F103" i="46" s="1"/>
  <c r="K103" i="46" s="1"/>
  <c r="H104" i="46"/>
  <c r="F100" i="46"/>
  <c r="G100" i="46" s="1"/>
  <c r="L100" i="46" s="1"/>
  <c r="K100" i="46"/>
  <c r="H101" i="46"/>
  <c r="I101" i="46" s="1"/>
  <c r="H82" i="46"/>
  <c r="I82" i="46" s="1"/>
  <c r="F81" i="46"/>
  <c r="K81" i="46" s="1"/>
  <c r="D38" i="46"/>
  <c r="I38" i="46" s="1"/>
  <c r="F37" i="46"/>
  <c r="K37" i="46" s="1"/>
  <c r="I40" i="46"/>
  <c r="F39" i="46"/>
  <c r="K39" i="46" s="1"/>
  <c r="D8" i="46"/>
  <c r="I104" i="46" l="1"/>
  <c r="K105" i="46"/>
  <c r="J105" i="46"/>
  <c r="L105" i="46" s="1"/>
  <c r="K102" i="46"/>
  <c r="J102" i="46"/>
  <c r="L102" i="46" s="1"/>
  <c r="K104" i="46"/>
  <c r="J104" i="46"/>
  <c r="L104" i="46" s="1"/>
  <c r="G103" i="46"/>
  <c r="L103" i="46" s="1"/>
  <c r="J101" i="46"/>
  <c r="L101" i="46" s="1"/>
  <c r="K101" i="46"/>
  <c r="K82" i="46"/>
  <c r="J82" i="46"/>
  <c r="L82" i="46" s="1"/>
  <c r="G81" i="46"/>
  <c r="L81" i="46" s="1"/>
  <c r="K38" i="46"/>
  <c r="J38" i="46"/>
  <c r="L38" i="46" s="1"/>
  <c r="G37" i="46"/>
  <c r="L37" i="46" s="1"/>
  <c r="K40" i="46"/>
  <c r="J40" i="46"/>
  <c r="L40" i="46" s="1"/>
  <c r="G39" i="46"/>
  <c r="L39" i="46" s="1"/>
  <c r="F111" i="46"/>
  <c r="K111" i="46" s="1"/>
  <c r="F110" i="46"/>
  <c r="K110" i="46" s="1"/>
  <c r="D109" i="46"/>
  <c r="I109" i="46" s="1"/>
  <c r="E108" i="46"/>
  <c r="F108" i="46" s="1"/>
  <c r="D107" i="46"/>
  <c r="I107" i="46" s="1"/>
  <c r="F106" i="46"/>
  <c r="G106" i="46" s="1"/>
  <c r="L106" i="46" s="1"/>
  <c r="I99" i="46"/>
  <c r="K99" i="46" s="1"/>
  <c r="F98" i="46"/>
  <c r="G98" i="46" s="1"/>
  <c r="L98" i="46" s="1"/>
  <c r="D97" i="46"/>
  <c r="I97" i="46" s="1"/>
  <c r="F96" i="46"/>
  <c r="K96" i="46" s="1"/>
  <c r="D91" i="46"/>
  <c r="I91" i="46" s="1"/>
  <c r="F90" i="46"/>
  <c r="K90" i="46" s="1"/>
  <c r="I95" i="46"/>
  <c r="K95" i="46" s="1"/>
  <c r="F94" i="46"/>
  <c r="I93" i="46"/>
  <c r="J93" i="46" s="1"/>
  <c r="L93" i="46" s="1"/>
  <c r="F92" i="46"/>
  <c r="G92" i="46" s="1"/>
  <c r="L92" i="46" s="1"/>
  <c r="F88" i="46"/>
  <c r="K88" i="46" s="1"/>
  <c r="F83" i="46"/>
  <c r="K83" i="46" s="1"/>
  <c r="F79" i="46"/>
  <c r="K79" i="46" s="1"/>
  <c r="F87" i="46"/>
  <c r="K87" i="46" s="1"/>
  <c r="F86" i="46"/>
  <c r="K86" i="46" s="1"/>
  <c r="F85" i="46"/>
  <c r="G85" i="46" s="1"/>
  <c r="L85" i="46" s="1"/>
  <c r="I84" i="46"/>
  <c r="I80" i="46"/>
  <c r="D89" i="46"/>
  <c r="I89" i="46" s="1"/>
  <c r="G86" i="46" l="1"/>
  <c r="L86" i="46" s="1"/>
  <c r="K92" i="46"/>
  <c r="K85" i="46"/>
  <c r="G111" i="46"/>
  <c r="L111" i="46" s="1"/>
  <c r="G110" i="46"/>
  <c r="L110" i="46" s="1"/>
  <c r="K106" i="46"/>
  <c r="K108" i="46"/>
  <c r="G108" i="46"/>
  <c r="L108" i="46" s="1"/>
  <c r="K107" i="46"/>
  <c r="J107" i="46"/>
  <c r="L107" i="46" s="1"/>
  <c r="K109" i="46"/>
  <c r="J109" i="46"/>
  <c r="L109" i="46" s="1"/>
  <c r="K98" i="46"/>
  <c r="J99" i="46"/>
  <c r="L99" i="46" s="1"/>
  <c r="K97" i="46"/>
  <c r="J97" i="46"/>
  <c r="L97" i="46" s="1"/>
  <c r="G96" i="46"/>
  <c r="L96" i="46" s="1"/>
  <c r="K91" i="46"/>
  <c r="J91" i="46"/>
  <c r="L91" i="46" s="1"/>
  <c r="G90" i="46"/>
  <c r="L90" i="46" s="1"/>
  <c r="G94" i="46"/>
  <c r="L94" i="46" s="1"/>
  <c r="K94" i="46"/>
  <c r="K93" i="46"/>
  <c r="J95" i="46"/>
  <c r="L95" i="46" s="1"/>
  <c r="G88" i="46"/>
  <c r="L88" i="46" s="1"/>
  <c r="G83" i="46"/>
  <c r="L83" i="46" s="1"/>
  <c r="G79" i="46"/>
  <c r="L79" i="46" s="1"/>
  <c r="G87" i="46"/>
  <c r="L87" i="46" s="1"/>
  <c r="K84" i="46"/>
  <c r="J84" i="46"/>
  <c r="L84" i="46" s="1"/>
  <c r="K80" i="46"/>
  <c r="J80" i="46"/>
  <c r="L80" i="46" s="1"/>
  <c r="K89" i="46"/>
  <c r="J89" i="46"/>
  <c r="L89" i="46" s="1"/>
  <c r="I76" i="46" l="1"/>
  <c r="F75" i="46"/>
  <c r="K75" i="46" s="1"/>
  <c r="D74" i="46"/>
  <c r="I74" i="46" s="1"/>
  <c r="F73" i="46"/>
  <c r="G73" i="46" s="1"/>
  <c r="L73" i="46" s="1"/>
  <c r="D72" i="46"/>
  <c r="I72" i="46" s="1"/>
  <c r="E71" i="46"/>
  <c r="F71" i="46" s="1"/>
  <c r="D70" i="46"/>
  <c r="I70" i="46" s="1"/>
  <c r="F69" i="46"/>
  <c r="G69" i="46" s="1"/>
  <c r="L69" i="46" s="1"/>
  <c r="D68" i="46"/>
  <c r="I68" i="46" s="1"/>
  <c r="K68" i="46" s="1"/>
  <c r="F67" i="46"/>
  <c r="K67" i="46" s="1"/>
  <c r="I60" i="46"/>
  <c r="K60" i="46" s="1"/>
  <c r="F59" i="46"/>
  <c r="G59" i="46" s="1"/>
  <c r="L59" i="46" s="1"/>
  <c r="I51" i="46"/>
  <c r="F50" i="46"/>
  <c r="K50" i="46" s="1"/>
  <c r="D49" i="46"/>
  <c r="I49" i="46" s="1"/>
  <c r="F48" i="46"/>
  <c r="K48" i="46" s="1"/>
  <c r="D47" i="46"/>
  <c r="I47" i="46" s="1"/>
  <c r="F46" i="46"/>
  <c r="K46" i="46" s="1"/>
  <c r="D34" i="46"/>
  <c r="F28" i="46"/>
  <c r="K28" i="46" s="1"/>
  <c r="D26" i="46"/>
  <c r="I26" i="46" s="1"/>
  <c r="F25" i="46"/>
  <c r="K25" i="46" s="1"/>
  <c r="D24" i="46"/>
  <c r="I24" i="46" s="1"/>
  <c r="F23" i="46"/>
  <c r="G23" i="46" s="1"/>
  <c r="L23" i="46" s="1"/>
  <c r="F22" i="46"/>
  <c r="K22" i="46" s="1"/>
  <c r="F21" i="46"/>
  <c r="K21" i="46" s="1"/>
  <c r="D31" i="46"/>
  <c r="I31" i="46" s="1"/>
  <c r="F30" i="46"/>
  <c r="K30" i="46" s="1"/>
  <c r="D15" i="46"/>
  <c r="D13" i="46"/>
  <c r="D11" i="46"/>
  <c r="K73" i="46" l="1"/>
  <c r="J74" i="46"/>
  <c r="L74" i="46" s="1"/>
  <c r="K74" i="46"/>
  <c r="K76" i="46"/>
  <c r="J76" i="46"/>
  <c r="L76" i="46" s="1"/>
  <c r="G75" i="46"/>
  <c r="L75" i="46" s="1"/>
  <c r="K69" i="46"/>
  <c r="K70" i="46"/>
  <c r="J70" i="46"/>
  <c r="L70" i="46" s="1"/>
  <c r="K71" i="46"/>
  <c r="G71" i="46"/>
  <c r="L71" i="46" s="1"/>
  <c r="K72" i="46"/>
  <c r="J72" i="46"/>
  <c r="L72" i="46" s="1"/>
  <c r="J68" i="46"/>
  <c r="L68" i="46" s="1"/>
  <c r="G67" i="46"/>
  <c r="L67" i="46" s="1"/>
  <c r="K59" i="46"/>
  <c r="J60" i="46"/>
  <c r="L60" i="46" s="1"/>
  <c r="G48" i="46"/>
  <c r="L48" i="46" s="1"/>
  <c r="J49" i="46"/>
  <c r="L49" i="46" s="1"/>
  <c r="K49" i="46"/>
  <c r="K51" i="46"/>
  <c r="J51" i="46"/>
  <c r="L51" i="46" s="1"/>
  <c r="G50" i="46"/>
  <c r="L50" i="46" s="1"/>
  <c r="K47" i="46"/>
  <c r="J47" i="46"/>
  <c r="L47" i="46" s="1"/>
  <c r="G46" i="46"/>
  <c r="L46" i="46" s="1"/>
  <c r="K23" i="46"/>
  <c r="G22" i="46"/>
  <c r="L22" i="46" s="1"/>
  <c r="K24" i="46"/>
  <c r="J24" i="46"/>
  <c r="L24" i="46" s="1"/>
  <c r="K26" i="46"/>
  <c r="J26" i="46"/>
  <c r="L26" i="46" s="1"/>
  <c r="G21" i="46"/>
  <c r="L21" i="46" s="1"/>
  <c r="G25" i="46"/>
  <c r="L25" i="46" s="1"/>
  <c r="G28" i="46"/>
  <c r="L28" i="46" s="1"/>
  <c r="K31" i="46"/>
  <c r="J31" i="46"/>
  <c r="L31" i="46" s="1"/>
  <c r="G30" i="46"/>
  <c r="L30" i="46" s="1"/>
  <c r="H58" i="46" l="1"/>
  <c r="H56" i="46"/>
  <c r="H54" i="46"/>
  <c r="F65" i="46" l="1"/>
  <c r="G65" i="46" s="1"/>
  <c r="F10" i="46"/>
  <c r="G10" i="46" s="1"/>
  <c r="D63" i="46" l="1"/>
  <c r="D57" i="46"/>
  <c r="F44" i="46" l="1"/>
  <c r="K44" i="46" s="1"/>
  <c r="F78" i="46"/>
  <c r="K78" i="46" s="1"/>
  <c r="I58" i="46"/>
  <c r="J58" i="46" s="1"/>
  <c r="L58" i="46" s="1"/>
  <c r="K65" i="46"/>
  <c r="I66" i="46"/>
  <c r="J66" i="46" s="1"/>
  <c r="L66" i="46" s="1"/>
  <c r="I35" i="46"/>
  <c r="K35" i="46" s="1"/>
  <c r="I34" i="46"/>
  <c r="K34" i="46" s="1"/>
  <c r="F17" i="46"/>
  <c r="G17" i="46" s="1"/>
  <c r="L17" i="46" s="1"/>
  <c r="I15" i="46"/>
  <c r="J15" i="46" s="1"/>
  <c r="L15" i="46" s="1"/>
  <c r="I13" i="46"/>
  <c r="F12" i="46"/>
  <c r="G12" i="46" s="1"/>
  <c r="L12" i="46" s="1"/>
  <c r="I64" i="46"/>
  <c r="J64" i="46" s="1"/>
  <c r="L64" i="46" s="1"/>
  <c r="F63" i="46"/>
  <c r="G63" i="46" s="1"/>
  <c r="L63" i="46" s="1"/>
  <c r="I62" i="46"/>
  <c r="F61" i="46"/>
  <c r="K61" i="46" s="1"/>
  <c r="F57" i="46"/>
  <c r="K57" i="46" s="1"/>
  <c r="I56" i="46"/>
  <c r="J56" i="46" s="1"/>
  <c r="L56" i="46" s="1"/>
  <c r="F55" i="46"/>
  <c r="G55" i="46" s="1"/>
  <c r="L55" i="46" s="1"/>
  <c r="I54" i="46"/>
  <c r="J54" i="46" s="1"/>
  <c r="L54" i="46" s="1"/>
  <c r="F53" i="46"/>
  <c r="K53" i="46" s="1"/>
  <c r="I45" i="46"/>
  <c r="J45" i="46" s="1"/>
  <c r="L45" i="46" s="1"/>
  <c r="I43" i="46"/>
  <c r="J43" i="46" s="1"/>
  <c r="L43" i="46" s="1"/>
  <c r="F42" i="46"/>
  <c r="G42" i="46" s="1"/>
  <c r="L42" i="46" s="1"/>
  <c r="I33" i="46"/>
  <c r="J33" i="46" s="1"/>
  <c r="L33" i="46" s="1"/>
  <c r="F32" i="46"/>
  <c r="K32" i="46" s="1"/>
  <c r="F19" i="46"/>
  <c r="K19" i="46" s="1"/>
  <c r="F16" i="46"/>
  <c r="K16" i="46" s="1"/>
  <c r="F14" i="46"/>
  <c r="G14" i="46" s="1"/>
  <c r="L14" i="46" s="1"/>
  <c r="I11" i="46"/>
  <c r="K10" i="46"/>
  <c r="F9" i="46"/>
  <c r="G9" i="46" s="1"/>
  <c r="L9" i="46" s="1"/>
  <c r="A9" i="46"/>
  <c r="A10" i="46" s="1"/>
  <c r="A12" i="46" s="1"/>
  <c r="F8" i="46"/>
  <c r="K8" i="46" l="1"/>
  <c r="F123" i="46"/>
  <c r="G44" i="46"/>
  <c r="L44" i="46" s="1"/>
  <c r="G78" i="46"/>
  <c r="L78" i="46" s="1"/>
  <c r="L65" i="46"/>
  <c r="K66" i="46"/>
  <c r="K54" i="46"/>
  <c r="J35" i="46"/>
  <c r="L35" i="46" s="1"/>
  <c r="J34" i="46"/>
  <c r="L34" i="46" s="1"/>
  <c r="K64" i="46"/>
  <c r="A14" i="46"/>
  <c r="K58" i="46"/>
  <c r="K56" i="46"/>
  <c r="G32" i="46"/>
  <c r="L32" i="46" s="1"/>
  <c r="G57" i="46"/>
  <c r="L57" i="46" s="1"/>
  <c r="K42" i="46"/>
  <c r="K45" i="46"/>
  <c r="K13" i="46"/>
  <c r="J13" i="46"/>
  <c r="L13" i="46" s="1"/>
  <c r="K12" i="46"/>
  <c r="G8" i="46"/>
  <c r="L8" i="46" s="1"/>
  <c r="G53" i="46"/>
  <c r="L53" i="46" s="1"/>
  <c r="K33" i="46"/>
  <c r="K14" i="46"/>
  <c r="G16" i="46"/>
  <c r="L16" i="46" s="1"/>
  <c r="K9" i="46"/>
  <c r="K17" i="46"/>
  <c r="I123" i="46"/>
  <c r="K62" i="46"/>
  <c r="J62" i="46"/>
  <c r="L62" i="46" s="1"/>
  <c r="K15" i="46"/>
  <c r="K43" i="46"/>
  <c r="K55" i="46"/>
  <c r="K63" i="46"/>
  <c r="J11" i="46"/>
  <c r="G19" i="46"/>
  <c r="L19" i="46" s="1"/>
  <c r="G61" i="46"/>
  <c r="L61" i="46" s="1"/>
  <c r="K11" i="46"/>
  <c r="L10" i="46"/>
  <c r="A16" i="46" l="1"/>
  <c r="A17" i="46" s="1"/>
  <c r="A19" i="46" s="1"/>
  <c r="K123" i="46"/>
  <c r="L123" i="46" s="1"/>
  <c r="G123" i="46"/>
  <c r="J123" i="46"/>
  <c r="L11" i="46"/>
  <c r="A21" i="46" l="1"/>
  <c r="A22" i="46" s="1"/>
  <c r="A23" i="46" s="1"/>
  <c r="A25" i="46" s="1"/>
  <c r="A28" i="46" s="1"/>
  <c r="A30" i="46" s="1"/>
  <c r="A32" i="46" l="1"/>
  <c r="A37" i="46" l="1"/>
  <c r="A39" i="46" s="1"/>
  <c r="A42" i="46" s="1"/>
  <c r="A44" i="46" s="1"/>
  <c r="A46" i="46" s="1"/>
  <c r="A48" i="46" s="1"/>
  <c r="A50" i="46" s="1"/>
  <c r="A53" i="46" s="1"/>
  <c r="A55" i="46" s="1"/>
  <c r="A57" i="46" s="1"/>
  <c r="A59" i="46" s="1"/>
  <c r="A61" i="46" s="1"/>
  <c r="A63" i="46" s="1"/>
  <c r="A65" i="46" l="1"/>
  <c r="A67" i="46" s="1"/>
  <c r="A69" i="46" s="1"/>
  <c r="A71" i="46" s="1"/>
  <c r="A73" i="46" s="1"/>
  <c r="A75" i="46" s="1"/>
  <c r="A78" i="46" s="1"/>
  <c r="A79" i="46" s="1"/>
  <c r="F250" i="14"/>
  <c r="F249" i="14"/>
  <c r="F248" i="14"/>
  <c r="F247" i="14"/>
  <c r="F245" i="14"/>
  <c r="F244" i="14"/>
  <c r="F243" i="14"/>
  <c r="F242" i="14"/>
  <c r="F240" i="14"/>
  <c r="F239" i="14"/>
  <c r="F237" i="14"/>
  <c r="F236" i="14"/>
  <c r="F235" i="14"/>
  <c r="F234" i="14"/>
  <c r="F231" i="14"/>
  <c r="F230" i="14"/>
  <c r="F229" i="14"/>
  <c r="F227" i="14"/>
  <c r="F226" i="14"/>
  <c r="F225" i="14"/>
  <c r="F224" i="14"/>
  <c r="F223" i="14"/>
  <c r="F222" i="14"/>
  <c r="F220" i="14"/>
  <c r="F219" i="14"/>
  <c r="F218" i="14"/>
  <c r="F217" i="14"/>
  <c r="F216" i="14"/>
  <c r="F215" i="14"/>
  <c r="F214" i="14"/>
  <c r="F213" i="14"/>
  <c r="F212" i="14"/>
  <c r="F211" i="14"/>
  <c r="F208" i="14"/>
  <c r="F207" i="14"/>
  <c r="F206" i="14"/>
  <c r="F204" i="14"/>
  <c r="F203" i="14"/>
  <c r="F202" i="14"/>
  <c r="F201" i="14"/>
  <c r="F200" i="14"/>
  <c r="F199" i="14"/>
  <c r="F197" i="14"/>
  <c r="F196" i="14"/>
  <c r="F195" i="14"/>
  <c r="F194" i="14"/>
  <c r="F193" i="14"/>
  <c r="F192" i="14"/>
  <c r="F191" i="14"/>
  <c r="F190" i="14"/>
  <c r="F189" i="14"/>
  <c r="F188" i="14"/>
  <c r="F185" i="14"/>
  <c r="F184" i="14"/>
  <c r="F183" i="14"/>
  <c r="F181" i="14"/>
  <c r="F180" i="14"/>
  <c r="F179" i="14"/>
  <c r="F178" i="14"/>
  <c r="F177" i="14"/>
  <c r="F176" i="14"/>
  <c r="F174" i="14"/>
  <c r="F173" i="14"/>
  <c r="F172" i="14"/>
  <c r="F171" i="14"/>
  <c r="F170" i="14"/>
  <c r="F169" i="14"/>
  <c r="F168" i="14"/>
  <c r="F167" i="14"/>
  <c r="F166" i="14"/>
  <c r="F165" i="14"/>
  <c r="F162" i="14"/>
  <c r="F161" i="14"/>
  <c r="F160" i="14"/>
  <c r="F158" i="14"/>
  <c r="F157" i="14"/>
  <c r="F156" i="14"/>
  <c r="F155" i="14"/>
  <c r="F154" i="14"/>
  <c r="F153" i="14"/>
  <c r="F151" i="14"/>
  <c r="F150" i="14"/>
  <c r="F149" i="14"/>
  <c r="F148" i="14"/>
  <c r="F147" i="14"/>
  <c r="F146" i="14"/>
  <c r="F145" i="14"/>
  <c r="F144" i="14"/>
  <c r="F143" i="14"/>
  <c r="F142" i="14"/>
  <c r="F139" i="14"/>
  <c r="F138" i="14"/>
  <c r="F137" i="14"/>
  <c r="F136" i="14"/>
  <c r="F135" i="14"/>
  <c r="F134" i="14"/>
  <c r="F132" i="14"/>
  <c r="F131" i="14"/>
  <c r="F130" i="14"/>
  <c r="F129" i="14"/>
  <c r="F128" i="14"/>
  <c r="F127" i="14"/>
  <c r="F126" i="14"/>
  <c r="F125" i="14"/>
  <c r="F124" i="14"/>
  <c r="F123" i="14"/>
  <c r="F120" i="14"/>
  <c r="F119" i="14"/>
  <c r="F118" i="14"/>
  <c r="F116" i="14"/>
  <c r="F115" i="14"/>
  <c r="F114" i="14"/>
  <c r="F113" i="14"/>
  <c r="F112" i="14"/>
  <c r="F111" i="14"/>
  <c r="F109" i="14"/>
  <c r="F108" i="14"/>
  <c r="F107" i="14"/>
  <c r="F106" i="14"/>
  <c r="F105" i="14"/>
  <c r="F104" i="14"/>
  <c r="F103" i="14"/>
  <c r="F102" i="14"/>
  <c r="F101" i="14"/>
  <c r="F100" i="14"/>
  <c r="F99" i="14"/>
  <c r="F96" i="14"/>
  <c r="F95" i="14"/>
  <c r="F94" i="14"/>
  <c r="F92" i="14"/>
  <c r="F91" i="14"/>
  <c r="F90" i="14"/>
  <c r="F89" i="14"/>
  <c r="F88" i="14"/>
  <c r="F87" i="14"/>
  <c r="F86" i="14"/>
  <c r="F85" i="14"/>
  <c r="F84" i="14"/>
  <c r="F83" i="14"/>
  <c r="F82" i="14"/>
  <c r="F80" i="14"/>
  <c r="F79" i="14"/>
  <c r="F78" i="14"/>
  <c r="F77" i="14"/>
  <c r="F76" i="14"/>
  <c r="F75" i="14"/>
  <c r="F74" i="14"/>
  <c r="F73" i="14"/>
  <c r="F72" i="14"/>
  <c r="F71" i="14"/>
  <c r="F68" i="14"/>
  <c r="F67" i="14"/>
  <c r="F66" i="14"/>
  <c r="F64" i="14"/>
  <c r="F63" i="14"/>
  <c r="F62" i="14"/>
  <c r="F61" i="14"/>
  <c r="F60" i="14"/>
  <c r="F59" i="14"/>
  <c r="F58" i="14"/>
  <c r="F57" i="14"/>
  <c r="F56" i="14"/>
  <c r="F55" i="14"/>
  <c r="F54" i="14"/>
  <c r="F52" i="14"/>
  <c r="F51" i="14"/>
  <c r="F50" i="14"/>
  <c r="F49" i="14"/>
  <c r="F48" i="14"/>
  <c r="F47" i="14"/>
  <c r="F46" i="14"/>
  <c r="F45" i="14"/>
  <c r="F44" i="14"/>
  <c r="F43" i="14"/>
  <c r="F40" i="14"/>
  <c r="F39" i="14"/>
  <c r="F38" i="14"/>
  <c r="F36" i="14"/>
  <c r="F35" i="14"/>
  <c r="F34" i="14"/>
  <c r="F32" i="14"/>
  <c r="F31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F6" i="14"/>
  <c r="A81" i="46" l="1"/>
  <c r="A83" i="46" s="1"/>
  <c r="A85" i="46" s="1"/>
  <c r="A86" i="46" s="1"/>
  <c r="A87" i="46" s="1"/>
  <c r="A88" i="46" s="1"/>
  <c r="A90" i="46" s="1"/>
  <c r="A92" i="46" s="1"/>
  <c r="A94" i="46" s="1"/>
  <c r="A96" i="46" s="1"/>
  <c r="A98" i="46" s="1"/>
  <c r="F31" i="15"/>
  <c r="F30" i="15"/>
  <c r="F29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G35" i="14"/>
  <c r="G31" i="14"/>
  <c r="A100" i="46" l="1"/>
  <c r="G248" i="14"/>
  <c r="G245" i="14"/>
  <c r="D241" i="14"/>
  <c r="F241" i="14" s="1"/>
  <c r="G241" i="14" s="1"/>
  <c r="A103" i="46" l="1"/>
  <c r="A106" i="46" s="1"/>
  <c r="A108" i="46" s="1"/>
  <c r="A110" i="46" s="1"/>
  <c r="G231" i="14"/>
  <c r="G230" i="14"/>
  <c r="G229" i="14"/>
  <c r="G227" i="14"/>
  <c r="G226" i="14"/>
  <c r="G225" i="14"/>
  <c r="G224" i="14"/>
  <c r="G223" i="14"/>
  <c r="G222" i="14"/>
  <c r="G219" i="14"/>
  <c r="G215" i="14"/>
  <c r="G208" i="14"/>
  <c r="G207" i="14"/>
  <c r="G206" i="14"/>
  <c r="G204" i="14"/>
  <c r="G203" i="14"/>
  <c r="G202" i="14"/>
  <c r="G201" i="14"/>
  <c r="G200" i="14"/>
  <c r="G199" i="14"/>
  <c r="G197" i="14"/>
  <c r="G196" i="14"/>
  <c r="G195" i="14"/>
  <c r="G194" i="14"/>
  <c r="G193" i="14"/>
  <c r="G192" i="14"/>
  <c r="G191" i="14"/>
  <c r="G190" i="14"/>
  <c r="G189" i="14"/>
  <c r="G177" i="14"/>
  <c r="G131" i="14"/>
  <c r="G119" i="14"/>
  <c r="G109" i="14"/>
  <c r="G67" i="14"/>
  <c r="G66" i="14"/>
  <c r="G96" i="14"/>
  <c r="G95" i="14"/>
  <c r="G94" i="14"/>
  <c r="G92" i="14"/>
  <c r="G91" i="14"/>
  <c r="G90" i="14"/>
  <c r="G89" i="14"/>
  <c r="G64" i="14"/>
  <c r="G63" i="14"/>
  <c r="G62" i="14"/>
  <c r="G61" i="14"/>
  <c r="G60" i="14"/>
  <c r="G40" i="14"/>
  <c r="G39" i="14"/>
  <c r="G38" i="14"/>
  <c r="G36" i="14"/>
  <c r="G34" i="14"/>
  <c r="A111" i="46" l="1"/>
  <c r="A113" i="46" s="1"/>
  <c r="A115" i="46" s="1"/>
  <c r="A117" i="46" s="1"/>
  <c r="A119" i="46" s="1"/>
  <c r="A121" i="46" s="1"/>
  <c r="F45" i="15"/>
  <c r="G45" i="15" s="1"/>
  <c r="F44" i="15"/>
  <c r="G44" i="15" s="1"/>
  <c r="F43" i="15"/>
  <c r="G43" i="15" s="1"/>
  <c r="F96" i="15"/>
  <c r="G96" i="15" s="1"/>
  <c r="F89" i="15"/>
  <c r="G89" i="15" s="1"/>
  <c r="F93" i="15"/>
  <c r="F103" i="15"/>
  <c r="G103" i="15" s="1"/>
  <c r="F107" i="15"/>
  <c r="G107" i="15" s="1"/>
  <c r="F100" i="15"/>
  <c r="G100" i="15" s="1"/>
  <c r="F59" i="15"/>
  <c r="G59" i="15" s="1"/>
  <c r="F58" i="15"/>
  <c r="G58" i="15" s="1"/>
  <c r="G93" i="15" l="1"/>
  <c r="D57" i="15"/>
  <c r="F57" i="15" s="1"/>
  <c r="G57" i="15" s="1"/>
  <c r="D56" i="15"/>
  <c r="F56" i="15" s="1"/>
  <c r="G56" i="15" s="1"/>
  <c r="D55" i="15"/>
  <c r="F55" i="15" s="1"/>
  <c r="G55" i="15" s="1"/>
  <c r="D42" i="15"/>
  <c r="F42" i="15" s="1"/>
  <c r="G42" i="15" s="1"/>
  <c r="D41" i="15"/>
  <c r="F41" i="15" s="1"/>
  <c r="G41" i="15" s="1"/>
  <c r="D40" i="15"/>
  <c r="F40" i="15" s="1"/>
  <c r="G40" i="15" s="1"/>
  <c r="G31" i="15"/>
  <c r="G30" i="15"/>
  <c r="G29" i="15"/>
  <c r="G26" i="15"/>
  <c r="D28" i="15"/>
  <c r="D27" i="15"/>
  <c r="G20" i="15"/>
  <c r="G21" i="15"/>
  <c r="G22" i="15"/>
  <c r="G23" i="15"/>
  <c r="G24" i="15"/>
  <c r="G25" i="15"/>
  <c r="F108" i="15"/>
  <c r="G108" i="15" s="1"/>
  <c r="F106" i="15"/>
  <c r="G106" i="15" s="1"/>
  <c r="F105" i="15"/>
  <c r="G105" i="15" s="1"/>
  <c r="F104" i="15"/>
  <c r="G104" i="15" s="1"/>
  <c r="F101" i="15"/>
  <c r="G101" i="15" s="1"/>
  <c r="F99" i="15"/>
  <c r="G99" i="15" s="1"/>
  <c r="F98" i="15"/>
  <c r="G98" i="15" s="1"/>
  <c r="F97" i="15"/>
  <c r="G97" i="15" s="1"/>
  <c r="F94" i="15"/>
  <c r="G94" i="15" s="1"/>
  <c r="F92" i="15"/>
  <c r="G92" i="15" s="1"/>
  <c r="F91" i="15"/>
  <c r="G91" i="15" s="1"/>
  <c r="F90" i="15"/>
  <c r="G90" i="15" s="1"/>
  <c r="F87" i="15"/>
  <c r="G87" i="15" s="1"/>
  <c r="F86" i="15"/>
  <c r="G86" i="15" s="1"/>
  <c r="F85" i="15"/>
  <c r="G85" i="15" s="1"/>
  <c r="F84" i="15"/>
  <c r="G84" i="15" s="1"/>
  <c r="F83" i="15"/>
  <c r="G83" i="15" s="1"/>
  <c r="F82" i="15"/>
  <c r="G82" i="15" s="1"/>
  <c r="F80" i="15"/>
  <c r="G80" i="15" s="1"/>
  <c r="F79" i="15"/>
  <c r="G79" i="15" s="1"/>
  <c r="F78" i="15"/>
  <c r="G78" i="15" s="1"/>
  <c r="F77" i="15"/>
  <c r="G77" i="15" s="1"/>
  <c r="F76" i="15"/>
  <c r="G76" i="15" s="1"/>
  <c r="F75" i="15"/>
  <c r="G75" i="15" s="1"/>
  <c r="F73" i="15"/>
  <c r="G73" i="15" s="1"/>
  <c r="F72" i="15"/>
  <c r="G72" i="15" s="1"/>
  <c r="F71" i="15"/>
  <c r="G71" i="15" s="1"/>
  <c r="F70" i="15"/>
  <c r="G70" i="15" s="1"/>
  <c r="F69" i="15"/>
  <c r="G69" i="15" s="1"/>
  <c r="F68" i="15"/>
  <c r="G68" i="15" s="1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54" i="15"/>
  <c r="G54" i="15" s="1"/>
  <c r="F53" i="15"/>
  <c r="G53" i="15" s="1"/>
  <c r="F52" i="15"/>
  <c r="G52" i="15" s="1"/>
  <c r="F51" i="15"/>
  <c r="G51" i="15" s="1"/>
  <c r="F50" i="15"/>
  <c r="G50" i="15" s="1"/>
  <c r="F49" i="15"/>
  <c r="G49" i="15" s="1"/>
  <c r="F48" i="15"/>
  <c r="G48" i="15" s="1"/>
  <c r="F47" i="15"/>
  <c r="G47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F5" i="15"/>
  <c r="F28" i="15" l="1"/>
  <c r="G28" i="15" s="1"/>
  <c r="F27" i="15"/>
  <c r="F109" i="15" s="1"/>
  <c r="G5" i="15"/>
  <c r="A20" i="15"/>
  <c r="A21" i="15" s="1"/>
  <c r="A22" i="15" s="1"/>
  <c r="A23" i="15" s="1"/>
  <c r="A24" i="15" s="1"/>
  <c r="A25" i="15" s="1"/>
  <c r="G27" i="15" l="1"/>
  <c r="G109" i="15" s="1"/>
  <c r="A26" i="15"/>
  <c r="A27" i="15" s="1"/>
  <c r="A28" i="15" s="1"/>
  <c r="A29" i="15" s="1"/>
  <c r="A30" i="15" s="1"/>
  <c r="A31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l="1"/>
  <c r="A43" i="15" s="1"/>
  <c r="A44" i="15" s="1"/>
  <c r="A45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l="1"/>
  <c r="A57" i="15" s="1"/>
  <c r="A58" i="15" s="1"/>
  <c r="A59" i="15" s="1"/>
  <c r="A61" i="15" s="1"/>
  <c r="A62" i="15" s="1"/>
  <c r="A63" i="15" s="1"/>
  <c r="A64" i="15" s="1"/>
  <c r="A65" i="15" s="1"/>
  <c r="A66" i="15" s="1"/>
  <c r="A68" i="15" l="1"/>
  <c r="A69" i="15" s="1"/>
  <c r="A70" i="15" s="1"/>
  <c r="A71" i="15" s="1"/>
  <c r="A72" i="15" s="1"/>
  <c r="A73" i="15" s="1"/>
  <c r="A75" i="15" l="1"/>
  <c r="A76" i="15" s="1"/>
  <c r="A77" i="15" s="1"/>
  <c r="A78" i="15" s="1"/>
  <c r="A79" i="15" s="1"/>
  <c r="A80" i="15" s="1"/>
  <c r="A82" i="15" l="1"/>
  <c r="A83" i="15" s="1"/>
  <c r="A84" i="15" s="1"/>
  <c r="A85" i="15" s="1"/>
  <c r="A86" i="15" s="1"/>
  <c r="A87" i="15" s="1"/>
  <c r="A89" i="15" l="1"/>
  <c r="A90" i="15" s="1"/>
  <c r="A91" i="15" s="1"/>
  <c r="A92" i="15" s="1"/>
  <c r="A93" i="15" l="1"/>
  <c r="A94" i="15" s="1"/>
  <c r="A96" i="15" s="1"/>
  <c r="A97" i="15" s="1"/>
  <c r="A98" i="15" s="1"/>
  <c r="A99" i="15" s="1"/>
  <c r="A100" i="15" l="1"/>
  <c r="A101" i="15" s="1"/>
  <c r="A103" i="15" s="1"/>
  <c r="A104" i="15" s="1"/>
  <c r="A105" i="15" s="1"/>
  <c r="A106" i="15" s="1"/>
  <c r="A107" i="15" s="1"/>
  <c r="A108" i="15" s="1"/>
  <c r="G250" i="14"/>
  <c r="G249" i="14"/>
  <c r="G247" i="14"/>
  <c r="G244" i="14"/>
  <c r="G243" i="14"/>
  <c r="G242" i="14"/>
  <c r="G240" i="14"/>
  <c r="G239" i="14"/>
  <c r="G237" i="14"/>
  <c r="G236" i="14"/>
  <c r="G235" i="14"/>
  <c r="G234" i="14"/>
  <c r="G220" i="14"/>
  <c r="G218" i="14"/>
  <c r="G217" i="14"/>
  <c r="G216" i="14"/>
  <c r="G214" i="14"/>
  <c r="G213" i="14"/>
  <c r="G212" i="14"/>
  <c r="G211" i="14"/>
  <c r="G188" i="14"/>
  <c r="G185" i="14"/>
  <c r="G184" i="14"/>
  <c r="G183" i="14"/>
  <c r="G181" i="14"/>
  <c r="G180" i="14"/>
  <c r="G179" i="14"/>
  <c r="G178" i="14"/>
  <c r="G176" i="14"/>
  <c r="G174" i="14"/>
  <c r="G173" i="14"/>
  <c r="G172" i="14"/>
  <c r="G171" i="14"/>
  <c r="G170" i="14"/>
  <c r="G169" i="14"/>
  <c r="G168" i="14"/>
  <c r="G167" i="14"/>
  <c r="G166" i="14"/>
  <c r="G165" i="14"/>
  <c r="G162" i="14"/>
  <c r="G161" i="14"/>
  <c r="G160" i="14"/>
  <c r="G158" i="14"/>
  <c r="G157" i="14"/>
  <c r="G156" i="14"/>
  <c r="G155" i="14"/>
  <c r="G154" i="14"/>
  <c r="G153" i="14"/>
  <c r="G151" i="14"/>
  <c r="G150" i="14"/>
  <c r="G149" i="14"/>
  <c r="G148" i="14"/>
  <c r="G147" i="14"/>
  <c r="G146" i="14"/>
  <c r="G145" i="14"/>
  <c r="G144" i="14"/>
  <c r="G143" i="14"/>
  <c r="G142" i="14"/>
  <c r="G139" i="14"/>
  <c r="G138" i="14"/>
  <c r="G137" i="14"/>
  <c r="G136" i="14"/>
  <c r="G135" i="14"/>
  <c r="G134" i="14"/>
  <c r="G132" i="14"/>
  <c r="G130" i="14"/>
  <c r="G129" i="14"/>
  <c r="G128" i="14"/>
  <c r="G127" i="14"/>
  <c r="G126" i="14"/>
  <c r="G125" i="14"/>
  <c r="G124" i="14"/>
  <c r="G123" i="14"/>
  <c r="G120" i="14"/>
  <c r="G118" i="14"/>
  <c r="G116" i="14"/>
  <c r="G115" i="14"/>
  <c r="G114" i="14"/>
  <c r="G113" i="14"/>
  <c r="G112" i="14"/>
  <c r="G111" i="14"/>
  <c r="G108" i="14"/>
  <c r="G107" i="14"/>
  <c r="G106" i="14"/>
  <c r="G105" i="14"/>
  <c r="G104" i="14"/>
  <c r="G103" i="14"/>
  <c r="G102" i="14"/>
  <c r="G101" i="14"/>
  <c r="G100" i="14"/>
  <c r="G99" i="14"/>
  <c r="G88" i="14"/>
  <c r="G87" i="14"/>
  <c r="G86" i="14"/>
  <c r="G85" i="14"/>
  <c r="G84" i="14"/>
  <c r="G83" i="14"/>
  <c r="G82" i="14"/>
  <c r="G80" i="14"/>
  <c r="G79" i="14"/>
  <c r="G78" i="14"/>
  <c r="G77" i="14"/>
  <c r="G76" i="14"/>
  <c r="G75" i="14"/>
  <c r="G74" i="14"/>
  <c r="G73" i="14"/>
  <c r="G72" i="14"/>
  <c r="G71" i="14"/>
  <c r="G68" i="14"/>
  <c r="G59" i="14"/>
  <c r="G58" i="14"/>
  <c r="G57" i="14"/>
  <c r="G56" i="14"/>
  <c r="G55" i="14"/>
  <c r="G54" i="14"/>
  <c r="G52" i="14"/>
  <c r="G51" i="14"/>
  <c r="G50" i="14"/>
  <c r="G49" i="14"/>
  <c r="G48" i="14"/>
  <c r="G47" i="14"/>
  <c r="G46" i="14"/>
  <c r="G45" i="14"/>
  <c r="G44" i="14"/>
  <c r="G43" i="14"/>
  <c r="G32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5" i="14"/>
  <c r="G14" i="14"/>
  <c r="G13" i="14"/>
  <c r="G12" i="14"/>
  <c r="G11" i="14"/>
  <c r="G10" i="14"/>
  <c r="G9" i="14"/>
  <c r="G8" i="14"/>
  <c r="G7" i="14"/>
  <c r="A7" i="14"/>
  <c r="A8" i="14" s="1"/>
  <c r="A9" i="14" s="1"/>
  <c r="A10" i="14" s="1"/>
  <c r="A11" i="14" s="1"/>
  <c r="A12" i="14" s="1"/>
  <c r="A13" i="14" s="1"/>
  <c r="A14" i="14" s="1"/>
  <c r="A15" i="14" s="1"/>
  <c r="F251" i="14" l="1"/>
  <c r="F252" i="14" s="1"/>
  <c r="F253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1" i="14" s="1"/>
  <c r="A32" i="14" s="1"/>
  <c r="G6" i="14"/>
  <c r="G251" i="14" s="1"/>
  <c r="G252" i="14" s="1"/>
  <c r="G253" i="14" s="1"/>
  <c r="F11" i="4"/>
  <c r="G11" i="4" s="1"/>
  <c r="A34" i="14" l="1"/>
  <c r="A36" i="14" s="1"/>
  <c r="A38" i="14" s="1"/>
  <c r="A39" i="14" s="1"/>
  <c r="A40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4" i="14" s="1"/>
  <c r="A55" i="14" s="1"/>
  <c r="A56" i="14" s="1"/>
  <c r="A57" i="14" s="1"/>
  <c r="A58" i="14" s="1"/>
  <c r="A59" i="14" s="1"/>
  <c r="A60" i="14" l="1"/>
  <c r="A61" i="14" s="1"/>
  <c r="A62" i="14" s="1"/>
  <c r="A63" i="14" s="1"/>
  <c r="A64" i="14" s="1"/>
  <c r="A66" i="14" s="1"/>
  <c r="A67" i="14" s="1"/>
  <c r="A68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2" i="14" s="1"/>
  <c r="A83" i="14" s="1"/>
  <c r="A84" i="14" s="1"/>
  <c r="A85" i="14" s="1"/>
  <c r="A86" i="14" s="1"/>
  <c r="A87" i="14" s="1"/>
  <c r="A88" i="14" s="1"/>
  <c r="A89" i="14" l="1"/>
  <c r="A90" i="14" s="1"/>
  <c r="A91" i="14" s="1"/>
  <c r="A92" i="14" s="1"/>
  <c r="A94" i="14" s="1"/>
  <c r="A95" i="14" s="1"/>
  <c r="A96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1" i="14" s="1"/>
  <c r="A112" i="14" s="1"/>
  <c r="A113" i="14" s="1"/>
  <c r="A114" i="14" s="1"/>
  <c r="A115" i="14" s="1"/>
  <c r="A116" i="14" s="1"/>
  <c r="A118" i="14" s="1"/>
  <c r="A119" i="14" l="1"/>
  <c r="A120" i="14" s="1"/>
  <c r="A123" i="14" s="1"/>
  <c r="A124" i="14" s="1"/>
  <c r="A125" i="14" s="1"/>
  <c r="A126" i="14" s="1"/>
  <c r="A127" i="14" s="1"/>
  <c r="A128" i="14" s="1"/>
  <c r="A129" i="14" s="1"/>
  <c r="A130" i="14" s="1"/>
  <c r="A131" i="14" l="1"/>
  <c r="A132" i="14" s="1"/>
  <c r="A134" i="14" s="1"/>
  <c r="A135" i="14" s="1"/>
  <c r="A136" i="14" s="1"/>
  <c r="A137" i="14" s="1"/>
  <c r="A138" i="14" s="1"/>
  <c r="A139" i="14" s="1"/>
  <c r="A142" i="14" l="1"/>
  <c r="A143" i="14" s="1"/>
  <c r="A144" i="14" s="1"/>
  <c r="A145" i="14" s="1"/>
  <c r="A146" i="14" s="1"/>
  <c r="A147" i="14" s="1"/>
  <c r="A148" i="14" s="1"/>
  <c r="A149" i="14" s="1"/>
  <c r="A150" i="14" s="1"/>
  <c r="A151" i="14" s="1"/>
  <c r="A153" i="14" s="1"/>
  <c r="A154" i="14" s="1"/>
  <c r="A155" i="14" s="1"/>
  <c r="A156" i="14" s="1"/>
  <c r="A157" i="14" s="1"/>
  <c r="A158" i="14" s="1"/>
  <c r="A160" i="14" l="1"/>
  <c r="A161" i="14" s="1"/>
  <c r="A162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6" i="14" s="1"/>
  <c r="A177" i="14" s="1"/>
  <c r="A178" i="14" s="1"/>
  <c r="A179" i="14" s="1"/>
  <c r="A180" i="14" s="1"/>
  <c r="A181" i="14" s="1"/>
  <c r="A183" i="14" s="1"/>
  <c r="A184" i="14" s="1"/>
  <c r="A185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9" i="14" s="1"/>
  <c r="A200" i="14" s="1"/>
  <c r="A201" i="14" s="1"/>
  <c r="A202" i="14" s="1"/>
  <c r="A203" i="14" s="1"/>
  <c r="A204" i="14" s="1"/>
  <c r="A206" i="14" s="1"/>
  <c r="A207" i="14" s="1"/>
  <c r="A208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2" i="14" s="1"/>
  <c r="A223" i="14" s="1"/>
  <c r="A224" i="14" s="1"/>
  <c r="A225" i="14" s="1"/>
  <c r="A226" i="14" s="1"/>
  <c r="A227" i="14" s="1"/>
  <c r="A229" i="14" s="1"/>
  <c r="A230" i="14" s="1"/>
  <c r="A231" i="14" s="1"/>
  <c r="A234" i="14" s="1"/>
  <c r="A235" i="14" s="1"/>
  <c r="A236" i="14" s="1"/>
  <c r="A237" i="14" s="1"/>
  <c r="A239" i="14" s="1"/>
  <c r="A240" i="14" s="1"/>
  <c r="A241" i="14" s="1"/>
  <c r="A242" i="14" s="1"/>
  <c r="A243" i="14" s="1"/>
  <c r="A244" i="14" s="1"/>
  <c r="A245" i="14" s="1"/>
  <c r="A247" i="14" s="1"/>
  <c r="A248" i="14" s="1"/>
  <c r="A249" i="14" s="1"/>
  <c r="A250" i="14" s="1"/>
  <c r="F56" i="10" l="1"/>
  <c r="G56" i="10" s="1"/>
  <c r="F55" i="10"/>
  <c r="G55" i="10" s="1"/>
  <c r="F54" i="10"/>
  <c r="G54" i="10" s="1"/>
  <c r="F52" i="10"/>
  <c r="G52" i="10" s="1"/>
  <c r="F51" i="10"/>
  <c r="G51" i="10" s="1"/>
  <c r="F50" i="10"/>
  <c r="G50" i="10" s="1"/>
  <c r="F47" i="10"/>
  <c r="G47" i="10" s="1"/>
  <c r="F46" i="10"/>
  <c r="G46" i="10" s="1"/>
  <c r="F43" i="10"/>
  <c r="G43" i="10" s="1"/>
  <c r="F42" i="10"/>
  <c r="G42" i="10" s="1"/>
  <c r="F41" i="10"/>
  <c r="G41" i="10" s="1"/>
  <c r="F39" i="10"/>
  <c r="G39" i="10" s="1"/>
  <c r="F38" i="10"/>
  <c r="G38" i="10" s="1"/>
  <c r="F37" i="10"/>
  <c r="G37" i="10" s="1"/>
  <c r="F34" i="10"/>
  <c r="G34" i="10" s="1"/>
  <c r="F33" i="10"/>
  <c r="G33" i="10" s="1"/>
  <c r="F30" i="10"/>
  <c r="G30" i="10" s="1"/>
  <c r="F29" i="10"/>
  <c r="G29" i="10" s="1"/>
  <c r="F28" i="10"/>
  <c r="G28" i="10" s="1"/>
  <c r="F26" i="10"/>
  <c r="G26" i="10" s="1"/>
  <c r="F25" i="10"/>
  <c r="G25" i="10" s="1"/>
  <c r="F24" i="10"/>
  <c r="G24" i="10" s="1"/>
  <c r="F21" i="10"/>
  <c r="G21" i="10" s="1"/>
  <c r="F17" i="10"/>
  <c r="G17" i="10" s="1"/>
  <c r="F16" i="10"/>
  <c r="G16" i="10" s="1"/>
  <c r="F15" i="10"/>
  <c r="G15" i="10" s="1"/>
  <c r="F13" i="10"/>
  <c r="G13" i="10" s="1"/>
  <c r="F12" i="10"/>
  <c r="G12" i="10" s="1"/>
  <c r="F11" i="10"/>
  <c r="G11" i="10" s="1"/>
  <c r="F8" i="10"/>
  <c r="G8" i="10" s="1"/>
  <c r="F35" i="5"/>
  <c r="G35" i="5" s="1"/>
  <c r="F34" i="5"/>
  <c r="G34" i="5" s="1"/>
  <c r="F33" i="5"/>
  <c r="G33" i="5" s="1"/>
  <c r="E40" i="5"/>
  <c r="F40" i="5" s="1"/>
  <c r="G40" i="5" s="1"/>
  <c r="F39" i="5"/>
  <c r="G39" i="5" s="1"/>
  <c r="E38" i="5"/>
  <c r="F38" i="5" s="1"/>
  <c r="G38" i="5" s="1"/>
  <c r="E37" i="5"/>
  <c r="F37" i="5" s="1"/>
  <c r="G37" i="5" s="1"/>
  <c r="E36" i="5"/>
  <c r="F36" i="5" s="1"/>
  <c r="G36" i="5" s="1"/>
  <c r="E31" i="5"/>
  <c r="F31" i="5" s="1"/>
  <c r="G31" i="5" s="1"/>
  <c r="F30" i="5"/>
  <c r="G30" i="5" s="1"/>
  <c r="E29" i="5"/>
  <c r="F29" i="5" s="1"/>
  <c r="G29" i="5" s="1"/>
  <c r="E28" i="5"/>
  <c r="F28" i="5" s="1"/>
  <c r="G28" i="5" s="1"/>
  <c r="E27" i="5"/>
  <c r="F27" i="5" s="1"/>
  <c r="G27" i="5" s="1"/>
  <c r="F26" i="5"/>
  <c r="G26" i="5" s="1"/>
  <c r="F25" i="5"/>
  <c r="G25" i="5" s="1"/>
  <c r="F24" i="5"/>
  <c r="G24" i="5" s="1"/>
  <c r="E22" i="5"/>
  <c r="F22" i="5" s="1"/>
  <c r="G22" i="5" s="1"/>
  <c r="F21" i="5"/>
  <c r="G21" i="5" s="1"/>
  <c r="E20" i="5"/>
  <c r="F20" i="5" s="1"/>
  <c r="G20" i="5" s="1"/>
  <c r="E19" i="5"/>
  <c r="F19" i="5" s="1"/>
  <c r="G19" i="5" s="1"/>
  <c r="E18" i="5"/>
  <c r="F18" i="5" s="1"/>
  <c r="G18" i="5" s="1"/>
  <c r="F17" i="5"/>
  <c r="G17" i="5" s="1"/>
  <c r="F16" i="5"/>
  <c r="G16" i="5" s="1"/>
  <c r="F15" i="5"/>
  <c r="G15" i="5" s="1"/>
  <c r="E11" i="5"/>
  <c r="F11" i="5" s="1"/>
  <c r="G11" i="5" s="1"/>
  <c r="E10" i="5"/>
  <c r="F10" i="5" s="1"/>
  <c r="G10" i="5" s="1"/>
  <c r="E13" i="5"/>
  <c r="F13" i="5" s="1"/>
  <c r="G13" i="5" s="1"/>
  <c r="F12" i="5"/>
  <c r="G12" i="5" s="1"/>
  <c r="E9" i="5"/>
  <c r="F9" i="5" s="1"/>
  <c r="G9" i="5" s="1"/>
  <c r="F8" i="5"/>
  <c r="G8" i="5" s="1"/>
  <c r="F7" i="5"/>
  <c r="G7" i="5" s="1"/>
  <c r="F6" i="5"/>
  <c r="G6" i="5" s="1"/>
  <c r="F41" i="5" l="1"/>
  <c r="G41" i="5" l="1"/>
  <c r="A7" i="5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22" i="5" s="1"/>
  <c r="A24" i="5" s="1"/>
  <c r="A25" i="5" s="1"/>
  <c r="A26" i="5" s="1"/>
  <c r="A27" i="5" s="1"/>
  <c r="A28" i="5" s="1"/>
  <c r="A29" i="5" s="1"/>
  <c r="A30" i="5" s="1"/>
  <c r="A31" i="5" s="1"/>
  <c r="A33" i="5" s="1"/>
  <c r="A34" i="5" s="1"/>
  <c r="A35" i="5" s="1"/>
  <c r="A36" i="5" s="1"/>
  <c r="A37" i="5" s="1"/>
  <c r="A38" i="5" s="1"/>
  <c r="A39" i="5" s="1"/>
  <c r="A40" i="5" s="1"/>
  <c r="E16" i="9" l="1"/>
  <c r="F16" i="9" s="1"/>
  <c r="G16" i="9" s="1"/>
  <c r="E10" i="9"/>
  <c r="F10" i="9" s="1"/>
  <c r="G10" i="9" s="1"/>
  <c r="E14" i="9"/>
  <c r="F14" i="9" s="1"/>
  <c r="G14" i="9" s="1"/>
  <c r="E13" i="9"/>
  <c r="F13" i="9" s="1"/>
  <c r="G13" i="9" s="1"/>
  <c r="E12" i="9"/>
  <c r="F12" i="9" s="1"/>
  <c r="G12" i="9" s="1"/>
  <c r="E11" i="9"/>
  <c r="F11" i="9" s="1"/>
  <c r="G11" i="9" s="1"/>
  <c r="E9" i="9"/>
  <c r="F9" i="9" s="1"/>
  <c r="G9" i="9" s="1"/>
  <c r="F18" i="9"/>
  <c r="G18" i="9" s="1"/>
  <c r="F17" i="9"/>
  <c r="G17" i="9" s="1"/>
  <c r="F6" i="9"/>
  <c r="G6" i="9" s="1"/>
  <c r="F5" i="9"/>
  <c r="G5" i="9" s="1"/>
  <c r="E7" i="9"/>
  <c r="F7" i="9" s="1"/>
  <c r="G7" i="9" s="1"/>
  <c r="A6" i="9"/>
  <c r="A7" i="9" s="1"/>
  <c r="A9" i="9" s="1"/>
  <c r="A10" i="9" s="1"/>
  <c r="A11" i="9" s="1"/>
  <c r="A12" i="9" s="1"/>
  <c r="A13" i="9" s="1"/>
  <c r="A14" i="9" s="1"/>
  <c r="A16" i="9" s="1"/>
  <c r="A17" i="9" s="1"/>
  <c r="A5" i="4"/>
  <c r="A6" i="4" s="1"/>
  <c r="A7" i="4" s="1"/>
  <c r="A8" i="4" s="1"/>
  <c r="A9" i="4" s="1"/>
  <c r="A10" i="4" s="1"/>
  <c r="A11" i="4" s="1"/>
  <c r="E10" i="4"/>
  <c r="F10" i="4" s="1"/>
  <c r="G10" i="4" s="1"/>
  <c r="E9" i="4"/>
  <c r="F9" i="4" s="1"/>
  <c r="E8" i="4"/>
  <c r="F8" i="4" s="1"/>
  <c r="G8" i="4" s="1"/>
  <c r="E7" i="4"/>
  <c r="F7" i="4" s="1"/>
  <c r="G7" i="4" s="1"/>
  <c r="D6" i="4"/>
  <c r="E6" i="4"/>
  <c r="E5" i="4"/>
  <c r="F5" i="4" s="1"/>
  <c r="G5" i="4" s="1"/>
  <c r="E4" i="4"/>
  <c r="F4" i="4" s="1"/>
  <c r="G4" i="4" l="1"/>
  <c r="A18" i="9"/>
  <c r="G19" i="9"/>
  <c r="G20" i="9" s="1"/>
  <c r="G21" i="9" s="1"/>
  <c r="F19" i="9"/>
  <c r="F20" i="9" s="1"/>
  <c r="F21" i="9" s="1"/>
  <c r="G9" i="4"/>
  <c r="F6" i="4"/>
  <c r="G6" i="4" s="1"/>
  <c r="F12" i="4" l="1"/>
  <c r="G12" i="4"/>
  <c r="D48" i="10" l="1"/>
  <c r="F48" i="10" s="1"/>
  <c r="G48" i="10" s="1"/>
  <c r="D35" i="10"/>
  <c r="F35" i="10" s="1"/>
  <c r="G35" i="10" s="1"/>
  <c r="D22" i="10"/>
  <c r="F22" i="10" s="1"/>
  <c r="G22" i="10" s="1"/>
  <c r="D20" i="10"/>
  <c r="F20" i="10" s="1"/>
  <c r="G20" i="10" s="1"/>
  <c r="D9" i="10"/>
  <c r="F9" i="10" s="1"/>
  <c r="G9" i="10" s="1"/>
  <c r="D7" i="10"/>
  <c r="F7" i="10" s="1"/>
  <c r="A8" i="10"/>
  <c r="A9" i="10" s="1"/>
  <c r="A10" i="10" s="1"/>
  <c r="A15" i="10" s="1"/>
  <c r="A16" i="10" s="1"/>
  <c r="A17" i="10" s="1"/>
  <c r="A20" i="10" s="1"/>
  <c r="A21" i="10" s="1"/>
  <c r="A22" i="10" s="1"/>
  <c r="A23" i="10" s="1"/>
  <c r="A28" i="10" s="1"/>
  <c r="A29" i="10" s="1"/>
  <c r="A30" i="10" s="1"/>
  <c r="A33" i="10" s="1"/>
  <c r="A34" i="10" s="1"/>
  <c r="A35" i="10" s="1"/>
  <c r="A36" i="10" s="1"/>
  <c r="A41" i="10" s="1"/>
  <c r="A42" i="10" s="1"/>
  <c r="A43" i="10" s="1"/>
  <c r="A46" i="10" s="1"/>
  <c r="A47" i="10" s="1"/>
  <c r="A48" i="10" s="1"/>
  <c r="A49" i="10" s="1"/>
  <c r="A54" i="10" s="1"/>
  <c r="A55" i="10" s="1"/>
  <c r="A56" i="10" s="1"/>
  <c r="G7" i="10" l="1"/>
  <c r="F57" i="10"/>
  <c r="G57" i="10"/>
  <c r="G58" i="10" s="1"/>
  <c r="G59" i="10" s="1"/>
  <c r="F58" i="10" l="1"/>
  <c r="F59" i="10"/>
  <c r="G62" i="2" l="1"/>
  <c r="G61" i="2"/>
  <c r="D61" i="2"/>
  <c r="G82" i="2" l="1"/>
  <c r="H82" i="2" s="1"/>
  <c r="H81" i="2"/>
  <c r="H80" i="2"/>
  <c r="G79" i="2"/>
  <c r="H79" i="2" s="1"/>
  <c r="G78" i="2"/>
  <c r="H78" i="2" s="1"/>
  <c r="G77" i="2"/>
  <c r="H77" i="2" s="1"/>
  <c r="H76" i="2"/>
  <c r="H33" i="2"/>
  <c r="G33" i="2" s="1"/>
  <c r="H17" i="2"/>
  <c r="G17" i="2"/>
  <c r="H68" i="1"/>
  <c r="H72" i="1"/>
  <c r="H73" i="1"/>
  <c r="H33" i="1"/>
  <c r="G33" i="1" s="1"/>
  <c r="H17" i="1"/>
  <c r="G17" i="1" s="1"/>
  <c r="G86" i="2" l="1"/>
  <c r="H86" i="2"/>
  <c r="G74" i="1"/>
  <c r="H74" i="1" s="1"/>
  <c r="G70" i="1"/>
  <c r="H70" i="1" s="1"/>
  <c r="G71" i="1"/>
  <c r="H71" i="1" s="1"/>
  <c r="G69" i="1"/>
  <c r="H69" i="1" s="1"/>
  <c r="G67" i="1"/>
  <c r="H67" i="1" s="1"/>
  <c r="G66" i="1"/>
  <c r="H66" i="1" s="1"/>
  <c r="G65" i="1"/>
  <c r="H65" i="1" s="1"/>
  <c r="G63" i="1"/>
  <c r="H63" i="1" s="1"/>
  <c r="G64" i="1"/>
  <c r="H64" i="1" s="1"/>
  <c r="G61" i="1"/>
  <c r="H61" i="1" s="1"/>
  <c r="G62" i="1"/>
  <c r="H62" i="1" s="1"/>
  <c r="H78" i="1" l="1"/>
  <c r="G78" i="1"/>
  <c r="H79" i="1" s="1"/>
  <c r="H87" i="2"/>
</calcChain>
</file>

<file path=xl/sharedStrings.xml><?xml version="1.0" encoding="utf-8"?>
<sst xmlns="http://schemas.openxmlformats.org/spreadsheetml/2006/main" count="1722" uniqueCount="608">
  <si>
    <t>№ПП</t>
  </si>
  <si>
    <t>Производитель</t>
  </si>
  <si>
    <t>Технические требования</t>
  </si>
  <si>
    <t>Наименование</t>
  </si>
  <si>
    <t>Примечания</t>
  </si>
  <si>
    <t>Цех 8</t>
  </si>
  <si>
    <t>1.</t>
  </si>
  <si>
    <t>Строительные материалы и оборудование цеха</t>
  </si>
  <si>
    <t>1.1.</t>
  </si>
  <si>
    <t xml:space="preserve"> 8 м</t>
  </si>
  <si>
    <t>1.2.</t>
  </si>
  <si>
    <t>Двери АБК</t>
  </si>
  <si>
    <t>Сантехника АБК</t>
  </si>
  <si>
    <t>Потолки АБК</t>
  </si>
  <si>
    <t>Огнестойкие полы цеха</t>
  </si>
  <si>
    <t>до 800 градусов</t>
  </si>
  <si>
    <t>ЖД пути внутрицеховые рельсы</t>
  </si>
  <si>
    <t>Р-65</t>
  </si>
  <si>
    <t xml:space="preserve">Шпалы в комплекте с креплениями </t>
  </si>
  <si>
    <t>Ворота автоматические вьздные</t>
  </si>
  <si>
    <t>Количество</t>
  </si>
  <si>
    <t>8 шт.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</si>
  <si>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</si>
  <si>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</si>
  <si>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</si>
  <si>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</si>
  <si>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</si>
  <si>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</si>
  <si>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</si>
  <si>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</si>
  <si>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</si>
  <si>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</t>
  </si>
  <si>
    <t>Электроснабжение</t>
  </si>
  <si>
    <t>кабель  от шинопровода до сварочной розетки 380В в щитке на 31 сварочный пост</t>
  </si>
  <si>
    <t>4х10мм</t>
  </si>
  <si>
    <t>2.1.</t>
  </si>
  <si>
    <t>2.2.</t>
  </si>
  <si>
    <t>кабели освещения и питания по АБК</t>
  </si>
  <si>
    <t>кабели питания кранов мостовых 3 шт.</t>
  </si>
  <si>
    <t>распред шкафы (сборные)</t>
  </si>
  <si>
    <t>внутреннее освещение общее+аварийное – светильники диодные без замены питающей сети</t>
  </si>
  <si>
    <t>Светильники АБК</t>
  </si>
  <si>
    <t>Светильники уличные наружного освещения</t>
  </si>
  <si>
    <t>2.3.</t>
  </si>
  <si>
    <t>2.4.</t>
  </si>
  <si>
    <t>2.5.</t>
  </si>
  <si>
    <t>2.6.</t>
  </si>
  <si>
    <t>2.7.</t>
  </si>
  <si>
    <t>2.8.</t>
  </si>
  <si>
    <t>Шинопровод</t>
  </si>
  <si>
    <t>При необходимости замены</t>
  </si>
  <si>
    <t>Отопление и вентиляция</t>
  </si>
  <si>
    <t>3.</t>
  </si>
  <si>
    <t>- водяные тепловые завесы над воротами</t>
  </si>
  <si>
    <t>- кондиционеры для АБК</t>
  </si>
  <si>
    <t>- оборудование системы автоматического регулирования и управления</t>
  </si>
  <si>
    <t xml:space="preserve"> приточно-вытяжное оборудование отопления и вентиляции цеха и АБК</t>
  </si>
  <si>
    <t>3.1.</t>
  </si>
  <si>
    <t>3.2.</t>
  </si>
  <si>
    <t>3.3.</t>
  </si>
  <si>
    <t>3.4.</t>
  </si>
  <si>
    <t>- Система управления компрессорами</t>
  </si>
  <si>
    <t>- АРМ</t>
  </si>
  <si>
    <t>- дополнительные трубопроводы для подачи воздуха</t>
  </si>
  <si>
    <t>Система подачи сжатого воздуха</t>
  </si>
  <si>
    <t>4.</t>
  </si>
  <si>
    <t>4.1.</t>
  </si>
  <si>
    <t>4.2.</t>
  </si>
  <si>
    <t>4.3.</t>
  </si>
  <si>
    <t>4.4.</t>
  </si>
  <si>
    <t>10м3/мин</t>
  </si>
  <si>
    <t>Компрессоры комплектно с осушителями и воздухосборниками</t>
  </si>
  <si>
    <t>2 шт.</t>
  </si>
  <si>
    <t>ООО "ЧКЗ МСК"</t>
  </si>
  <si>
    <t>- пульт АПС С200-М</t>
  </si>
  <si>
    <t>- извещатели пожарные автоматические и ручные</t>
  </si>
  <si>
    <t>- ИБП</t>
  </si>
  <si>
    <t>АПС пожарная сигнализация</t>
  </si>
  <si>
    <t>5.</t>
  </si>
  <si>
    <t>5.1.</t>
  </si>
  <si>
    <t>5.2.</t>
  </si>
  <si>
    <t>5.3.</t>
  </si>
  <si>
    <t>- звуковые оповещатели</t>
  </si>
  <si>
    <t>- световые оповещатели</t>
  </si>
  <si>
    <t>- ВОЛС кабель</t>
  </si>
  <si>
    <t>- медный кабель (витая пара)</t>
  </si>
  <si>
    <t>- патч корды</t>
  </si>
  <si>
    <t>- оптические кроссы</t>
  </si>
  <si>
    <t>- патч панели</t>
  </si>
  <si>
    <t>- Ethernet коммутаторы</t>
  </si>
  <si>
    <t>- кабельные органайзеры</t>
  </si>
  <si>
    <t>- универсальные розетки типа RJ45</t>
  </si>
  <si>
    <t>- кабельные лотки</t>
  </si>
  <si>
    <t>- IP-камеры Hikvision с поддержкой РоЕ</t>
  </si>
  <si>
    <t>- розетки, репитеры, кабель</t>
  </si>
  <si>
    <t>- коммутаторы</t>
  </si>
  <si>
    <t xml:space="preserve">СОУЭ (оповещение и эвакуация) </t>
  </si>
  <si>
    <t>СКС</t>
  </si>
  <si>
    <t>СОТ (охранное телевидение)</t>
  </si>
  <si>
    <t>6.</t>
  </si>
  <si>
    <t>7.</t>
  </si>
  <si>
    <t>8.</t>
  </si>
  <si>
    <t>6.1.</t>
  </si>
  <si>
    <t>6.2.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</si>
  <si>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</si>
  <si>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</si>
  <si>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</si>
  <si>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</si>
  <si>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</si>
  <si>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</si>
  <si>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</si>
  <si>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</si>
  <si>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</si>
  <si>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</si>
  <si>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8.1.</t>
  </si>
  <si>
    <t>8.2.</t>
  </si>
  <si>
    <t>8.3.</t>
  </si>
  <si>
    <t>ЖД пути от 417, 217 цехов</t>
  </si>
  <si>
    <t xml:space="preserve">Укладка звеньевого пути в прямых и кривых новыми рельсами типа Р-65 при 1840 шт. деревянных шпал на 1 км пути, тип скреплений – костыльное, км, в том числе: </t>
  </si>
  <si>
    <t>Стрелочный перевод правый  для установки по основному пути в кривую Р-600 с комплектом деревянных брусьев и костылей, комплект</t>
  </si>
  <si>
    <t>ТИП Р65 МАРКА 1/9 ПРОЕКТ 2766.00.000</t>
  </si>
  <si>
    <t>Стрелочный перевод левый  с комплектом деревянных брусьев и костылей, комплект</t>
  </si>
  <si>
    <t>Стрелочный перевод правый  с комплектом деревянных брусьев и костылей, комплект</t>
  </si>
  <si>
    <t>ТИП Р65 МАРКА 1/6 ПРОЕКТ 2307.00.000</t>
  </si>
  <si>
    <t xml:space="preserve">Установка тупиковых упоров </t>
  </si>
  <si>
    <t>(ТУ 5264-001-83875090-2016)</t>
  </si>
  <si>
    <t>типа Р65 под углом 45º</t>
  </si>
  <si>
    <t xml:space="preserve">Глухое пересечение , комплект </t>
  </si>
  <si>
    <t>16х16х165</t>
  </si>
  <si>
    <t>Р-65 категория Нт, длина 12,5 м</t>
  </si>
  <si>
    <t>ЖБ либо деревянная тип 2 (?)</t>
  </si>
  <si>
    <t>Отделочные материалы АБК, в составе:</t>
  </si>
  <si>
    <t>1.4.1.</t>
  </si>
  <si>
    <t>…</t>
  </si>
  <si>
    <t>Межпролетные механические ворота перегородка цеха</t>
  </si>
  <si>
    <t>Двери перегородка цеха</t>
  </si>
  <si>
    <t>Сендвич-панель перегородка цеха</t>
  </si>
  <si>
    <t>Полы АБК</t>
  </si>
  <si>
    <t>1.12.</t>
  </si>
  <si>
    <t>1.13.</t>
  </si>
  <si>
    <t>Модульное здание ц.8</t>
  </si>
  <si>
    <t>6х4,8м, два этажа, 15 окон, 2 двери, лестница на 2 этаж</t>
  </si>
  <si>
    <t>2шт.</t>
  </si>
  <si>
    <t>Цена по КП за весь объем с НДС</t>
  </si>
  <si>
    <t>тип II ГОСТ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</si>
  <si>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468*0,8125=380,25т</t>
    </r>
  </si>
  <si>
    <t>3870р за ед</t>
  </si>
  <si>
    <t>КП ТД ТЕХМЕТ</t>
  </si>
  <si>
    <t>в 1т.130шт. Всего 7740/130=59,5т</t>
  </si>
  <si>
    <t>0,378кг/шт. Всего 30960*0,378=11,702т</t>
  </si>
  <si>
    <t>масса=468рельс*2стороны * 0,0295т/шт = 27,612т</t>
  </si>
  <si>
    <t>Накладка 1Р-65, шт</t>
  </si>
  <si>
    <t>Подкладка Д-65 шт</t>
  </si>
  <si>
    <t>Костыль путевой шт</t>
  </si>
  <si>
    <t>Шпала деревянная пропитанная шт</t>
  </si>
  <si>
    <t xml:space="preserve">Рельс Р-65 </t>
  </si>
  <si>
    <t>масса 7740шт*0,00136т=10,5264т</t>
  </si>
  <si>
    <t>Противоугон П-65 шт</t>
  </si>
  <si>
    <t>Пpoклaдкa ЦП-362 нaшпaльнaя (Д-65) шт</t>
  </si>
  <si>
    <t>Сыпучие материалы:</t>
  </si>
  <si>
    <t>Щебень</t>
  </si>
  <si>
    <t>Песок</t>
  </si>
  <si>
    <t>9.1.</t>
  </si>
  <si>
    <t>9.2.</t>
  </si>
  <si>
    <t>фракция</t>
  </si>
  <si>
    <t>КП №112-сбр от 06.03.2023+сертификаты с доставкой и ПНР. +100% к цене</t>
  </si>
  <si>
    <t>КП №112-сбр от 06.03.2023+сертификаты +100% к цене</t>
  </si>
  <si>
    <t>Цена выход</t>
  </si>
  <si>
    <t>КП ТД ВЗВТ от 22.03.23 включая доставку и монтаж +35% к исх, 10% дисконт планово, уточнить на момент поставки</t>
  </si>
  <si>
    <t>ИТОГО</t>
  </si>
  <si>
    <t>рент</t>
  </si>
  <si>
    <t>Дорхан</t>
  </si>
  <si>
    <t>Гриша</t>
  </si>
  <si>
    <t>Олеванов</t>
  </si>
  <si>
    <t>Веза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</si>
  <si>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308*0,8125=250,25т</t>
    </r>
  </si>
  <si>
    <t>417 путь</t>
  </si>
  <si>
    <t>217 путь</t>
  </si>
  <si>
    <t>шт</t>
  </si>
  <si>
    <t>Рельсошпальная решетка Р-65 на бетонной шпале, тип скрепления ЖБР-65Ш в сборе</t>
  </si>
  <si>
    <t xml:space="preserve">Тупиковые упоры новые </t>
  </si>
  <si>
    <t>м3</t>
  </si>
  <si>
    <t>м</t>
  </si>
  <si>
    <t>цена за ед без НДС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</si>
  <si>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</si>
  <si>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</si>
  <si>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</si>
  <si>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</si>
  <si>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</si>
  <si>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</si>
  <si>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Геотекстиль, 3м</t>
  </si>
  <si>
    <t>Контррельсовый уголок в комплекте с башмаками и кремплением</t>
  </si>
  <si>
    <t>Рельсо-шпальная решётка Р-65 на деревянной шпале, тип скрепления КД-65 (в сборе)</t>
  </si>
  <si>
    <t>Железнодорожный путь №1</t>
  </si>
  <si>
    <t>Сооружение земляного полотна</t>
  </si>
  <si>
    <t>Вырезка существующего дорожного покрытия</t>
  </si>
  <si>
    <t>Вырезка существующего бетонного покрытия пола</t>
  </si>
  <si>
    <t>Вырезка техногенного грунта с перевозкой на 30 км и утилизацией</t>
  </si>
  <si>
    <t>Устройство балластного слоя ж/д пути под подошвой шпалы (h)20см</t>
  </si>
  <si>
    <t xml:space="preserve"> - из щебня балластного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</si>
  <si>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</si>
  <si>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</si>
  <si>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</si>
  <si>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(65,88кг/шт.) </t>
  </si>
  <si>
    <t>компл.</t>
  </si>
  <si>
    <t>Выправка пути в плане и в профиле (Р65, шпалы ж/б)</t>
  </si>
  <si>
    <t xml:space="preserve"> Устройство тупикового рельсового упора колесных пар</t>
  </si>
  <si>
    <t>шт.</t>
  </si>
  <si>
    <t>Железнодорожный путь №2</t>
  </si>
  <si>
    <t>Верхнее строение пути №2</t>
  </si>
  <si>
    <t>Железнодорожный путь №3</t>
  </si>
  <si>
    <t>Железнодорожный путь №4</t>
  </si>
  <si>
    <t>Верхнее строение пути №4</t>
  </si>
  <si>
    <t>№ п/п</t>
  </si>
  <si>
    <t>Наименование работ и затрат</t>
  </si>
  <si>
    <t>Ед. изм.</t>
  </si>
  <si>
    <t>Кол-во единиц</t>
  </si>
  <si>
    <t>Ед.изм</t>
  </si>
  <si>
    <t>Песок природный  средний</t>
  </si>
  <si>
    <t>т</t>
  </si>
  <si>
    <t>кг</t>
  </si>
  <si>
    <t>32.1</t>
  </si>
  <si>
    <t>Битумная мастика Технониколь №24</t>
  </si>
  <si>
    <t>Песок строительный</t>
  </si>
  <si>
    <t>ИТОГО с НДС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</si>
  <si>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</si>
  <si>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</si>
  <si>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</si>
  <si>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</si>
  <si>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Разборка существующего звеньевого пути</t>
  </si>
  <si>
    <t>Разборка тупиковых упоров</t>
  </si>
  <si>
    <t>Балластировка путей щебнем с увеличением на 10 %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</si>
  <si>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</si>
  <si>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</si>
  <si>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</si>
  <si>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</si>
  <si>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 xml:space="preserve">Планировка откосов насыпи </t>
  </si>
  <si>
    <t>ИТОГО без НДС</t>
  </si>
  <si>
    <t>Укладка контррельсового уголка СП850 в кривых (длина 10 м), включая монтаж башмаков и креплений
Пр. МСЗ.8318.00.000</t>
  </si>
  <si>
    <t>Рихтовка существующего пути</t>
  </si>
  <si>
    <t xml:space="preserve">Планировка площадки выемки </t>
  </si>
  <si>
    <t xml:space="preserve">Планировка откосов выемки </t>
  </si>
  <si>
    <t>Итого без НДС</t>
  </si>
  <si>
    <t xml:space="preserve">Итого </t>
  </si>
  <si>
    <t>Цена на ед. изм., руб. без НДС</t>
  </si>
  <si>
    <t>Цена за единицу без НДС</t>
  </si>
  <si>
    <t>Уплотнение грунта пневматическими трамбовками</t>
  </si>
  <si>
    <t>Разработка грунта вручную</t>
  </si>
  <si>
    <t>Земляные работы</t>
  </si>
  <si>
    <t>Доработка грунта в траншее вручную</t>
  </si>
  <si>
    <t>Обратная засыпка грунта бульдозером (95%)</t>
  </si>
  <si>
    <t>Обратная засыпка грунта вручную (5%)</t>
  </si>
  <si>
    <t>Погрузка лишнего грунта в автосамосвалы</t>
  </si>
  <si>
    <t>Устройство песчаного основания h=0,1м под трубы вручную</t>
  </si>
  <si>
    <t>Прокладка трубопровода</t>
  </si>
  <si>
    <t>10</t>
  </si>
  <si>
    <t>Монтаж трубы ПНД-110 SN12 в траншее на глубине 1 м</t>
  </si>
  <si>
    <t xml:space="preserve">Разработка сухого грунта механизированным способом </t>
  </si>
  <si>
    <t>ООО "ТЕХРЕСУРС"</t>
  </si>
  <si>
    <t>Цена за ед без НДС</t>
  </si>
  <si>
    <t>Ед изм</t>
  </si>
  <si>
    <t>Болт стыковой в сборе Р65</t>
  </si>
  <si>
    <t>Накладка 6-дырная Р65</t>
  </si>
  <si>
    <t>Демонтажные работы</t>
  </si>
  <si>
    <t>Щебень балластный категории II</t>
  </si>
  <si>
    <t xml:space="preserve">Щебень балластный фр.25-60 </t>
  </si>
  <si>
    <t>Гравийно-песчаная подушка</t>
  </si>
  <si>
    <t>Расходные и прочие сопутствующие материалы</t>
  </si>
  <si>
    <t>Верхнее строение пути №3</t>
  </si>
  <si>
    <t>Итого</t>
  </si>
  <si>
    <t>Непредвиденные работы (3%)</t>
  </si>
  <si>
    <t>Итого с непредвиденными</t>
  </si>
  <si>
    <t>с НДС</t>
  </si>
  <si>
    <t>комплекс</t>
  </si>
  <si>
    <t>Переустройство хозпитьевого водопровода (В1) на участке В1-1 – В1-2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</si>
  <si>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</si>
  <si>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</si>
  <si>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хозбытовой канализации (К1) на участке К1-26 – К1-27</t>
  </si>
  <si>
    <t>Переустройство хозбытовой канализации (К1) на участке К1-27 – К1-28</t>
  </si>
  <si>
    <t>Переустройство ливневой канализации (К2) на участке К2-7 – К2-8</t>
  </si>
  <si>
    <t>Переустройство ливневой канализации (К2) на участке К2-9 – К2-10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</si>
  <si>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</si>
  <si>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</si>
  <si>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ЭС. Точки 14-15</t>
  </si>
  <si>
    <t>Труба полиэтиленовая напорная ПЭ100 SDR17 ∅280х16,6 «питьевая»</t>
  </si>
  <si>
    <t>Труба стальная электросварная прямошовная ∅530х8,0 (футляр)</t>
  </si>
  <si>
    <t>Опорно-направляющее кольцо ОНК для трубы Дн=280 мм</t>
  </si>
  <si>
    <t>Фланец свободный стальной Dу 250 мм (для труб ∅280 мм)</t>
  </si>
  <si>
    <t>Втулка ПЭ100 SDR 17 под фланец d=250 мм PN10 кгс/см2 (для труб ∅280 мм)</t>
  </si>
  <si>
    <t>Болт М20х75 (36 шт.)</t>
  </si>
  <si>
    <t>Гайка М20 (36 шт.)</t>
  </si>
  <si>
    <t>Шайба М20 (72 шт.)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</si>
  <si>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</si>
  <si>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</si>
  <si>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</si>
  <si>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</si>
  <si>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Фланец стальной плоский приварной Dу 250 мм Ру 10 кгс/см2</t>
  </si>
  <si>
    <t>Цементно-песчаный раствор М100</t>
  </si>
  <si>
    <t>Плита днища ПН 15</t>
  </si>
  <si>
    <t>1</t>
  </si>
  <si>
    <t xml:space="preserve">Плита перекрытия 2ПП 15-2 </t>
  </si>
  <si>
    <t>Кольцо стеновое КС15.9</t>
  </si>
  <si>
    <t>2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</si>
  <si>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</si>
  <si>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</si>
  <si>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</si>
  <si>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</si>
  <si>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23</t>
  </si>
  <si>
    <t>Сталь угловая 50х5, l=245 мм (6 шт.)</t>
  </si>
  <si>
    <t>Полоса стальная 5х80 L=300 мм (6 шт.)</t>
  </si>
  <si>
    <t>Грунтовка Праймер Технониколь №1</t>
  </si>
  <si>
    <t>5</t>
  </si>
  <si>
    <t>34</t>
  </si>
  <si>
    <t>Щебень фракции 20-40 мм, М600</t>
  </si>
  <si>
    <t>0,7</t>
  </si>
  <si>
    <t>Труба полиэтиленовая напорная ПЭ100 SDR17 ∅225х13,4 «питьевая»</t>
  </si>
  <si>
    <t>97</t>
  </si>
  <si>
    <t>Труба стальная электросварная прямошовная ∅426х7,0 (футляр)</t>
  </si>
  <si>
    <t>6</t>
  </si>
  <si>
    <t>Опорно-направляющее кольцо ОНК для трубы Дн=225 мм</t>
  </si>
  <si>
    <t>Фланец свободный стальной Dу 300 мм (для труб ∅315 мм)</t>
  </si>
  <si>
    <t>Прокладка из паронита А-200-10 для фланца ∅200 мм, PN1,0 МПа, исп. А</t>
  </si>
  <si>
    <t>Втулка ПЭ100 SDR 17 под фланец d=315 мм PN10 кгс/см2</t>
  </si>
  <si>
    <t>Болт М20х80 (8 шт.)</t>
  </si>
  <si>
    <t>Гайка М20  (8 шт.)</t>
  </si>
  <si>
    <t>Шайба М20  (16 шт.)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</si>
  <si>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</si>
  <si>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</si>
  <si>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0,61</t>
  </si>
  <si>
    <t>Труба полиэтиленовая напорная ПЭ100 SDR17 ∅315х18,7 «питьевая»</t>
  </si>
  <si>
    <t>82</t>
  </si>
  <si>
    <t>41</t>
  </si>
  <si>
    <t>Опорно-направляющее кольцо ОНК для трубы Дн=315 мм</t>
  </si>
  <si>
    <t>12</t>
  </si>
  <si>
    <t>Отвод сварной 45° ПЭ100 SDR17 ∅315х18,7</t>
  </si>
  <si>
    <t>Прокладка из паронита А-300-10 для фланца ∅300 мм, PN1,0 МПа, исп. А</t>
  </si>
  <si>
    <t>Болт М20х80 (24 шт.)</t>
  </si>
  <si>
    <t>Гайка М20  (24 шт.)</t>
  </si>
  <si>
    <t>Шайба М20 (48 шт.)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</si>
  <si>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</si>
  <si>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</si>
  <si>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полимерная гофрированная двухслойная НПВХ DN 200 мм SN16</t>
  </si>
  <si>
    <t>42</t>
  </si>
  <si>
    <t>Труба стальная электросварная прямошовная ф426х7,0 мм (футляр)</t>
  </si>
  <si>
    <t>Опорно-направляющее кольцо ОНК для трубы Дн=200 мм</t>
  </si>
  <si>
    <t>Муфта защитная полиэтиленовая D=248 мм L=150,0 мм для прохода труб сквозь бетонную стенку колодца (для труб D=200 мм)</t>
  </si>
  <si>
    <t>Труба НПВХ гофрированная двухслойная DN 200 мм SN16</t>
  </si>
  <si>
    <t>Муфта защитная полиэтиленовая D=248 мм L=150,0 мм для прохода труб сквозь бетонную стенку колодца (для труб ∅200 мм)</t>
  </si>
  <si>
    <t>Труба НПВХ гофрированная двухслойная DN 1000 мм SN16</t>
  </si>
  <si>
    <t>31</t>
  </si>
  <si>
    <t>Труба стальная электросварная прямошовная ∅1220х10,0 мм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</si>
  <si>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</si>
  <si>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</si>
  <si>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</si>
  <si>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 xml:space="preserve">Труба стальная электросварная прямошовная ∅820х8,0 мм  (футляр) 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</si>
  <si>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</si>
  <si>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</si>
  <si>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21</t>
  </si>
  <si>
    <t>49</t>
  </si>
  <si>
    <t>Труба двустенная жесткая для кабельной канализации ПНД‐110 SN12</t>
  </si>
  <si>
    <t>40</t>
  </si>
  <si>
    <t>Пена двухкомпонентная огнезащитная DN1201</t>
  </si>
  <si>
    <t>16,7</t>
  </si>
  <si>
    <t>Кабель силовой с алюминиевыми жилами сечением 3х120 мм2 АСБ‐6</t>
  </si>
  <si>
    <t>300</t>
  </si>
  <si>
    <t>Муфта соединительная на напряжение до 10 кВ 3СТп‐10‐70/120</t>
  </si>
  <si>
    <t>Лена сигнальная "Осторожно, кабель" ЛСЭ‐300</t>
  </si>
  <si>
    <t>Разработка грунта в траншее механизированным способом (экскаватором с ковшом емк. 0,65 м3)</t>
  </si>
  <si>
    <t>Доработка грунта в траншее вручную (3% от V3)</t>
  </si>
  <si>
    <t>Водоотлив из траншей h=0,3</t>
  </si>
  <si>
    <t>Обратная засыпка песком вручную h=0,3 м над верхом трубы</t>
  </si>
  <si>
    <t xml:space="preserve">Погрузка лишнего грунта в автосамосвалы экскаватором с объѐмом ковша 0,65м3 </t>
  </si>
  <si>
    <t>Транспортировка лишнего грунта на расстояние 25 км автосамосвалами грузоподъемностью 10 т</t>
  </si>
  <si>
    <t>2,3</t>
  </si>
  <si>
    <t>294</t>
  </si>
  <si>
    <t>15</t>
  </si>
  <si>
    <t>Прокладка труб полиэтиленовых напорных ПЭ100  SDR17  ø280х16,6 «питьевая»</t>
  </si>
  <si>
    <t xml:space="preserve">Прокладка труб стальных электросварных 530х10мм (футляр)+ Установка опорно-направляющих колец ОНК для трубы Дн=280 мм-2шт. (Пересечение с ж/д путями) 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</si>
  <si>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</si>
  <si>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</si>
  <si>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</si>
  <si>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</si>
  <si>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</si>
  <si>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</si>
  <si>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</si>
  <si>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</si>
  <si>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>Заделка межтрубного пространства в футляре (кожухе) цементно-песчаным раствором М100 - 1м3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</si>
  <si>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</si>
  <si>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</si>
  <si>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</si>
  <si>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</si>
  <si>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</si>
  <si>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</si>
  <si>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</si>
  <si>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</si>
  <si>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</si>
  <si>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</si>
  <si>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 xml:space="preserve">Разработка грунта в траншее механизированным способом (экскаватором с ковшом емк. 0,65 м3) 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</si>
  <si>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</si>
  <si>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</si>
  <si>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</si>
  <si>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</si>
  <si>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</si>
  <si>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</si>
  <si>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</si>
  <si>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</si>
  <si>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Заделка межтрубного пространства в футляре (кожухе) цементно-песчаным раствором М100 - 0,61м3</t>
  </si>
  <si>
    <t>Демонтаж существующих труб стальных электросварных ø219х6,0</t>
  </si>
  <si>
    <t xml:space="preserve">Обратная засыпка грунта бульдозером (95%) </t>
  </si>
  <si>
    <t xml:space="preserve">Обратная засыпка грунта вручную (5%) </t>
  </si>
  <si>
    <t>Погрузка лишнего грунта в автосамосвалы экскаватором с объѐмом ковша 0,65м3</t>
  </si>
  <si>
    <t>Прокладка труб полиэтиленовых напорных ПЭ100  SDR17  ø315х18,7 «питьевая»</t>
  </si>
  <si>
    <t>Укладка стальных водопроводных труб с гидравлическим испытанием диаметром: 500 мм</t>
  </si>
  <si>
    <t>Монтаж отвода 450 ПЭ 100 SDR17 d=315 мм - 14,8кг/шт.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</si>
  <si>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</si>
  <si>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</si>
  <si>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</si>
  <si>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</si>
  <si>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Заделка межтрубного пространства в футляре (кожухе) цементно-песчаным раствором М100 - 6м3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</si>
  <si>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</si>
  <si>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</si>
  <si>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>Крепление стенок траншеи инвентарными дощатыми щитами с винтовыми распорками</t>
  </si>
  <si>
    <t>Прокладка труб полимерных гофрированных двухслойных НПВХ  DN 200 мм SN16</t>
  </si>
  <si>
    <t>Прокладка труб стальных электросварных прямошовных, ø426х7,0 мм  (футляр) + Установка опорно-направляющих колец ОНК для трубы Дн=200 мм - 2шт.</t>
  </si>
  <si>
    <t>Сверление отверстий для устройства  муфты защитной полиэтиленовой L=150,0 мм D=248 мм (проход труб сквозь бетонную стену колодца)</t>
  </si>
  <si>
    <t>Монтаж муфты защитной полиэтиленовой D=248 мм L=150,0 мм для прохода труб сквозь бетонную стенку колодца (для труб ø200 мм)</t>
  </si>
  <si>
    <t>Демонтаж труб бетонных ø200</t>
  </si>
  <si>
    <t xml:space="preserve">Транспортировка для утилизации на полигон на расстояние 25 км </t>
  </si>
  <si>
    <t>Погрузка труб бетонных на автосамосвалы</t>
  </si>
  <si>
    <t>Прокладка труб стальных электросварных прямошовных, ø426х7,0 мм  (футляр) + Установка опорно-направляющих колец ОНК для трубы Дн=200 мм - 2шт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</si>
  <si>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</si>
  <si>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</si>
  <si>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</si>
  <si>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</si>
  <si>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</si>
  <si>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</si>
  <si>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</si>
  <si>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</si>
  <si>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</si>
  <si>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</si>
  <si>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</si>
  <si>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</si>
  <si>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</si>
  <si>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Погрузка вручную  грунта</t>
  </si>
  <si>
    <t>Вывоз лишнего грунта на полигон на расстояние 25 км</t>
  </si>
  <si>
    <t>Кабель в футляре из трубы ПНД-110 SN12</t>
  </si>
  <si>
    <t>Заделка труб пеной двухкомпонентной огнезащитной</t>
  </si>
  <si>
    <t>Устройство постели из песка для прокладки кабеля в траншее</t>
  </si>
  <si>
    <t>Прокладка кабеля АСБ-6 сеч. 3х120мм2 в траншее</t>
  </si>
  <si>
    <t>Прокладка кабеля АСБ-6 сеч. 3х120мм2 в трубе</t>
  </si>
  <si>
    <t xml:space="preserve">Монтаж муфты соединительной 10кВ 3СТп-10-70/120 </t>
  </si>
  <si>
    <t>Прокладка сигнальной ленты</t>
  </si>
  <si>
    <t>Пусконаладочные работы</t>
  </si>
  <si>
    <t>Испытания кабеля повышенным напряжением (на барабане)</t>
  </si>
  <si>
    <t>Испытания кабеля повышенным напряжением (вставки)</t>
  </si>
  <si>
    <t>Испытания кабеля повышенным напряжением (переключенной КЛ)</t>
  </si>
  <si>
    <t>Фазировка</t>
  </si>
  <si>
    <t>Устройство основания под колодцы щебеночного</t>
  </si>
  <si>
    <t>Погрузка демонтированных элементов</t>
  </si>
  <si>
    <t>30 км</t>
  </si>
  <si>
    <t>цена в пред. КП</t>
  </si>
  <si>
    <t>присоединение</t>
  </si>
  <si>
    <t>испытание</t>
  </si>
  <si>
    <t>фазировка</t>
  </si>
  <si>
    <t>ООО "ЭлектроЭнергетика"</t>
  </si>
  <si>
    <t>Стоимость работ</t>
  </si>
  <si>
    <t>Стоимость материалов</t>
  </si>
  <si>
    <t>Всего</t>
  </si>
  <si>
    <t>без НДС</t>
  </si>
  <si>
    <t>14.1</t>
  </si>
  <si>
    <t>18.1</t>
  </si>
  <si>
    <t>19.1</t>
  </si>
  <si>
    <t>20.1</t>
  </si>
  <si>
    <t>21.1</t>
  </si>
  <si>
    <t>22.1</t>
  </si>
  <si>
    <t>23.1</t>
  </si>
  <si>
    <t>24.1</t>
  </si>
  <si>
    <t>25.1</t>
  </si>
  <si>
    <t>26.1</t>
  </si>
  <si>
    <t>27.1</t>
  </si>
  <si>
    <t>28.1</t>
  </si>
  <si>
    <t>29.1</t>
  </si>
  <si>
    <t>30.1</t>
  </si>
  <si>
    <t>31.1</t>
  </si>
  <si>
    <t>33.1</t>
  </si>
  <si>
    <t>42.1</t>
  </si>
  <si>
    <t>43.1</t>
  </si>
  <si>
    <t>44.1</t>
  </si>
  <si>
    <t>45.1</t>
  </si>
  <si>
    <t>46.1</t>
  </si>
  <si>
    <t>47.1</t>
  </si>
  <si>
    <t xml:space="preserve">Праймер Технониколь </t>
  </si>
  <si>
    <t>л</t>
  </si>
  <si>
    <t>17.1</t>
  </si>
  <si>
    <t>12.1</t>
  </si>
  <si>
    <t>15.1</t>
  </si>
  <si>
    <t>16.1</t>
  </si>
  <si>
    <t>11.1</t>
  </si>
  <si>
    <t>3.1</t>
  </si>
  <si>
    <t>4.1</t>
  </si>
  <si>
    <t>5.1</t>
  </si>
  <si>
    <t>цена по счету</t>
  </si>
  <si>
    <t>131-23-ТС2. Переустройство трубопровода теплоснабжения</t>
  </si>
  <si>
    <t>Земляные работы. Устройство траншей</t>
  </si>
  <si>
    <t>Мастика битумная Технониколь</t>
  </si>
  <si>
    <t>Устройство сборного канала</t>
  </si>
  <si>
    <t xml:space="preserve">Лоток Л11-15/2 </t>
  </si>
  <si>
    <t>Плита П12д-15</t>
  </si>
  <si>
    <t>Устройство гидроизоляции сборного канала праймером Технониколь в один слой</t>
  </si>
  <si>
    <t xml:space="preserve">Устройство гидроизоляции сборного канала мастикой битумной Технониколь </t>
  </si>
  <si>
    <t>Люк чугунный</t>
  </si>
  <si>
    <t>Устройство песчаного основания h=0,15м под трубы вручную</t>
  </si>
  <si>
    <t xml:space="preserve">Бетон В30, W6, F200 </t>
  </si>
  <si>
    <t xml:space="preserve">Арматура 8-А-I, А400 </t>
  </si>
  <si>
    <t xml:space="preserve">Устройство кольца стенового  КС20.18Б </t>
  </si>
  <si>
    <t xml:space="preserve">Устройство плиты 4ПП 20-2 с отверстием Д700 </t>
  </si>
  <si>
    <t xml:space="preserve">Устройство кольца колодезного К-7-9 </t>
  </si>
  <si>
    <t xml:space="preserve">Устройство плиты ПК-15  </t>
  </si>
  <si>
    <t>Устройство водоприёмного колодца ВГ-15</t>
  </si>
  <si>
    <t>Водоприёмный колодец ВГ-15</t>
  </si>
  <si>
    <t>Устройство плиты ОП-1</t>
  </si>
  <si>
    <t xml:space="preserve">Устройство люков </t>
  </si>
  <si>
    <t>Сверление отверстий в колодцах для устройства футляров</t>
  </si>
  <si>
    <t>Прокладка труб ф159х5-1-ППУ-ПЭ</t>
  </si>
  <si>
    <t>Труба ф159х5-1-ППУ-ПЭ</t>
  </si>
  <si>
    <t>Установка отвода 90°159х6  ППУ ПЭ</t>
  </si>
  <si>
    <t>Отвод 90°159х6  ППУ ПЭ</t>
  </si>
  <si>
    <t>Комплект изоляции стыка в оцинкованной оболочке мастичный для ∅159/250</t>
  </si>
  <si>
    <t>Изоляция стыков ∅159/250  ППУ ПЭ</t>
  </si>
  <si>
    <t>Ультразвуковой контроль сварных соединений ф159</t>
  </si>
  <si>
    <t>цена из тс трансбордер</t>
  </si>
  <si>
    <t xml:space="preserve">Устройство сборных железобетонных плит П12-15д </t>
  </si>
  <si>
    <t xml:space="preserve">Устройство ж/б лотков Л11-15/2 </t>
  </si>
  <si>
    <t>Кольцо стеновое  КС20.18Б (1,02м3/шт.)</t>
  </si>
  <si>
    <t>Плита 4ПП 20-2 с отверстием Д700 (0,51м3/шт.)</t>
  </si>
  <si>
    <t>Кольцо колодезное К-7-9   (0,14м3/шт.)</t>
  </si>
  <si>
    <t>Плита ПК-15  (0,27м3/шт.)</t>
  </si>
  <si>
    <t>Плита ОП-1 (0,62м3/шт.)</t>
  </si>
  <si>
    <t>Маты минераловатные t=50мм</t>
  </si>
  <si>
    <t>Устройство подсыпки из песка  в траншее</t>
  </si>
  <si>
    <t>Обсыпка из песка вручную</t>
  </si>
  <si>
    <t xml:space="preserve">Обратная засыпка грунтом  бульдозером </t>
  </si>
  <si>
    <t>Прочие работы</t>
  </si>
  <si>
    <t>Земляные работы. Устройство котлована</t>
  </si>
  <si>
    <t>Засыпка песком  с последующи уплотнением</t>
  </si>
  <si>
    <t>Гидроизоляция ж/б плиты</t>
  </si>
  <si>
    <t>Обмазка битумной мастикой ж/б конструкций в два слоя</t>
  </si>
  <si>
    <t>Устройство ж/б плиты</t>
  </si>
  <si>
    <t xml:space="preserve">Устройство бетонной подготовки </t>
  </si>
  <si>
    <t>Бетон В7,5</t>
  </si>
  <si>
    <t xml:space="preserve">Устройство  ж/б плиты </t>
  </si>
  <si>
    <t xml:space="preserve">Арматура d10-А-III, А400С </t>
  </si>
  <si>
    <t>Заделка стыков и швов лотков и плит цементным раствором М100</t>
  </si>
  <si>
    <t>Цементный раствор М100</t>
  </si>
  <si>
    <t xml:space="preserve">Устройство ж/б колодцев </t>
  </si>
  <si>
    <t>Устройство лестницы</t>
  </si>
  <si>
    <t>Лестница С1</t>
  </si>
  <si>
    <t>Огрунтовка металлических поверхностей за один раз</t>
  </si>
  <si>
    <t>цена из  трансбордер</t>
  </si>
  <si>
    <t>Грунтовка ГФ-021</t>
  </si>
  <si>
    <t xml:space="preserve">Окраска металлических поверхностей за два слоя </t>
  </si>
  <si>
    <t>Эмаль ПФ-115, серая</t>
  </si>
  <si>
    <t>Устройство гидроизоляции ж/б колодцев  праймером Технониколь в один слой</t>
  </si>
  <si>
    <t xml:space="preserve">Устройство гидроизоляции ж/б колодцев мастикой битумной Технониколь </t>
  </si>
  <si>
    <t>Устройство футляров (гильзы) ф426х8 для ввода труб в здание</t>
  </si>
  <si>
    <t xml:space="preserve">Заделка сальника при проходе труб через стенки Ф159мм колодца </t>
  </si>
  <si>
    <t>Заделка сальника при проходе труб Ф159мм через стенки колодца ВК</t>
  </si>
  <si>
    <t>Устройство сливной трубы стальной эл. св. 159х5</t>
  </si>
  <si>
    <t xml:space="preserve">Заделка проемов при проходе футляров (гильзы) Ф 426мм через стену здания </t>
  </si>
  <si>
    <t>Устройство вертикальных футляров ф426х8 (подземная часть)</t>
  </si>
  <si>
    <t>Труба ф426х8</t>
  </si>
  <si>
    <t>36.1</t>
  </si>
  <si>
    <t>Утепление трубы минераловатными матами МП-80</t>
  </si>
  <si>
    <t>48.1</t>
  </si>
  <si>
    <t>врезка</t>
  </si>
  <si>
    <t>15.2</t>
  </si>
  <si>
    <t>15.3</t>
  </si>
  <si>
    <t>Утепление трубы подъема минераловатными матами МП-80</t>
  </si>
  <si>
    <t>Утепление отводов минераловатными матами МП-80</t>
  </si>
  <si>
    <t>34.1</t>
  </si>
  <si>
    <t>37.1</t>
  </si>
  <si>
    <t>38.1</t>
  </si>
  <si>
    <t>49.1</t>
  </si>
  <si>
    <t>49.2</t>
  </si>
  <si>
    <t>50.1</t>
  </si>
  <si>
    <t>51.1</t>
  </si>
  <si>
    <t>Установка запорной арматуры</t>
  </si>
  <si>
    <t>Установка крана шарового сварка/сварка «BALLOMAX» DN150, PN25</t>
  </si>
  <si>
    <t>Кран шаровый сварка/сварка «BALLOMAX» DN150, PN25</t>
  </si>
  <si>
    <t>Установка крана шарового сварка/сварка «BALLOMAX» DN80, PN25</t>
  </si>
  <si>
    <t>Кран шаровый сварка/сварка «BALLOMAX» DN80, PN25</t>
  </si>
  <si>
    <t>Установка крана шарового сварка/сварка «BALLOMAX» DN40, PN40</t>
  </si>
  <si>
    <t>Кран шаровый сварка/сварка «BALLOMAX» DN40, PN40</t>
  </si>
  <si>
    <t>Кожухи из оц. стали</t>
  </si>
  <si>
    <t>Установка тройникового ответвления Ст159х6/45х5-1-ППУ-ОЦ L=1000мм</t>
  </si>
  <si>
    <t>Тройниковое ответвление Ст159х6/45х5-1-ППУ-ОЦ L=1000мм</t>
  </si>
  <si>
    <t>54.1</t>
  </si>
  <si>
    <t>55.1</t>
  </si>
  <si>
    <t>56.1</t>
  </si>
  <si>
    <t>Установка тройникового ответвления Ст159х6/89х5-1-ППУ-ПЭ L=1000мм, 90 градусов</t>
  </si>
  <si>
    <t>Тройниковое ответвление Ст159х6/89х5-1-ППУ-ПЭ L=1000мм, 90 градусов</t>
  </si>
  <si>
    <t>57.1</t>
  </si>
  <si>
    <t>58.1</t>
  </si>
  <si>
    <t>Присоединение в существующие сети труба/труба</t>
  </si>
  <si>
    <t>Стоимость ФЕР (патрубком)</t>
  </si>
  <si>
    <t>цена из тс2</t>
  </si>
  <si>
    <t>КП с дисконтом</t>
  </si>
  <si>
    <t>новые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</si>
</sst>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_-* #,##0.0_-;\-* #,##0.0_-;_-* &quot;-&quot;??_-;_-@_-"/>
    <numFmt numFmtId="171" formatCode="_-* #,##0.000_-;\-* #,##0.000_-;_-* &quot;-&quot;??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273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2" xfId="0" applyFont="1" applyBorder="1" applyAlignment="1">
      <alignment vertical="center" wrapText="1"/>
    </xf>
    <xf numFmtId="43" fontId="2" fillId="0" borderId="0" xfId="1" applyFont="1" applyAlignment="1">
      <alignment horizontal="center" vertical="center"/>
    </xf>
    <xf numFmtId="9" fontId="0" fillId="0" borderId="0" xfId="2" applyFont="1"/>
    <xf numFmtId="164" fontId="0" fillId="0" borderId="1" xfId="0" applyNumberFormat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4" borderId="1" xfId="0" applyFill="1" applyBorder="1"/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43" fontId="0" fillId="5" borderId="0" xfId="1" applyFont="1" applyFill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6" borderId="1" xfId="0" applyFill="1" applyBorder="1"/>
    <xf numFmtId="43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7" borderId="1" xfId="0" applyFill="1" applyBorder="1"/>
    <xf numFmtId="0" fontId="0" fillId="7" borderId="1" xfId="0" applyFill="1" applyBorder="1" applyAlignment="1">
      <alignment vertical="center" wrapText="1"/>
    </xf>
    <xf numFmtId="43" fontId="0" fillId="7" borderId="1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5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9" fontId="0" fillId="0" borderId="0" xfId="2" applyFont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168" fontId="6" fillId="0" borderId="1" xfId="0" applyNumberFormat="1" applyFont="1" applyBorder="1" applyAlignment="1">
      <alignment vertical="center" wrapText="1"/>
    </xf>
    <xf numFmtId="169" fontId="6" fillId="0" borderId="1" xfId="0" applyNumberFormat="1" applyFont="1" applyBorder="1" applyAlignment="1">
      <alignment vertical="center" wrapText="1"/>
    </xf>
    <xf numFmtId="0" fontId="6" fillId="0" borderId="3" xfId="4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0" fontId="7" fillId="7" borderId="3" xfId="0" applyFont="1" applyFill="1" applyBorder="1" applyAlignment="1">
      <alignment horizontal="left" vertical="center" wrapText="1"/>
    </xf>
    <xf numFmtId="166" fontId="10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5" fontId="11" fillId="0" borderId="1" xfId="1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43" fontId="10" fillId="0" borderId="1" xfId="1" applyFont="1" applyBorder="1" applyAlignment="1">
      <alignment vertical="center"/>
    </xf>
    <xf numFmtId="165" fontId="10" fillId="0" borderId="1" xfId="1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 wrapText="1"/>
    </xf>
    <xf numFmtId="43" fontId="11" fillId="0" borderId="1" xfId="1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3" fontId="12" fillId="0" borderId="1" xfId="1" applyFont="1" applyFill="1" applyBorder="1" applyAlignment="1">
      <alignment horizontal="center" vertical="center" wrapText="1"/>
    </xf>
    <xf numFmtId="43" fontId="10" fillId="0" borderId="3" xfId="1" applyFont="1" applyBorder="1" applyAlignment="1">
      <alignment horizontal="left" vertical="center" wrapText="1"/>
    </xf>
    <xf numFmtId="165" fontId="10" fillId="0" borderId="3" xfId="1" applyNumberFormat="1" applyFont="1" applyBorder="1" applyAlignment="1">
      <alignment horizontal="left" vertical="center" wrapText="1"/>
    </xf>
    <xf numFmtId="43" fontId="10" fillId="7" borderId="3" xfId="1" applyFont="1" applyFill="1" applyBorder="1" applyAlignment="1">
      <alignment horizontal="left" vertical="center" wrapText="1"/>
    </xf>
    <xf numFmtId="170" fontId="10" fillId="7" borderId="3" xfId="1" applyNumberFormat="1" applyFont="1" applyFill="1" applyBorder="1" applyAlignment="1">
      <alignment horizontal="left" vertical="center" wrapText="1"/>
    </xf>
    <xf numFmtId="165" fontId="10" fillId="7" borderId="3" xfId="1" applyNumberFormat="1" applyFont="1" applyFill="1" applyBorder="1" applyAlignment="1">
      <alignment horizontal="left" vertical="center" wrapText="1"/>
    </xf>
    <xf numFmtId="1" fontId="6" fillId="0" borderId="1" xfId="3" applyNumberFormat="1" applyFont="1" applyBorder="1" applyAlignment="1">
      <alignment horizontal="center" vertical="center"/>
    </xf>
    <xf numFmtId="0" fontId="12" fillId="8" borderId="1" xfId="0" applyFont="1" applyFill="1" applyBorder="1" applyAlignment="1">
      <alignment vertical="center" wrapText="1"/>
    </xf>
    <xf numFmtId="0" fontId="12" fillId="8" borderId="3" xfId="0" applyFont="1" applyFill="1" applyBorder="1" applyAlignment="1">
      <alignment vertical="center" wrapText="1"/>
    </xf>
    <xf numFmtId="43" fontId="10" fillId="8" borderId="1" xfId="1" applyFont="1" applyFill="1" applyBorder="1" applyAlignment="1">
      <alignment horizontal="left" vertical="center"/>
    </xf>
    <xf numFmtId="0" fontId="6" fillId="0" borderId="1" xfId="3" applyFont="1" applyBorder="1" applyAlignment="1">
      <alignment horizontal="center" vertical="center" wrapText="1"/>
    </xf>
    <xf numFmtId="0" fontId="10" fillId="8" borderId="1" xfId="0" applyFont="1" applyFill="1" applyBorder="1"/>
    <xf numFmtId="1" fontId="6" fillId="0" borderId="1" xfId="3" applyNumberFormat="1" applyFont="1" applyBorder="1" applyAlignment="1">
      <alignment horizontal="right" vertical="center"/>
    </xf>
    <xf numFmtId="165" fontId="10" fillId="0" borderId="1" xfId="1" applyNumberFormat="1" applyFont="1" applyBorder="1"/>
    <xf numFmtId="2" fontId="6" fillId="0" borderId="1" xfId="3" applyNumberFormat="1" applyFont="1" applyBorder="1" applyAlignment="1">
      <alignment horizontal="right" vertical="center"/>
    </xf>
    <xf numFmtId="165" fontId="10" fillId="9" borderId="1" xfId="1" applyNumberFormat="1" applyFont="1" applyFill="1" applyBorder="1"/>
    <xf numFmtId="0" fontId="6" fillId="0" borderId="1" xfId="3" applyFont="1" applyBorder="1" applyAlignment="1">
      <alignment horizontal="left" vertical="center" wrapText="1"/>
    </xf>
    <xf numFmtId="165" fontId="10" fillId="8" borderId="1" xfId="1" applyNumberFormat="1" applyFont="1" applyFill="1" applyBorder="1"/>
    <xf numFmtId="0" fontId="6" fillId="0" borderId="1" xfId="3" applyFont="1" applyBorder="1" applyAlignment="1">
      <alignment vertical="center" wrapText="1"/>
    </xf>
    <xf numFmtId="167" fontId="6" fillId="0" borderId="1" xfId="3" applyNumberFormat="1" applyFont="1" applyBorder="1" applyAlignment="1">
      <alignment horizontal="center" vertical="center"/>
    </xf>
    <xf numFmtId="0" fontId="10" fillId="8" borderId="1" xfId="0" applyFont="1" applyFill="1" applyBorder="1" applyAlignment="1">
      <alignment vertical="center"/>
    </xf>
    <xf numFmtId="165" fontId="10" fillId="8" borderId="1" xfId="1" applyNumberFormat="1" applyFont="1" applyFill="1" applyBorder="1" applyAlignment="1">
      <alignment vertical="center"/>
    </xf>
    <xf numFmtId="165" fontId="10" fillId="8" borderId="1" xfId="0" applyNumberFormat="1" applyFont="1" applyFill="1" applyBorder="1" applyAlignment="1">
      <alignment vertical="center"/>
    </xf>
    <xf numFmtId="167" fontId="6" fillId="0" borderId="1" xfId="3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13" fillId="9" borderId="1" xfId="0" applyFont="1" applyFill="1" applyBorder="1" applyAlignment="1">
      <alignment vertical="center" wrapText="1"/>
    </xf>
    <xf numFmtId="165" fontId="6" fillId="0" borderId="1" xfId="1" applyNumberFormat="1" applyFont="1" applyBorder="1" applyAlignment="1">
      <alignment horizontal="right" vertical="center"/>
    </xf>
    <xf numFmtId="43" fontId="6" fillId="0" borderId="1" xfId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top"/>
    </xf>
    <xf numFmtId="43" fontId="7" fillId="0" borderId="1" xfId="0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4" fontId="6" fillId="0" borderId="1" xfId="3" applyNumberFormat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vertical="center" wrapText="1"/>
    </xf>
    <xf numFmtId="0" fontId="11" fillId="8" borderId="7" xfId="0" applyFont="1" applyFill="1" applyBorder="1" applyAlignment="1">
      <alignment horizontal="center" vertical="center"/>
    </xf>
    <xf numFmtId="4" fontId="11" fillId="8" borderId="1" xfId="0" applyNumberFormat="1" applyFont="1" applyFill="1" applyBorder="1" applyAlignment="1">
      <alignment horizontal="left" vertical="center" wrapText="1"/>
    </xf>
    <xf numFmtId="166" fontId="10" fillId="8" borderId="1" xfId="0" applyNumberFormat="1" applyFont="1" applyFill="1" applyBorder="1" applyAlignment="1">
      <alignment horizontal="left" vertical="center"/>
    </xf>
    <xf numFmtId="166" fontId="10" fillId="8" borderId="1" xfId="0" applyNumberFormat="1" applyFont="1" applyFill="1" applyBorder="1"/>
    <xf numFmtId="43" fontId="11" fillId="0" borderId="1" xfId="1" applyFont="1" applyBorder="1"/>
    <xf numFmtId="0" fontId="7" fillId="7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vertical="center" wrapText="1"/>
    </xf>
    <xf numFmtId="3" fontId="6" fillId="7" borderId="1" xfId="0" applyNumberFormat="1" applyFont="1" applyFill="1" applyBorder="1" applyAlignment="1">
      <alignment horizontal="center" vertical="center"/>
    </xf>
    <xf numFmtId="4" fontId="11" fillId="7" borderId="1" xfId="0" applyNumberFormat="1" applyFont="1" applyFill="1" applyBorder="1" applyAlignment="1">
      <alignment horizontal="left" vertical="center" wrapText="1"/>
    </xf>
    <xf numFmtId="1" fontId="10" fillId="7" borderId="1" xfId="0" applyNumberFormat="1" applyFont="1" applyFill="1" applyBorder="1" applyAlignment="1">
      <alignment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66" fontId="10" fillId="8" borderId="1" xfId="0" applyNumberFormat="1" applyFont="1" applyFill="1" applyBorder="1" applyAlignment="1">
      <alignment vertical="center"/>
    </xf>
    <xf numFmtId="166" fontId="10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3" fontId="9" fillId="7" borderId="1" xfId="1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left" vertical="center" wrapText="1"/>
    </xf>
    <xf numFmtId="166" fontId="7" fillId="8" borderId="1" xfId="0" applyNumberFormat="1" applyFont="1" applyFill="1" applyBorder="1" applyAlignment="1">
      <alignment horizontal="left" vertical="center" wrapText="1"/>
    </xf>
    <xf numFmtId="165" fontId="7" fillId="8" borderId="1" xfId="1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43" fontId="10" fillId="7" borderId="1" xfId="1" applyFont="1" applyFill="1" applyBorder="1" applyAlignment="1">
      <alignment horizontal="right" vertical="center" wrapText="1"/>
    </xf>
    <xf numFmtId="170" fontId="10" fillId="7" borderId="1" xfId="1" applyNumberFormat="1" applyFont="1" applyFill="1" applyBorder="1" applyAlignment="1">
      <alignment horizontal="right" vertical="center" wrapText="1"/>
    </xf>
    <xf numFmtId="43" fontId="0" fillId="0" borderId="0" xfId="0" applyNumberFormat="1"/>
    <xf numFmtId="0" fontId="14" fillId="0" borderId="0" xfId="0" applyFont="1"/>
    <xf numFmtId="0" fontId="14" fillId="0" borderId="0" xfId="0" applyFont="1" applyAlignment="1">
      <alignment vertical="center"/>
    </xf>
    <xf numFmtId="43" fontId="7" fillId="0" borderId="1" xfId="1" applyFont="1" applyBorder="1"/>
    <xf numFmtId="0" fontId="6" fillId="0" borderId="3" xfId="0" applyFont="1" applyBorder="1" applyAlignment="1">
      <alignment vertical="center" wrapText="1"/>
    </xf>
    <xf numFmtId="2" fontId="6" fillId="7" borderId="1" xfId="0" applyNumberFormat="1" applyFont="1" applyFill="1" applyBorder="1" applyAlignment="1">
      <alignment vertical="center" wrapText="1"/>
    </xf>
    <xf numFmtId="43" fontId="6" fillId="7" borderId="1" xfId="1" applyFont="1" applyFill="1" applyBorder="1" applyAlignment="1">
      <alignment horizontal="center" vertical="center" wrapText="1"/>
    </xf>
    <xf numFmtId="0" fontId="6" fillId="10" borderId="1" xfId="4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center" vertical="center" wrapText="1"/>
    </xf>
    <xf numFmtId="2" fontId="6" fillId="10" borderId="1" xfId="0" applyNumberFormat="1" applyFont="1" applyFill="1" applyBorder="1" applyAlignment="1">
      <alignment vertical="center" wrapText="1"/>
    </xf>
    <xf numFmtId="43" fontId="9" fillId="10" borderId="1" xfId="1" applyFont="1" applyFill="1" applyBorder="1" applyAlignment="1">
      <alignment horizontal="center" vertical="center" wrapText="1"/>
    </xf>
    <xf numFmtId="43" fontId="6" fillId="7" borderId="1" xfId="1" applyFont="1" applyFill="1" applyBorder="1" applyAlignment="1">
      <alignment vertical="center"/>
    </xf>
    <xf numFmtId="43" fontId="6" fillId="10" borderId="1" xfId="1" applyFont="1" applyFill="1" applyBorder="1" applyAlignment="1">
      <alignment horizontal="center" vertical="center" wrapText="1"/>
    </xf>
    <xf numFmtId="43" fontId="6" fillId="10" borderId="1" xfId="1" applyFont="1" applyFill="1" applyBorder="1" applyAlignment="1">
      <alignment vertical="center"/>
    </xf>
    <xf numFmtId="49" fontId="6" fillId="7" borderId="1" xfId="0" applyNumberFormat="1" applyFont="1" applyFill="1" applyBorder="1" applyAlignment="1">
      <alignment horizontal="center" vertical="center" wrapText="1"/>
    </xf>
    <xf numFmtId="0" fontId="6" fillId="10" borderId="3" xfId="4" applyFont="1" applyFill="1" applyBorder="1" applyAlignment="1">
      <alignment horizontal="left" vertical="center" wrapText="1"/>
    </xf>
    <xf numFmtId="165" fontId="6" fillId="10" borderId="1" xfId="1" applyNumberFormat="1" applyFont="1" applyFill="1" applyBorder="1" applyAlignment="1">
      <alignment vertical="center" wrapText="1"/>
    </xf>
    <xf numFmtId="165" fontId="6" fillId="7" borderId="1" xfId="1" applyNumberFormat="1" applyFont="1" applyFill="1" applyBorder="1" applyAlignment="1">
      <alignment vertical="center" wrapText="1"/>
    </xf>
    <xf numFmtId="43" fontId="6" fillId="10" borderId="1" xfId="1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0" fontId="7" fillId="7" borderId="1" xfId="4" applyFont="1" applyFill="1" applyBorder="1" applyAlignment="1">
      <alignment horizontal="left" vertical="center" wrapText="1"/>
    </xf>
    <xf numFmtId="0" fontId="7" fillId="0" borderId="1" xfId="4" applyFont="1" applyBorder="1" applyAlignment="1">
      <alignment horizontal="left" vertical="center" wrapText="1"/>
    </xf>
    <xf numFmtId="171" fontId="6" fillId="10" borderId="1" xfId="1" applyNumberFormat="1" applyFont="1" applyFill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5" fillId="0" borderId="0" xfId="0" applyFont="1"/>
    <xf numFmtId="165" fontId="7" fillId="0" borderId="1" xfId="1" applyNumberFormat="1" applyFont="1" applyBorder="1" applyAlignment="1">
      <alignment vertical="center"/>
    </xf>
    <xf numFmtId="166" fontId="6" fillId="7" borderId="1" xfId="0" applyNumberFormat="1" applyFont="1" applyFill="1" applyBorder="1" applyAlignment="1">
      <alignment vertical="center"/>
    </xf>
    <xf numFmtId="43" fontId="6" fillId="7" borderId="1" xfId="1" applyFont="1" applyFill="1" applyBorder="1" applyAlignment="1">
      <alignment horizontal="center"/>
    </xf>
    <xf numFmtId="0" fontId="15" fillId="7" borderId="0" xfId="0" applyFont="1" applyFill="1"/>
    <xf numFmtId="43" fontId="6" fillId="10" borderId="1" xfId="1" applyFont="1" applyFill="1" applyBorder="1" applyAlignment="1">
      <alignment horizontal="center"/>
    </xf>
    <xf numFmtId="43" fontId="6" fillId="10" borderId="1" xfId="1" applyFont="1" applyFill="1" applyBorder="1" applyAlignment="1">
      <alignment horizontal="center" vertical="center"/>
    </xf>
    <xf numFmtId="170" fontId="6" fillId="10" borderId="1" xfId="1" applyNumberFormat="1" applyFont="1" applyFill="1" applyBorder="1" applyAlignment="1">
      <alignment vertical="center"/>
    </xf>
    <xf numFmtId="165" fontId="6" fillId="7" borderId="1" xfId="1" applyNumberFormat="1" applyFont="1" applyFill="1" applyBorder="1" applyAlignment="1">
      <alignment vertical="center"/>
    </xf>
    <xf numFmtId="165" fontId="6" fillId="10" borderId="1" xfId="1" applyNumberFormat="1" applyFont="1" applyFill="1" applyBorder="1" applyAlignment="1">
      <alignment vertical="center"/>
    </xf>
    <xf numFmtId="171" fontId="6" fillId="10" borderId="1" xfId="1" applyNumberFormat="1" applyFont="1" applyFill="1" applyBorder="1" applyAlignment="1">
      <alignment vertical="center"/>
    </xf>
    <xf numFmtId="43" fontId="16" fillId="0" borderId="1" xfId="1" applyFont="1" applyBorder="1"/>
    <xf numFmtId="165" fontId="15" fillId="0" borderId="0" xfId="1" applyNumberFormat="1" applyFont="1"/>
    <xf numFmtId="43" fontId="6" fillId="10" borderId="1" xfId="1" applyNumberFormat="1" applyFont="1" applyFill="1" applyBorder="1" applyAlignment="1">
      <alignment vertical="center"/>
    </xf>
    <xf numFmtId="0" fontId="7" fillId="0" borderId="3" xfId="4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4" applyFont="1" applyFill="1" applyBorder="1" applyAlignment="1">
      <alignment horizontal="left" vertical="center" wrapText="1"/>
    </xf>
    <xf numFmtId="2" fontId="6" fillId="4" borderId="1" xfId="0" applyNumberFormat="1" applyFont="1" applyFill="1" applyBorder="1" applyAlignment="1">
      <alignment vertical="center" wrapText="1"/>
    </xf>
    <xf numFmtId="43" fontId="6" fillId="4" borderId="1" xfId="1" applyFont="1" applyFill="1" applyBorder="1" applyAlignment="1">
      <alignment horizontal="center" vertical="center" wrapText="1"/>
    </xf>
    <xf numFmtId="43" fontId="6" fillId="4" borderId="1" xfId="1" applyFont="1" applyFill="1" applyBorder="1" applyAlignment="1">
      <alignment vertical="center"/>
    </xf>
    <xf numFmtId="43" fontId="6" fillId="4" borderId="1" xfId="1" applyFont="1" applyFill="1" applyBorder="1" applyAlignment="1">
      <alignment horizontal="center"/>
    </xf>
    <xf numFmtId="43" fontId="9" fillId="4" borderId="1" xfId="1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left" vertical="center" wrapText="1"/>
    </xf>
    <xf numFmtId="43" fontId="6" fillId="4" borderId="1" xfId="1" applyFont="1" applyFill="1" applyBorder="1" applyAlignment="1">
      <alignment vertical="center" wrapText="1"/>
    </xf>
    <xf numFmtId="2" fontId="6" fillId="4" borderId="1" xfId="0" applyNumberFormat="1" applyFont="1" applyFill="1" applyBorder="1" applyAlignment="1">
      <alignment horizontal="right" vertical="center" wrapText="1"/>
    </xf>
    <xf numFmtId="165" fontId="6" fillId="4" borderId="1" xfId="1" applyNumberFormat="1" applyFont="1" applyFill="1" applyBorder="1" applyAlignment="1">
      <alignment vertical="center" wrapText="1"/>
    </xf>
    <xf numFmtId="171" fontId="6" fillId="4" borderId="1" xfId="1" applyNumberFormat="1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3" xfId="4" applyFont="1" applyFill="1" applyBorder="1" applyAlignment="1">
      <alignment horizontal="left" vertical="center" wrapText="1"/>
    </xf>
    <xf numFmtId="171" fontId="6" fillId="5" borderId="1" xfId="1" applyNumberFormat="1" applyFont="1" applyFill="1" applyBorder="1" applyAlignment="1">
      <alignment vertical="center"/>
    </xf>
    <xf numFmtId="43" fontId="6" fillId="5" borderId="1" xfId="1" applyFont="1" applyFill="1" applyBorder="1" applyAlignment="1">
      <alignment horizontal="center" vertical="center" wrapText="1"/>
    </xf>
    <xf numFmtId="43" fontId="6" fillId="5" borderId="1" xfId="1" applyFont="1" applyFill="1" applyBorder="1" applyAlignment="1">
      <alignment vertical="center"/>
    </xf>
    <xf numFmtId="165" fontId="6" fillId="5" borderId="1" xfId="1" applyNumberFormat="1" applyFont="1" applyFill="1" applyBorder="1" applyAlignment="1">
      <alignment vertical="center" wrapText="1"/>
    </xf>
    <xf numFmtId="165" fontId="6" fillId="4" borderId="1" xfId="1" applyNumberFormat="1" applyFont="1" applyFill="1" applyBorder="1" applyAlignment="1">
      <alignment vertical="center"/>
    </xf>
    <xf numFmtId="43" fontId="6" fillId="5" borderId="1" xfId="1" applyNumberFormat="1" applyFont="1" applyFill="1" applyBorder="1" applyAlignment="1">
      <alignment vertical="center"/>
    </xf>
    <xf numFmtId="0" fontId="6" fillId="5" borderId="1" xfId="0" applyNumberFormat="1" applyFont="1" applyFill="1" applyBorder="1" applyAlignment="1">
      <alignment horizontal="center" vertical="center" wrapText="1"/>
    </xf>
    <xf numFmtId="165" fontId="6" fillId="5" borderId="1" xfId="1" applyNumberFormat="1" applyFont="1" applyFill="1" applyBorder="1" applyAlignment="1">
      <alignment vertical="center"/>
    </xf>
    <xf numFmtId="0" fontId="15" fillId="4" borderId="0" xfId="0" applyFont="1" applyFill="1"/>
    <xf numFmtId="0" fontId="15" fillId="5" borderId="0" xfId="0" applyFont="1" applyFill="1"/>
    <xf numFmtId="43" fontId="0" fillId="0" borderId="6" xfId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3" fontId="0" fillId="5" borderId="6" xfId="1" applyFont="1" applyFill="1" applyBorder="1" applyAlignment="1">
      <alignment horizontal="center" vertical="center"/>
    </xf>
    <xf numFmtId="43" fontId="0" fillId="5" borderId="7" xfId="1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0" borderId="3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7" fillId="0" borderId="4" xfId="4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2" fillId="8" borderId="3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0" borderId="14" xfId="4" applyFont="1" applyBorder="1" applyAlignment="1">
      <alignment horizontal="right" vertical="center" wrapText="1"/>
    </xf>
    <xf numFmtId="0" fontId="7" fillId="0" borderId="15" xfId="4" applyFont="1" applyBorder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righ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8" borderId="1" xfId="3" applyNumberFormat="1" applyFont="1" applyFill="1" applyBorder="1" applyAlignment="1">
      <alignment horizontal="center" vertical="center" wrapText="1"/>
    </xf>
    <xf numFmtId="49" fontId="8" fillId="9" borderId="1" xfId="3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7" fillId="0" borderId="3" xfId="3" applyFont="1" applyBorder="1" applyAlignment="1">
      <alignment horizontal="right" vertical="center" wrapText="1"/>
    </xf>
    <xf numFmtId="0" fontId="7" fillId="0" borderId="8" xfId="3" applyFont="1" applyBorder="1" applyAlignment="1">
      <alignment horizontal="right" vertical="center" wrapText="1"/>
    </xf>
    <xf numFmtId="0" fontId="7" fillId="0" borderId="4" xfId="3" applyFont="1" applyBorder="1" applyAlignment="1">
      <alignment horizontal="right" vertical="center" wrapText="1"/>
    </xf>
  </cellXfs>
  <cellStyles count="5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Процентный" xfId="2" builtinId="5"/>
    <cellStyle name="Финансовый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J79"/>
  <sheetViews>
    <sheetView topLeftCell="B1" zoomScale="115" zoomScaleNormal="115" workbookViewId="0">
      <selection activeCell="B1" sqref="A1:XFD1048576"/>
    </sheetView>
  </sheetViews>
  <sheetFormatPr defaultRowHeight="15" x14ac:dyDescent="0.25"/>
  <cols>
    <col min="1" max="1" width="5.42578125" bestFit="1" customWidth="1"/>
    <col min="2" max="2" width="50.28515625" bestFit="1" customWidth="1"/>
    <col min="3" max="3" width="26.140625" bestFit="1" customWidth="1"/>
    <col min="4" max="4" width="11" bestFit="1" customWidth="1"/>
    <col min="5" max="5" width="14.42578125" bestFit="1" customWidth="1"/>
    <col min="6" max="6" width="26.140625" bestFit="1" customWidth="1"/>
    <col min="7" max="7" width="19.5703125" style="17" customWidth="1"/>
    <col min="8" max="8" width="26.5703125" style="28" customWidth="1"/>
    <col min="9" max="9" width="15.28515625" bestFit="1" customWidth="1"/>
  </cols>
  <sheetData>
    <row r="1" spans="1:8" ht="30" x14ac:dyDescent="0.25">
      <c r="A1" s="11" t="s">
        <v>0</v>
      </c>
      <c r="B1" s="11" t="s">
        <v>3</v>
      </c>
      <c r="C1" s="11" t="s">
        <v>2</v>
      </c>
      <c r="D1" s="11" t="s">
        <v>20</v>
      </c>
      <c r="E1" s="11" t="s">
        <v>1</v>
      </c>
      <c r="F1" s="11" t="s">
        <v>4</v>
      </c>
      <c r="G1" s="13" t="s">
        <v>143</v>
      </c>
      <c r="H1" s="11" t="s">
        <v>167</v>
      </c>
    </row>
    <row r="2" spans="1:8" s="1" customFormat="1" ht="18.75" x14ac:dyDescent="0.3">
      <c r="A2" s="215" t="s">
        <v>5</v>
      </c>
      <c r="B2" s="216"/>
      <c r="C2" s="8"/>
      <c r="D2" s="8"/>
      <c r="E2" s="8"/>
      <c r="F2" s="8"/>
      <c r="G2" s="15"/>
      <c r="H2" s="15"/>
    </row>
    <row r="3" spans="1:8" x14ac:dyDescent="0.25">
      <c r="A3" s="3" t="s">
        <v>6</v>
      </c>
      <c r="B3" s="3" t="s">
        <v>7</v>
      </c>
      <c r="C3" s="2"/>
      <c r="D3" s="2"/>
      <c r="E3" s="2"/>
      <c r="F3" s="2"/>
      <c r="G3" s="12"/>
      <c r="H3" s="18"/>
    </row>
    <row r="4" spans="1:8" x14ac:dyDescent="0.25">
      <c r="A4" s="2" t="s">
        <v>8</v>
      </c>
      <c r="B4" s="2" t="s">
        <v>136</v>
      </c>
      <c r="C4" s="2"/>
      <c r="D4" s="2"/>
      <c r="E4" s="2"/>
      <c r="F4" s="2"/>
      <c r="G4" s="12"/>
      <c r="H4" s="18"/>
    </row>
    <row r="5" spans="1:8" x14ac:dyDescent="0.25">
      <c r="A5" s="2" t="s">
        <v>10</v>
      </c>
      <c r="B5" s="2" t="s">
        <v>134</v>
      </c>
      <c r="C5" s="2" t="s">
        <v>9</v>
      </c>
      <c r="D5" s="2"/>
      <c r="E5" s="2"/>
      <c r="F5" s="2"/>
      <c r="G5" s="12"/>
      <c r="H5" s="18"/>
    </row>
    <row r="6" spans="1:8" x14ac:dyDescent="0.25">
      <c r="A6" s="2" t="s">
        <v>22</v>
      </c>
      <c r="B6" s="2" t="s">
        <v>135</v>
      </c>
      <c r="C6" s="2"/>
      <c r="D6" s="2"/>
      <c r="E6" s="2"/>
      <c r="F6" s="2"/>
      <c r="G6" s="12"/>
      <c r="H6" s="18"/>
    </row>
    <row r="7" spans="1:8" x14ac:dyDescent="0.25">
      <c r="A7" s="2" t="s">
        <v>23</v>
      </c>
      <c r="B7" s="2" t="s">
        <v>131</v>
      </c>
      <c r="C7" s="2"/>
      <c r="D7" s="2"/>
      <c r="E7" s="2"/>
      <c r="F7" s="2"/>
      <c r="G7" s="12"/>
      <c r="H7" s="18"/>
    </row>
    <row r="8" spans="1:8" x14ac:dyDescent="0.25">
      <c r="A8" s="2" t="s">
        <v>132</v>
      </c>
      <c r="B8" s="2" t="s">
        <v>133</v>
      </c>
      <c r="C8" s="2"/>
      <c r="D8" s="2"/>
      <c r="E8" s="2"/>
      <c r="F8" s="2"/>
      <c r="G8" s="12"/>
      <c r="H8" s="18"/>
    </row>
    <row r="9" spans="1:8" x14ac:dyDescent="0.25">
      <c r="A9" s="2" t="s">
        <v>24</v>
      </c>
      <c r="B9" s="2" t="s">
        <v>11</v>
      </c>
      <c r="C9" s="2"/>
      <c r="D9" s="2"/>
      <c r="E9" s="2"/>
      <c r="F9" s="2"/>
      <c r="G9" s="12"/>
      <c r="H9" s="18"/>
    </row>
    <row r="10" spans="1:8" x14ac:dyDescent="0.25">
      <c r="A10" s="2" t="s">
        <v>25</v>
      </c>
      <c r="B10" s="2" t="s">
        <v>12</v>
      </c>
      <c r="C10" s="2"/>
      <c r="D10" s="2"/>
      <c r="E10" s="2"/>
      <c r="F10" s="2"/>
      <c r="G10" s="12"/>
      <c r="H10" s="18"/>
    </row>
    <row r="11" spans="1:8" x14ac:dyDescent="0.25">
      <c r="A11" s="2" t="s">
        <v>26</v>
      </c>
      <c r="B11" s="2" t="s">
        <v>13</v>
      </c>
      <c r="C11" s="2"/>
      <c r="D11" s="2"/>
      <c r="E11" s="2"/>
      <c r="F11" s="2"/>
      <c r="G11" s="12"/>
      <c r="H11" s="18"/>
    </row>
    <row r="12" spans="1:8" x14ac:dyDescent="0.25">
      <c r="A12" s="2" t="s">
        <v>27</v>
      </c>
      <c r="B12" s="2" t="s">
        <v>137</v>
      </c>
      <c r="C12" s="2"/>
      <c r="D12" s="2"/>
      <c r="E12" s="2"/>
      <c r="F12" s="2"/>
      <c r="G12" s="12"/>
      <c r="H12" s="18"/>
    </row>
    <row r="13" spans="1:8" x14ac:dyDescent="0.25">
      <c r="A13" s="2" t="s">
        <v>28</v>
      </c>
      <c r="B13" s="2" t="s">
        <v>14</v>
      </c>
      <c r="C13" s="2" t="s">
        <v>15</v>
      </c>
      <c r="D13" s="2"/>
      <c r="E13" s="2"/>
      <c r="F13" s="2"/>
      <c r="G13" s="12"/>
      <c r="H13" s="18"/>
    </row>
    <row r="14" spans="1:8" x14ac:dyDescent="0.25">
      <c r="A14" s="2" t="s">
        <v>29</v>
      </c>
      <c r="B14" s="2" t="s">
        <v>16</v>
      </c>
      <c r="C14" s="2" t="s">
        <v>17</v>
      </c>
      <c r="D14" s="2"/>
      <c r="E14" s="2"/>
      <c r="F14" s="2"/>
      <c r="G14" s="12"/>
      <c r="H14" s="18"/>
    </row>
    <row r="15" spans="1:8" x14ac:dyDescent="0.25">
      <c r="A15" s="2" t="s">
        <v>30</v>
      </c>
      <c r="B15" s="2" t="s">
        <v>18</v>
      </c>
      <c r="C15" s="2" t="s">
        <v>130</v>
      </c>
      <c r="D15" s="2"/>
      <c r="E15" s="2"/>
      <c r="F15" s="2"/>
      <c r="G15" s="12"/>
      <c r="H15" s="18"/>
    </row>
    <row r="16" spans="1:8" x14ac:dyDescent="0.25">
      <c r="A16" s="2" t="s">
        <v>138</v>
      </c>
      <c r="B16" s="2" t="s">
        <v>19</v>
      </c>
      <c r="C16" s="2"/>
      <c r="D16" s="2" t="s">
        <v>21</v>
      </c>
      <c r="E16" s="2"/>
      <c r="F16" s="2"/>
      <c r="G16" s="12"/>
      <c r="H16" s="18"/>
    </row>
    <row r="17" spans="1:8" ht="75" x14ac:dyDescent="0.25">
      <c r="A17" s="18" t="s">
        <v>139</v>
      </c>
      <c r="B17" s="5" t="s">
        <v>140</v>
      </c>
      <c r="C17" s="4" t="s">
        <v>141</v>
      </c>
      <c r="D17" s="2" t="s">
        <v>142</v>
      </c>
      <c r="E17" s="2"/>
      <c r="F17" s="4" t="s">
        <v>168</v>
      </c>
      <c r="G17" s="17">
        <f>H17/1.35</f>
        <v>3343784</v>
      </c>
      <c r="H17" s="12">
        <f>1677527.55+2836580.85</f>
        <v>4514108.4000000004</v>
      </c>
    </row>
    <row r="18" spans="1:8" s="1" customFormat="1" x14ac:dyDescent="0.25">
      <c r="A18" s="3" t="s">
        <v>31</v>
      </c>
      <c r="B18" s="3" t="s">
        <v>32</v>
      </c>
      <c r="C18" s="3"/>
      <c r="D18" s="3"/>
      <c r="E18" s="3"/>
      <c r="F18" s="3"/>
      <c r="G18" s="16"/>
      <c r="H18" s="10"/>
    </row>
    <row r="19" spans="1:8" ht="30" x14ac:dyDescent="0.25">
      <c r="A19" s="2" t="s">
        <v>35</v>
      </c>
      <c r="B19" s="4" t="s">
        <v>33</v>
      </c>
      <c r="C19" s="2" t="s">
        <v>34</v>
      </c>
      <c r="D19" s="2"/>
      <c r="E19" s="2"/>
      <c r="F19" s="2"/>
      <c r="G19" s="12"/>
      <c r="H19" s="18"/>
    </row>
    <row r="20" spans="1:8" x14ac:dyDescent="0.25">
      <c r="A20" s="2" t="s">
        <v>36</v>
      </c>
      <c r="B20" s="2" t="s">
        <v>37</v>
      </c>
      <c r="C20" s="2"/>
      <c r="D20" s="2"/>
      <c r="E20" s="2"/>
      <c r="F20" s="2"/>
      <c r="G20" s="12"/>
      <c r="H20" s="18"/>
    </row>
    <row r="21" spans="1:8" x14ac:dyDescent="0.25">
      <c r="A21" s="2" t="s">
        <v>43</v>
      </c>
      <c r="B21" s="2" t="s">
        <v>38</v>
      </c>
      <c r="C21" s="2"/>
      <c r="D21" s="2"/>
      <c r="E21" s="2"/>
      <c r="F21" s="2"/>
      <c r="G21" s="12"/>
      <c r="H21" s="18"/>
    </row>
    <row r="22" spans="1:8" x14ac:dyDescent="0.25">
      <c r="A22" s="2" t="s">
        <v>44</v>
      </c>
      <c r="B22" s="5" t="s">
        <v>39</v>
      </c>
      <c r="C22" s="2"/>
      <c r="D22" s="2"/>
      <c r="E22" s="2"/>
      <c r="F22" s="2"/>
      <c r="G22" s="12"/>
      <c r="H22" s="18"/>
    </row>
    <row r="23" spans="1:8" ht="30" x14ac:dyDescent="0.25">
      <c r="A23" s="2" t="s">
        <v>45</v>
      </c>
      <c r="B23" s="4" t="s">
        <v>40</v>
      </c>
      <c r="C23" s="2"/>
      <c r="D23" s="2"/>
      <c r="E23" s="2"/>
      <c r="F23" s="2"/>
      <c r="G23" s="12"/>
      <c r="H23" s="18"/>
    </row>
    <row r="24" spans="1:8" x14ac:dyDescent="0.25">
      <c r="A24" s="2" t="s">
        <v>46</v>
      </c>
      <c r="B24" s="2" t="s">
        <v>41</v>
      </c>
      <c r="C24" s="2"/>
      <c r="D24" s="2"/>
      <c r="E24" s="2"/>
      <c r="F24" s="2"/>
      <c r="G24" s="12"/>
      <c r="H24" s="18"/>
    </row>
    <row r="25" spans="1:8" x14ac:dyDescent="0.25">
      <c r="A25" s="2" t="s">
        <v>47</v>
      </c>
      <c r="B25" s="2" t="s">
        <v>42</v>
      </c>
      <c r="C25" s="2"/>
      <c r="D25" s="2"/>
      <c r="E25" s="2"/>
      <c r="F25" s="2"/>
      <c r="G25" s="12"/>
      <c r="H25" s="18"/>
    </row>
    <row r="26" spans="1:8" x14ac:dyDescent="0.25">
      <c r="A26" s="2" t="s">
        <v>48</v>
      </c>
      <c r="B26" s="2" t="s">
        <v>49</v>
      </c>
      <c r="C26" s="2"/>
      <c r="D26" s="2"/>
      <c r="E26" s="2"/>
      <c r="F26" s="2" t="s">
        <v>50</v>
      </c>
      <c r="G26" s="12"/>
      <c r="H26" s="18"/>
    </row>
    <row r="27" spans="1:8" x14ac:dyDescent="0.25">
      <c r="A27" s="3" t="s">
        <v>52</v>
      </c>
      <c r="B27" s="3" t="s">
        <v>51</v>
      </c>
      <c r="C27" s="2"/>
      <c r="D27" s="2"/>
      <c r="E27" s="2"/>
      <c r="F27" s="2"/>
      <c r="G27" s="12"/>
      <c r="H27" s="18"/>
    </row>
    <row r="28" spans="1:8" ht="30" x14ac:dyDescent="0.25">
      <c r="A28" s="2" t="s">
        <v>57</v>
      </c>
      <c r="B28" s="6" t="s">
        <v>56</v>
      </c>
      <c r="C28" s="2"/>
      <c r="D28" s="2"/>
      <c r="E28" s="2"/>
      <c r="F28" s="2"/>
      <c r="G28" s="12"/>
      <c r="H28" s="18"/>
    </row>
    <row r="29" spans="1:8" x14ac:dyDescent="0.25">
      <c r="A29" s="2" t="s">
        <v>58</v>
      </c>
      <c r="B29" s="6" t="s">
        <v>53</v>
      </c>
      <c r="C29" s="2"/>
      <c r="D29" s="2"/>
      <c r="E29" s="2"/>
      <c r="F29" s="2"/>
      <c r="G29" s="12"/>
      <c r="H29" s="18"/>
    </row>
    <row r="30" spans="1:8" x14ac:dyDescent="0.25">
      <c r="A30" s="2" t="s">
        <v>59</v>
      </c>
      <c r="B30" s="6" t="s">
        <v>54</v>
      </c>
      <c r="C30" s="2"/>
      <c r="D30" s="2"/>
      <c r="E30" s="2"/>
      <c r="F30" s="2"/>
      <c r="G30" s="12"/>
      <c r="H30" s="18"/>
    </row>
    <row r="31" spans="1:8" ht="30" x14ac:dyDescent="0.25">
      <c r="A31" s="2" t="s">
        <v>60</v>
      </c>
      <c r="B31" s="6" t="s">
        <v>55</v>
      </c>
      <c r="C31" s="2"/>
      <c r="D31" s="2"/>
      <c r="E31" s="2"/>
      <c r="F31" s="2"/>
      <c r="G31" s="12"/>
      <c r="H31" s="18"/>
    </row>
    <row r="32" spans="1:8" x14ac:dyDescent="0.25">
      <c r="A32" s="3" t="s">
        <v>65</v>
      </c>
      <c r="B32" s="7" t="s">
        <v>64</v>
      </c>
      <c r="C32" s="2"/>
      <c r="D32" s="2"/>
      <c r="E32" s="2"/>
      <c r="F32" s="2"/>
      <c r="G32" s="12"/>
      <c r="H32" s="18"/>
    </row>
    <row r="33" spans="1:10" ht="60" x14ac:dyDescent="0.25">
      <c r="A33" s="2" t="s">
        <v>66</v>
      </c>
      <c r="B33" s="6" t="s">
        <v>71</v>
      </c>
      <c r="C33" s="2" t="s">
        <v>70</v>
      </c>
      <c r="D33" s="2" t="s">
        <v>72</v>
      </c>
      <c r="E33" s="2" t="s">
        <v>73</v>
      </c>
      <c r="F33" s="4" t="s">
        <v>165</v>
      </c>
      <c r="G33" s="213">
        <f>H33/2</f>
        <v>7942400</v>
      </c>
      <c r="H33" s="213">
        <f>7942400*2</f>
        <v>15884800</v>
      </c>
      <c r="I33" s="29"/>
      <c r="J33" s="25"/>
    </row>
    <row r="34" spans="1:10" ht="45" x14ac:dyDescent="0.25">
      <c r="A34" s="2" t="s">
        <v>67</v>
      </c>
      <c r="B34" s="6" t="s">
        <v>61</v>
      </c>
      <c r="C34" s="2"/>
      <c r="D34" s="2" t="s">
        <v>72</v>
      </c>
      <c r="E34" s="2" t="s">
        <v>73</v>
      </c>
      <c r="F34" s="4" t="s">
        <v>166</v>
      </c>
      <c r="G34" s="214"/>
      <c r="H34" s="214"/>
    </row>
    <row r="35" spans="1:10" x14ac:dyDescent="0.25">
      <c r="A35" s="2" t="s">
        <v>68</v>
      </c>
      <c r="B35" s="6" t="s">
        <v>62</v>
      </c>
      <c r="C35" s="2"/>
      <c r="D35" s="2"/>
      <c r="E35" s="2"/>
      <c r="F35" s="2"/>
      <c r="G35" s="12"/>
      <c r="H35" s="18"/>
    </row>
    <row r="36" spans="1:10" ht="30" x14ac:dyDescent="0.25">
      <c r="A36" s="2" t="s">
        <v>69</v>
      </c>
      <c r="B36" s="4" t="s">
        <v>63</v>
      </c>
      <c r="C36" s="2"/>
      <c r="D36" s="2"/>
      <c r="E36" s="2"/>
      <c r="F36" s="2"/>
      <c r="G36" s="12"/>
      <c r="H36" s="18"/>
    </row>
    <row r="37" spans="1:10" x14ac:dyDescent="0.25">
      <c r="A37" s="3" t="s">
        <v>78</v>
      </c>
      <c r="B37" s="7" t="s">
        <v>77</v>
      </c>
      <c r="C37" s="2"/>
      <c r="D37" s="2"/>
      <c r="E37" s="2"/>
      <c r="F37" s="2"/>
      <c r="G37" s="12"/>
      <c r="H37" s="18"/>
    </row>
    <row r="38" spans="1:10" x14ac:dyDescent="0.25">
      <c r="A38" s="2" t="s">
        <v>79</v>
      </c>
      <c r="B38" s="5" t="s">
        <v>74</v>
      </c>
      <c r="C38" s="2"/>
      <c r="D38" s="2"/>
      <c r="E38" s="2"/>
      <c r="F38" s="2"/>
      <c r="G38" s="12"/>
      <c r="H38" s="18"/>
    </row>
    <row r="39" spans="1:10" x14ac:dyDescent="0.25">
      <c r="A39" s="2" t="s">
        <v>80</v>
      </c>
      <c r="B39" s="5" t="s">
        <v>75</v>
      </c>
      <c r="C39" s="2"/>
      <c r="D39" s="2"/>
      <c r="E39" s="2"/>
      <c r="F39" s="2"/>
      <c r="G39" s="12"/>
      <c r="H39" s="18"/>
    </row>
    <row r="40" spans="1:10" x14ac:dyDescent="0.25">
      <c r="A40" s="2" t="s">
        <v>81</v>
      </c>
      <c r="B40" s="5" t="s">
        <v>76</v>
      </c>
      <c r="C40" s="2"/>
      <c r="D40" s="2"/>
      <c r="E40" s="2"/>
      <c r="F40" s="2"/>
      <c r="G40" s="12"/>
      <c r="H40" s="18"/>
    </row>
    <row r="41" spans="1:10" x14ac:dyDescent="0.25">
      <c r="A41" s="2" t="s">
        <v>99</v>
      </c>
      <c r="B41" s="7" t="s">
        <v>96</v>
      </c>
      <c r="C41" s="2"/>
      <c r="D41" s="2"/>
      <c r="E41" s="2"/>
      <c r="F41" s="2"/>
      <c r="G41" s="12"/>
      <c r="H41" s="18"/>
    </row>
    <row r="42" spans="1:10" x14ac:dyDescent="0.25">
      <c r="A42" s="2" t="s">
        <v>102</v>
      </c>
      <c r="B42" s="5" t="s">
        <v>82</v>
      </c>
      <c r="C42" s="2"/>
      <c r="D42" s="2"/>
      <c r="E42" s="2"/>
      <c r="F42" s="2"/>
      <c r="G42" s="12"/>
      <c r="H42" s="18"/>
    </row>
    <row r="43" spans="1:10" x14ac:dyDescent="0.25">
      <c r="A43" s="2" t="s">
        <v>103</v>
      </c>
      <c r="B43" s="5" t="s">
        <v>83</v>
      </c>
      <c r="C43" s="2"/>
      <c r="D43" s="2"/>
      <c r="E43" s="2"/>
      <c r="F43" s="2"/>
      <c r="G43" s="12"/>
      <c r="H43" s="18"/>
    </row>
    <row r="44" spans="1:10" x14ac:dyDescent="0.25">
      <c r="A44" s="2" t="s">
        <v>100</v>
      </c>
      <c r="B44" s="7" t="s">
        <v>97</v>
      </c>
      <c r="C44" s="2"/>
      <c r="D44" s="2"/>
      <c r="E44" s="2"/>
      <c r="F44" s="2"/>
      <c r="G44" s="12"/>
      <c r="H44" s="18"/>
    </row>
    <row r="45" spans="1:10" x14ac:dyDescent="0.25">
      <c r="A45" s="2" t="s">
        <v>104</v>
      </c>
      <c r="B45" s="5" t="s">
        <v>84</v>
      </c>
      <c r="C45" s="2"/>
      <c r="D45" s="2"/>
      <c r="E45" s="2"/>
      <c r="F45" s="2"/>
      <c r="G45" s="12"/>
      <c r="H45" s="18"/>
    </row>
    <row r="46" spans="1:10" x14ac:dyDescent="0.25">
      <c r="A46" s="2" t="s">
        <v>105</v>
      </c>
      <c r="B46" s="5" t="s">
        <v>85</v>
      </c>
      <c r="C46" s="2"/>
      <c r="D46" s="2"/>
      <c r="E46" s="2"/>
      <c r="F46" s="2"/>
      <c r="G46" s="12"/>
      <c r="H46" s="18"/>
    </row>
    <row r="47" spans="1:10" x14ac:dyDescent="0.25">
      <c r="A47" s="2" t="s">
        <v>106</v>
      </c>
      <c r="B47" s="5" t="s">
        <v>86</v>
      </c>
      <c r="C47" s="2"/>
      <c r="D47" s="2"/>
      <c r="E47" s="2"/>
      <c r="F47" s="2"/>
      <c r="G47" s="12"/>
      <c r="H47" s="18"/>
    </row>
    <row r="48" spans="1:10" x14ac:dyDescent="0.25">
      <c r="A48" s="2" t="s">
        <v>107</v>
      </c>
      <c r="B48" s="5" t="s">
        <v>87</v>
      </c>
      <c r="C48" s="2"/>
      <c r="D48" s="2"/>
      <c r="E48" s="2"/>
      <c r="F48" s="2"/>
      <c r="G48" s="12"/>
      <c r="H48" s="18"/>
    </row>
    <row r="49" spans="1:9" x14ac:dyDescent="0.25">
      <c r="A49" s="2" t="s">
        <v>108</v>
      </c>
      <c r="B49" s="5" t="s">
        <v>88</v>
      </c>
      <c r="C49" s="2"/>
      <c r="D49" s="2"/>
      <c r="E49" s="2"/>
      <c r="F49" s="2"/>
      <c r="G49" s="12"/>
      <c r="H49" s="18"/>
    </row>
    <row r="50" spans="1:9" x14ac:dyDescent="0.25">
      <c r="A50" s="2" t="s">
        <v>109</v>
      </c>
      <c r="B50" s="5" t="s">
        <v>89</v>
      </c>
      <c r="C50" s="2"/>
      <c r="D50" s="2"/>
      <c r="E50" s="2"/>
      <c r="F50" s="2"/>
      <c r="G50" s="12"/>
      <c r="H50" s="18"/>
    </row>
    <row r="51" spans="1:9" x14ac:dyDescent="0.25">
      <c r="A51" s="2" t="s">
        <v>110</v>
      </c>
      <c r="B51" s="5" t="s">
        <v>76</v>
      </c>
      <c r="C51" s="2"/>
      <c r="D51" s="2"/>
      <c r="E51" s="2"/>
      <c r="F51" s="2"/>
      <c r="G51" s="12"/>
      <c r="H51" s="18"/>
    </row>
    <row r="52" spans="1:9" x14ac:dyDescent="0.25">
      <c r="A52" s="2" t="s">
        <v>111</v>
      </c>
      <c r="B52" s="5" t="s">
        <v>90</v>
      </c>
      <c r="C52" s="2"/>
      <c r="D52" s="2"/>
      <c r="E52" s="2"/>
      <c r="F52" s="2"/>
      <c r="G52" s="12"/>
      <c r="H52" s="18"/>
    </row>
    <row r="53" spans="1:9" x14ac:dyDescent="0.25">
      <c r="A53" s="2" t="s">
        <v>112</v>
      </c>
      <c r="B53" s="5" t="s">
        <v>91</v>
      </c>
      <c r="C53" s="2"/>
      <c r="D53" s="2"/>
      <c r="E53" s="2"/>
      <c r="F53" s="2"/>
      <c r="G53" s="12"/>
      <c r="H53" s="18"/>
    </row>
    <row r="54" spans="1:9" x14ac:dyDescent="0.25">
      <c r="A54" s="2" t="s">
        <v>113</v>
      </c>
      <c r="B54" s="5" t="s">
        <v>92</v>
      </c>
      <c r="C54" s="2"/>
      <c r="D54" s="2"/>
      <c r="E54" s="2"/>
      <c r="F54" s="2"/>
      <c r="G54" s="12"/>
      <c r="H54" s="18"/>
    </row>
    <row r="55" spans="1:9" x14ac:dyDescent="0.25">
      <c r="A55" s="2" t="s">
        <v>101</v>
      </c>
      <c r="B55" s="7" t="s">
        <v>98</v>
      </c>
      <c r="C55" s="2"/>
      <c r="D55" s="2"/>
      <c r="E55" s="2"/>
      <c r="F55" s="2"/>
      <c r="G55" s="12"/>
      <c r="H55" s="18"/>
    </row>
    <row r="56" spans="1:9" x14ac:dyDescent="0.25">
      <c r="A56" s="2" t="s">
        <v>114</v>
      </c>
      <c r="B56" s="5" t="s">
        <v>93</v>
      </c>
      <c r="C56" s="2"/>
      <c r="D56" s="2"/>
      <c r="E56" s="2"/>
      <c r="F56" s="2"/>
      <c r="G56" s="12"/>
      <c r="H56" s="18"/>
    </row>
    <row r="57" spans="1:9" x14ac:dyDescent="0.25">
      <c r="A57" s="2" t="s">
        <v>115</v>
      </c>
      <c r="B57" s="5" t="s">
        <v>94</v>
      </c>
      <c r="C57" s="2"/>
      <c r="D57" s="2"/>
      <c r="E57" s="2"/>
      <c r="F57" s="2"/>
      <c r="G57" s="12"/>
      <c r="H57" s="18"/>
    </row>
    <row r="58" spans="1:9" x14ac:dyDescent="0.25">
      <c r="A58" s="2" t="s">
        <v>116</v>
      </c>
      <c r="B58" s="2" t="s">
        <v>95</v>
      </c>
      <c r="C58" s="2"/>
      <c r="D58" s="2"/>
      <c r="E58" s="2"/>
      <c r="F58" s="2"/>
      <c r="G58" s="12"/>
      <c r="H58" s="18"/>
    </row>
    <row r="59" spans="1:9" ht="18.75" x14ac:dyDescent="0.25">
      <c r="A59" s="217" t="s">
        <v>117</v>
      </c>
      <c r="B59" s="217"/>
      <c r="C59" s="9"/>
      <c r="D59" s="9"/>
      <c r="E59" s="9"/>
      <c r="F59" s="9"/>
      <c r="G59" s="9"/>
      <c r="H59" s="18"/>
    </row>
    <row r="60" spans="1:9" ht="60" x14ac:dyDescent="0.25">
      <c r="A60" s="18">
        <v>1</v>
      </c>
      <c r="B60" s="6" t="s">
        <v>118</v>
      </c>
      <c r="C60" s="5"/>
      <c r="D60" s="5">
        <v>2.863</v>
      </c>
      <c r="E60" s="2"/>
      <c r="F60" s="2"/>
      <c r="G60" s="12"/>
      <c r="H60" s="18"/>
    </row>
    <row r="61" spans="1:9" ht="60" x14ac:dyDescent="0.25">
      <c r="A61" s="19" t="s">
        <v>8</v>
      </c>
      <c r="B61" s="20" t="s">
        <v>155</v>
      </c>
      <c r="C61" s="20" t="s">
        <v>129</v>
      </c>
      <c r="D61" s="21">
        <v>468</v>
      </c>
      <c r="E61" s="2" t="s">
        <v>147</v>
      </c>
      <c r="F61" s="4" t="s">
        <v>145</v>
      </c>
      <c r="G61" s="12">
        <f>137900*468*12.5*0.065</f>
        <v>52436475</v>
      </c>
      <c r="H61" s="26">
        <f>G61*1.35</f>
        <v>70789241.25</v>
      </c>
      <c r="I61" s="29"/>
    </row>
    <row r="62" spans="1:9" x14ac:dyDescent="0.25">
      <c r="A62" s="19" t="s">
        <v>10</v>
      </c>
      <c r="B62" s="20" t="s">
        <v>154</v>
      </c>
      <c r="C62" s="21" t="s">
        <v>144</v>
      </c>
      <c r="D62" s="21">
        <v>3870</v>
      </c>
      <c r="E62" s="2" t="s">
        <v>147</v>
      </c>
      <c r="F62" s="2" t="s">
        <v>146</v>
      </c>
      <c r="G62" s="12">
        <f>2890*D62</f>
        <v>11184300</v>
      </c>
      <c r="H62" s="26">
        <f t="shared" ref="H62:H74" si="0">G62*1.35</f>
        <v>15098805.000000002</v>
      </c>
    </row>
    <row r="63" spans="1:9" ht="30" x14ac:dyDescent="0.25">
      <c r="A63" s="19" t="s">
        <v>22</v>
      </c>
      <c r="B63" s="20" t="s">
        <v>153</v>
      </c>
      <c r="C63" s="21" t="s">
        <v>128</v>
      </c>
      <c r="D63" s="21">
        <v>30960</v>
      </c>
      <c r="E63" s="2" t="s">
        <v>147</v>
      </c>
      <c r="F63" s="4" t="s">
        <v>149</v>
      </c>
      <c r="G63" s="12">
        <f>11.765*126500</f>
        <v>1488272.5</v>
      </c>
      <c r="H63" s="26">
        <f t="shared" si="0"/>
        <v>2009167.8750000002</v>
      </c>
    </row>
    <row r="64" spans="1:9" ht="30" x14ac:dyDescent="0.25">
      <c r="A64" s="19" t="s">
        <v>23</v>
      </c>
      <c r="B64" s="20" t="s">
        <v>152</v>
      </c>
      <c r="C64" s="21"/>
      <c r="D64" s="21">
        <v>7740</v>
      </c>
      <c r="E64" s="2" t="s">
        <v>147</v>
      </c>
      <c r="F64" s="4" t="s">
        <v>148</v>
      </c>
      <c r="G64" s="12">
        <f>59.5*229200</f>
        <v>13637400</v>
      </c>
      <c r="H64" s="26">
        <f t="shared" si="0"/>
        <v>18410490</v>
      </c>
    </row>
    <row r="65" spans="1:8" ht="30" x14ac:dyDescent="0.25">
      <c r="A65" s="19" t="s">
        <v>24</v>
      </c>
      <c r="B65" s="20" t="s">
        <v>151</v>
      </c>
      <c r="C65" s="21"/>
      <c r="D65" s="21">
        <v>936</v>
      </c>
      <c r="E65" s="2" t="s">
        <v>147</v>
      </c>
      <c r="F65" s="4" t="s">
        <v>150</v>
      </c>
      <c r="G65" s="12">
        <f>189500*27.612</f>
        <v>5232474</v>
      </c>
      <c r="H65" s="26">
        <f t="shared" si="0"/>
        <v>7063839.9000000004</v>
      </c>
    </row>
    <row r="66" spans="1:8" ht="30" x14ac:dyDescent="0.25">
      <c r="A66" s="19" t="s">
        <v>25</v>
      </c>
      <c r="B66" s="20" t="s">
        <v>157</v>
      </c>
      <c r="C66" s="21"/>
      <c r="D66" s="21">
        <v>7740</v>
      </c>
      <c r="E66" s="2" t="s">
        <v>147</v>
      </c>
      <c r="F66" s="4" t="s">
        <v>156</v>
      </c>
      <c r="G66" s="12">
        <f>10.5264*139800</f>
        <v>1471590.7200000002</v>
      </c>
      <c r="H66" s="26">
        <f t="shared" si="0"/>
        <v>1986647.4720000003</v>
      </c>
    </row>
    <row r="67" spans="1:8" x14ac:dyDescent="0.25">
      <c r="A67" s="18" t="s">
        <v>26</v>
      </c>
      <c r="B67" s="6" t="s">
        <v>158</v>
      </c>
      <c r="C67" s="5"/>
      <c r="D67" s="5">
        <v>7740</v>
      </c>
      <c r="E67" s="2" t="s">
        <v>147</v>
      </c>
      <c r="F67" s="2"/>
      <c r="G67" s="12">
        <f>7740*96</f>
        <v>743040</v>
      </c>
      <c r="H67" s="26">
        <f t="shared" si="0"/>
        <v>1003104.0000000001</v>
      </c>
    </row>
    <row r="68" spans="1:8" x14ac:dyDescent="0.25">
      <c r="A68" s="18">
        <v>2</v>
      </c>
      <c r="B68" s="6" t="s">
        <v>127</v>
      </c>
      <c r="C68" s="5" t="s">
        <v>126</v>
      </c>
      <c r="D68" s="5">
        <v>1</v>
      </c>
      <c r="E68" s="2"/>
      <c r="F68" s="2"/>
      <c r="G68" s="12"/>
      <c r="H68" s="26">
        <f t="shared" si="0"/>
        <v>0</v>
      </c>
    </row>
    <row r="69" spans="1:8" ht="45" x14ac:dyDescent="0.25">
      <c r="A69" s="18">
        <v>3</v>
      </c>
      <c r="B69" s="6" t="s">
        <v>119</v>
      </c>
      <c r="C69" s="6" t="s">
        <v>120</v>
      </c>
      <c r="D69" s="5">
        <v>1</v>
      </c>
      <c r="E69" s="2" t="s">
        <v>147</v>
      </c>
      <c r="F69" s="2"/>
      <c r="G69" s="12">
        <f>3096000*D69</f>
        <v>3096000</v>
      </c>
      <c r="H69" s="26">
        <f t="shared" si="0"/>
        <v>4179600.0000000005</v>
      </c>
    </row>
    <row r="70" spans="1:8" ht="30" x14ac:dyDescent="0.25">
      <c r="A70" s="18">
        <v>4</v>
      </c>
      <c r="B70" s="6" t="s">
        <v>121</v>
      </c>
      <c r="C70" s="6" t="s">
        <v>120</v>
      </c>
      <c r="D70" s="5">
        <v>3</v>
      </c>
      <c r="E70" s="2" t="s">
        <v>147</v>
      </c>
      <c r="F70" s="2"/>
      <c r="G70" s="12">
        <f t="shared" ref="G70:G71" si="1">3096000*D70</f>
        <v>9288000</v>
      </c>
      <c r="H70" s="26">
        <f t="shared" si="0"/>
        <v>12538800</v>
      </c>
    </row>
    <row r="71" spans="1:8" ht="30" x14ac:dyDescent="0.25">
      <c r="A71" s="18">
        <v>5</v>
      </c>
      <c r="B71" s="6" t="s">
        <v>122</v>
      </c>
      <c r="C71" s="6" t="s">
        <v>120</v>
      </c>
      <c r="D71" s="5">
        <v>2</v>
      </c>
      <c r="E71" s="2" t="s">
        <v>147</v>
      </c>
      <c r="F71" s="2"/>
      <c r="G71" s="12">
        <f t="shared" si="1"/>
        <v>6192000</v>
      </c>
      <c r="H71" s="26">
        <f t="shared" si="0"/>
        <v>8359200.0000000009</v>
      </c>
    </row>
    <row r="72" spans="1:8" ht="30" x14ac:dyDescent="0.25">
      <c r="A72" s="18">
        <v>6</v>
      </c>
      <c r="B72" s="6" t="s">
        <v>121</v>
      </c>
      <c r="C72" s="6" t="s">
        <v>123</v>
      </c>
      <c r="D72" s="5">
        <v>1</v>
      </c>
      <c r="E72" s="2" t="s">
        <v>147</v>
      </c>
      <c r="F72" s="2"/>
      <c r="G72" s="12">
        <v>2470000</v>
      </c>
      <c r="H72" s="26">
        <f t="shared" si="0"/>
        <v>3334500</v>
      </c>
    </row>
    <row r="73" spans="1:8" ht="30" x14ac:dyDescent="0.25">
      <c r="A73" s="18">
        <v>7</v>
      </c>
      <c r="B73" s="6" t="s">
        <v>122</v>
      </c>
      <c r="C73" s="6" t="s">
        <v>123</v>
      </c>
      <c r="D73" s="5">
        <v>1</v>
      </c>
      <c r="E73" s="2" t="s">
        <v>147</v>
      </c>
      <c r="F73" s="2"/>
      <c r="G73" s="12">
        <v>2470000</v>
      </c>
      <c r="H73" s="26">
        <f t="shared" si="0"/>
        <v>3334500</v>
      </c>
    </row>
    <row r="74" spans="1:8" x14ac:dyDescent="0.25">
      <c r="A74" s="18">
        <v>8</v>
      </c>
      <c r="B74" s="6" t="s">
        <v>124</v>
      </c>
      <c r="C74" s="5" t="s">
        <v>125</v>
      </c>
      <c r="D74" s="5">
        <v>4</v>
      </c>
      <c r="E74" s="2" t="s">
        <v>147</v>
      </c>
      <c r="F74" s="2"/>
      <c r="G74" s="12">
        <f>168000*D74</f>
        <v>672000</v>
      </c>
      <c r="H74" s="26">
        <f t="shared" si="0"/>
        <v>907200.00000000012</v>
      </c>
    </row>
    <row r="75" spans="1:8" x14ac:dyDescent="0.25">
      <c r="A75" s="18">
        <v>9</v>
      </c>
      <c r="B75" s="6" t="s">
        <v>159</v>
      </c>
      <c r="C75" s="2"/>
      <c r="D75" s="2"/>
      <c r="E75" s="2"/>
      <c r="F75" s="2"/>
      <c r="G75" s="12"/>
      <c r="H75" s="18"/>
    </row>
    <row r="76" spans="1:8" x14ac:dyDescent="0.25">
      <c r="A76" s="19" t="s">
        <v>162</v>
      </c>
      <c r="B76" s="20" t="s">
        <v>160</v>
      </c>
      <c r="C76" s="22" t="s">
        <v>164</v>
      </c>
      <c r="D76" s="22"/>
      <c r="E76" s="22"/>
      <c r="F76" s="2"/>
      <c r="G76" s="12"/>
      <c r="H76" s="18"/>
    </row>
    <row r="77" spans="1:8" x14ac:dyDescent="0.25">
      <c r="A77" s="19" t="s">
        <v>163</v>
      </c>
      <c r="B77" s="20" t="s">
        <v>161</v>
      </c>
      <c r="C77" s="22"/>
      <c r="D77" s="22"/>
      <c r="E77" s="22"/>
      <c r="F77" s="2"/>
      <c r="G77" s="12"/>
      <c r="H77" s="18"/>
    </row>
    <row r="78" spans="1:8" s="1" customFormat="1" x14ac:dyDescent="0.25">
      <c r="B78" s="23" t="s">
        <v>169</v>
      </c>
      <c r="G78" s="24">
        <f>SUM(G2:G77)</f>
        <v>121667736.22</v>
      </c>
      <c r="H78" s="24">
        <f>SUM(H2:H77)</f>
        <v>169414003.89700001</v>
      </c>
    </row>
    <row r="79" spans="1:8" s="1" customFormat="1" x14ac:dyDescent="0.25">
      <c r="B79" s="1" t="s">
        <v>170</v>
      </c>
      <c r="G79" s="24"/>
      <c r="H79" s="27">
        <f>1-G78/H78</f>
        <v>0.28183188271749182</v>
      </c>
    </row>
  </sheetData>
  <mergeCells count="4">
    <mergeCell ref="H33:H34"/>
    <mergeCell ref="G33:G34"/>
    <mergeCell ref="A2:B2"/>
    <mergeCell ref="A59:B59"/>
  </mergeCells>
  <conditionalFormatting sqref="A19:A27">
    <cfRule type="duplicateValues" dxfId="1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J87"/>
  <sheetViews>
    <sheetView topLeftCell="A55" workbookViewId="0">
      <selection activeCell="G61" sqref="G61:G62"/>
    </sheetView>
  </sheetViews>
  <sheetFormatPr defaultRowHeight="15" x14ac:dyDescent="0.25"/>
  <cols>
    <col min="1" max="1" width="5.42578125" bestFit="1" customWidth="1"/>
    <col min="2" max="2" width="50.28515625" bestFit="1" customWidth="1"/>
    <col min="3" max="3" width="26.140625" bestFit="1" customWidth="1"/>
    <col min="4" max="4" width="11" bestFit="1" customWidth="1"/>
    <col min="5" max="5" width="14.42578125" bestFit="1" customWidth="1"/>
    <col min="6" max="6" width="26.140625" bestFit="1" customWidth="1"/>
    <col min="7" max="7" width="19.5703125" style="17" customWidth="1"/>
    <col min="8" max="8" width="26.5703125" style="28" customWidth="1"/>
    <col min="9" max="9" width="15.28515625" bestFit="1" customWidth="1"/>
  </cols>
  <sheetData>
    <row r="1" spans="1:8" ht="30" x14ac:dyDescent="0.25">
      <c r="A1" s="11" t="s">
        <v>0</v>
      </c>
      <c r="B1" s="11" t="s">
        <v>3</v>
      </c>
      <c r="C1" s="11" t="s">
        <v>2</v>
      </c>
      <c r="D1" s="11" t="s">
        <v>20</v>
      </c>
      <c r="E1" s="11" t="s">
        <v>1</v>
      </c>
      <c r="F1" s="11" t="s">
        <v>4</v>
      </c>
      <c r="G1" s="13" t="s">
        <v>143</v>
      </c>
      <c r="H1" s="11" t="s">
        <v>167</v>
      </c>
    </row>
    <row r="2" spans="1:8" s="1" customFormat="1" ht="18.75" x14ac:dyDescent="0.3">
      <c r="A2" s="215" t="s">
        <v>5</v>
      </c>
      <c r="B2" s="216"/>
      <c r="C2" s="8"/>
      <c r="D2" s="8"/>
      <c r="E2" s="8"/>
      <c r="F2" s="8"/>
      <c r="G2" s="15"/>
      <c r="H2" s="15"/>
    </row>
    <row r="3" spans="1:8" x14ac:dyDescent="0.25">
      <c r="A3" s="3" t="s">
        <v>6</v>
      </c>
      <c r="B3" s="3" t="s">
        <v>7</v>
      </c>
      <c r="C3" s="2"/>
      <c r="D3" s="2"/>
      <c r="E3" s="2"/>
      <c r="F3" s="2"/>
      <c r="G3" s="12"/>
      <c r="H3" s="18"/>
    </row>
    <row r="4" spans="1:8" x14ac:dyDescent="0.25">
      <c r="A4" s="2" t="s">
        <v>8</v>
      </c>
      <c r="B4" s="2" t="s">
        <v>136</v>
      </c>
      <c r="C4" s="2"/>
      <c r="D4" s="2"/>
      <c r="E4" s="2"/>
      <c r="F4" s="2"/>
      <c r="G4" s="12"/>
      <c r="H4" s="18"/>
    </row>
    <row r="5" spans="1:8" s="33" customFormat="1" x14ac:dyDescent="0.25">
      <c r="A5" s="30" t="s">
        <v>10</v>
      </c>
      <c r="B5" s="30" t="s">
        <v>134</v>
      </c>
      <c r="C5" s="30"/>
      <c r="D5" s="30"/>
      <c r="E5" s="30" t="s">
        <v>171</v>
      </c>
      <c r="F5" s="30" t="s">
        <v>172</v>
      </c>
      <c r="G5" s="31"/>
      <c r="H5" s="32"/>
    </row>
    <row r="6" spans="1:8" s="33" customFormat="1" x14ac:dyDescent="0.25">
      <c r="A6" s="30" t="s">
        <v>22</v>
      </c>
      <c r="B6" s="30" t="s">
        <v>135</v>
      </c>
      <c r="C6" s="30"/>
      <c r="D6" s="30"/>
      <c r="E6" s="30" t="s">
        <v>171</v>
      </c>
      <c r="F6" s="30" t="s">
        <v>172</v>
      </c>
      <c r="G6" s="31"/>
      <c r="H6" s="32"/>
    </row>
    <row r="7" spans="1:8" x14ac:dyDescent="0.25">
      <c r="A7" s="2" t="s">
        <v>23</v>
      </c>
      <c r="B7" s="2" t="s">
        <v>131</v>
      </c>
      <c r="C7" s="2"/>
      <c r="D7" s="2"/>
      <c r="E7" s="2"/>
      <c r="F7" s="2"/>
      <c r="G7" s="12"/>
      <c r="H7" s="18"/>
    </row>
    <row r="8" spans="1:8" x14ac:dyDescent="0.25">
      <c r="A8" s="2" t="s">
        <v>132</v>
      </c>
      <c r="B8" s="2" t="s">
        <v>133</v>
      </c>
      <c r="C8" s="2"/>
      <c r="D8" s="2"/>
      <c r="E8" s="2"/>
      <c r="F8" s="2"/>
      <c r="G8" s="12"/>
      <c r="H8" s="18"/>
    </row>
    <row r="9" spans="1:8" x14ac:dyDescent="0.25">
      <c r="A9" s="2" t="s">
        <v>24</v>
      </c>
      <c r="B9" s="2" t="s">
        <v>11</v>
      </c>
      <c r="C9" s="2"/>
      <c r="D9" s="2"/>
      <c r="E9" s="2"/>
      <c r="F9" s="2"/>
      <c r="G9" s="12"/>
      <c r="H9" s="18"/>
    </row>
    <row r="10" spans="1:8" x14ac:dyDescent="0.25">
      <c r="A10" s="2" t="s">
        <v>25</v>
      </c>
      <c r="B10" s="2" t="s">
        <v>12</v>
      </c>
      <c r="C10" s="2"/>
      <c r="D10" s="2"/>
      <c r="E10" s="2"/>
      <c r="F10" s="2"/>
      <c r="G10" s="12"/>
      <c r="H10" s="18"/>
    </row>
    <row r="11" spans="1:8" x14ac:dyDescent="0.25">
      <c r="A11" s="2" t="s">
        <v>26</v>
      </c>
      <c r="B11" s="2" t="s">
        <v>13</v>
      </c>
      <c r="C11" s="2"/>
      <c r="D11" s="2"/>
      <c r="E11" s="2"/>
      <c r="F11" s="2"/>
      <c r="G11" s="12"/>
      <c r="H11" s="18"/>
    </row>
    <row r="12" spans="1:8" s="33" customFormat="1" x14ac:dyDescent="0.25">
      <c r="A12" s="30" t="s">
        <v>27</v>
      </c>
      <c r="B12" s="30" t="s">
        <v>137</v>
      </c>
      <c r="C12" s="30"/>
      <c r="D12" s="30"/>
      <c r="E12" s="30"/>
      <c r="F12" s="30"/>
      <c r="G12" s="31"/>
      <c r="H12" s="32"/>
    </row>
    <row r="13" spans="1:8" s="33" customFormat="1" x14ac:dyDescent="0.25">
      <c r="A13" s="30" t="s">
        <v>28</v>
      </c>
      <c r="B13" s="30" t="s">
        <v>14</v>
      </c>
      <c r="C13" s="30" t="s">
        <v>15</v>
      </c>
      <c r="D13" s="30"/>
      <c r="E13" s="30"/>
      <c r="F13" s="30"/>
      <c r="G13" s="31"/>
      <c r="H13" s="32"/>
    </row>
    <row r="14" spans="1:8" x14ac:dyDescent="0.25">
      <c r="A14" s="2" t="s">
        <v>29</v>
      </c>
      <c r="B14" s="2" t="s">
        <v>16</v>
      </c>
      <c r="C14" s="2" t="s">
        <v>17</v>
      </c>
      <c r="D14" s="2"/>
      <c r="E14" s="2"/>
      <c r="F14" s="2"/>
      <c r="G14" s="12"/>
      <c r="H14" s="18"/>
    </row>
    <row r="15" spans="1:8" x14ac:dyDescent="0.25">
      <c r="A15" s="2" t="s">
        <v>30</v>
      </c>
      <c r="B15" s="2" t="s">
        <v>18</v>
      </c>
      <c r="C15" s="2" t="s">
        <v>130</v>
      </c>
      <c r="D15" s="2"/>
      <c r="E15" s="2"/>
      <c r="F15" s="2"/>
      <c r="G15" s="12"/>
      <c r="H15" s="18"/>
    </row>
    <row r="16" spans="1:8" s="33" customFormat="1" x14ac:dyDescent="0.25">
      <c r="A16" s="30" t="s">
        <v>138</v>
      </c>
      <c r="B16" s="30" t="s">
        <v>19</v>
      </c>
      <c r="C16" s="30"/>
      <c r="D16" s="30" t="s">
        <v>21</v>
      </c>
      <c r="E16" s="30"/>
      <c r="F16" s="30" t="s">
        <v>172</v>
      </c>
      <c r="G16" s="31"/>
      <c r="H16" s="32"/>
    </row>
    <row r="17" spans="1:8" ht="75" x14ac:dyDescent="0.25">
      <c r="A17" s="34" t="s">
        <v>139</v>
      </c>
      <c r="B17" s="35" t="s">
        <v>140</v>
      </c>
      <c r="C17" s="36" t="s">
        <v>141</v>
      </c>
      <c r="D17" s="37" t="s">
        <v>142</v>
      </c>
      <c r="E17" s="37"/>
      <c r="F17" s="36" t="s">
        <v>168</v>
      </c>
      <c r="G17" s="38">
        <f>H17/1.35</f>
        <v>3343784</v>
      </c>
      <c r="H17" s="39">
        <f>1677527.55+2836580.85</f>
        <v>4514108.4000000004</v>
      </c>
    </row>
    <row r="18" spans="1:8" s="1" customFormat="1" x14ac:dyDescent="0.25">
      <c r="A18" s="3" t="s">
        <v>31</v>
      </c>
      <c r="B18" s="3" t="s">
        <v>32</v>
      </c>
      <c r="C18" s="3"/>
      <c r="D18" s="3"/>
      <c r="E18" s="3"/>
      <c r="F18" s="3"/>
      <c r="G18" s="16"/>
      <c r="H18" s="10"/>
    </row>
    <row r="19" spans="1:8" ht="30" x14ac:dyDescent="0.25">
      <c r="A19" s="2" t="s">
        <v>35</v>
      </c>
      <c r="B19" s="4" t="s">
        <v>33</v>
      </c>
      <c r="C19" s="2" t="s">
        <v>34</v>
      </c>
      <c r="D19" s="2"/>
      <c r="E19" s="2"/>
      <c r="F19" s="2"/>
      <c r="G19" s="12"/>
      <c r="H19" s="18"/>
    </row>
    <row r="20" spans="1:8" x14ac:dyDescent="0.25">
      <c r="A20" s="2" t="s">
        <v>36</v>
      </c>
      <c r="B20" s="2" t="s">
        <v>37</v>
      </c>
      <c r="C20" s="2"/>
      <c r="D20" s="2"/>
      <c r="E20" s="2"/>
      <c r="F20" s="2"/>
      <c r="G20" s="12"/>
      <c r="H20" s="18"/>
    </row>
    <row r="21" spans="1:8" x14ac:dyDescent="0.25">
      <c r="A21" s="2" t="s">
        <v>43</v>
      </c>
      <c r="B21" s="2" t="s">
        <v>38</v>
      </c>
      <c r="C21" s="2"/>
      <c r="D21" s="2"/>
      <c r="E21" s="2"/>
      <c r="F21" s="2"/>
      <c r="G21" s="12"/>
      <c r="H21" s="18"/>
    </row>
    <row r="22" spans="1:8" x14ac:dyDescent="0.25">
      <c r="A22" s="2" t="s">
        <v>44</v>
      </c>
      <c r="B22" s="5" t="s">
        <v>39</v>
      </c>
      <c r="C22" s="2"/>
      <c r="D22" s="2"/>
      <c r="E22" s="2"/>
      <c r="F22" s="2"/>
      <c r="G22" s="12"/>
      <c r="H22" s="18"/>
    </row>
    <row r="23" spans="1:8" ht="30" x14ac:dyDescent="0.25">
      <c r="A23" s="30" t="s">
        <v>45</v>
      </c>
      <c r="B23" s="40" t="s">
        <v>40</v>
      </c>
      <c r="C23" s="30"/>
      <c r="D23" s="30"/>
      <c r="E23" s="30"/>
      <c r="F23" s="30" t="s">
        <v>173</v>
      </c>
      <c r="G23" s="31"/>
      <c r="H23" s="32"/>
    </row>
    <row r="24" spans="1:8" s="33" customFormat="1" x14ac:dyDescent="0.25">
      <c r="A24" s="30" t="s">
        <v>46</v>
      </c>
      <c r="B24" s="30" t="s">
        <v>41</v>
      </c>
      <c r="C24" s="30"/>
      <c r="D24" s="30"/>
      <c r="E24" s="30"/>
      <c r="F24" s="30" t="s">
        <v>173</v>
      </c>
      <c r="G24" s="31"/>
      <c r="H24" s="32"/>
    </row>
    <row r="25" spans="1:8" s="33" customFormat="1" x14ac:dyDescent="0.25">
      <c r="A25" s="30" t="s">
        <v>47</v>
      </c>
      <c r="B25" s="30" t="s">
        <v>42</v>
      </c>
      <c r="C25" s="30"/>
      <c r="D25" s="30"/>
      <c r="E25" s="30"/>
      <c r="F25" s="30" t="s">
        <v>173</v>
      </c>
      <c r="G25" s="31"/>
      <c r="H25" s="32"/>
    </row>
    <row r="26" spans="1:8" x14ac:dyDescent="0.25">
      <c r="A26" s="41" t="s">
        <v>48</v>
      </c>
      <c r="B26" s="41" t="s">
        <v>49</v>
      </c>
      <c r="C26" s="41"/>
      <c r="D26" s="41"/>
      <c r="E26" s="41"/>
      <c r="F26" s="41" t="s">
        <v>50</v>
      </c>
      <c r="G26" s="42"/>
      <c r="H26" s="43"/>
    </row>
    <row r="27" spans="1:8" x14ac:dyDescent="0.25">
      <c r="A27" s="3" t="s">
        <v>52</v>
      </c>
      <c r="B27" s="3" t="s">
        <v>51</v>
      </c>
      <c r="C27" s="2"/>
      <c r="D27" s="2"/>
      <c r="E27" s="2"/>
      <c r="F27" s="2"/>
      <c r="G27" s="12"/>
      <c r="H27" s="18"/>
    </row>
    <row r="28" spans="1:8" ht="30" x14ac:dyDescent="0.25">
      <c r="A28" s="30" t="s">
        <v>57</v>
      </c>
      <c r="B28" s="45" t="s">
        <v>56</v>
      </c>
      <c r="C28" s="30"/>
      <c r="D28" s="30"/>
      <c r="E28" s="30"/>
      <c r="F28" s="30" t="s">
        <v>174</v>
      </c>
      <c r="G28" s="31"/>
      <c r="H28" s="32"/>
    </row>
    <row r="29" spans="1:8" x14ac:dyDescent="0.25">
      <c r="A29" s="46" t="s">
        <v>58</v>
      </c>
      <c r="B29" s="47" t="s">
        <v>53</v>
      </c>
      <c r="C29" s="46"/>
      <c r="D29" s="46"/>
      <c r="E29" s="46"/>
      <c r="F29" s="46"/>
      <c r="G29" s="48"/>
      <c r="H29" s="49"/>
    </row>
    <row r="30" spans="1:8" x14ac:dyDescent="0.25">
      <c r="A30" s="30" t="s">
        <v>59</v>
      </c>
      <c r="B30" s="45" t="s">
        <v>54</v>
      </c>
      <c r="C30" s="30"/>
      <c r="D30" s="30"/>
      <c r="E30" s="30"/>
      <c r="F30" s="30" t="s">
        <v>174</v>
      </c>
      <c r="G30" s="31"/>
      <c r="H30" s="32"/>
    </row>
    <row r="31" spans="1:8" ht="30" x14ac:dyDescent="0.25">
      <c r="A31" s="46" t="s">
        <v>60</v>
      </c>
      <c r="B31" s="47" t="s">
        <v>55</v>
      </c>
      <c r="C31" s="46"/>
      <c r="D31" s="46"/>
      <c r="E31" s="46"/>
      <c r="F31" s="46"/>
      <c r="G31" s="48"/>
      <c r="H31" s="49"/>
    </row>
    <row r="32" spans="1:8" x14ac:dyDescent="0.25">
      <c r="A32" s="3" t="s">
        <v>65</v>
      </c>
      <c r="B32" s="7" t="s">
        <v>64</v>
      </c>
      <c r="C32" s="2"/>
      <c r="D32" s="2"/>
      <c r="E32" s="2"/>
      <c r="F32" s="2"/>
      <c r="G32" s="12"/>
      <c r="H32" s="18"/>
    </row>
    <row r="33" spans="1:10" ht="60" x14ac:dyDescent="0.25">
      <c r="A33" s="37" t="s">
        <v>66</v>
      </c>
      <c r="B33" s="44" t="s">
        <v>71</v>
      </c>
      <c r="C33" s="37" t="s">
        <v>70</v>
      </c>
      <c r="D33" s="37" t="s">
        <v>72</v>
      </c>
      <c r="E33" s="37" t="s">
        <v>73</v>
      </c>
      <c r="F33" s="36" t="s">
        <v>165</v>
      </c>
      <c r="G33" s="218">
        <f>H33/2</f>
        <v>7942400</v>
      </c>
      <c r="H33" s="218">
        <f>7942400*2</f>
        <v>15884800</v>
      </c>
      <c r="I33" s="29"/>
      <c r="J33" s="25"/>
    </row>
    <row r="34" spans="1:10" ht="45" x14ac:dyDescent="0.25">
      <c r="A34" s="37" t="s">
        <v>67</v>
      </c>
      <c r="B34" s="44" t="s">
        <v>61</v>
      </c>
      <c r="C34" s="37"/>
      <c r="D34" s="37" t="s">
        <v>72</v>
      </c>
      <c r="E34" s="37" t="s">
        <v>73</v>
      </c>
      <c r="F34" s="36" t="s">
        <v>166</v>
      </c>
      <c r="G34" s="219"/>
      <c r="H34" s="219"/>
    </row>
    <row r="35" spans="1:10" x14ac:dyDescent="0.25">
      <c r="A35" s="2" t="s">
        <v>68</v>
      </c>
      <c r="B35" s="6" t="s">
        <v>62</v>
      </c>
      <c r="C35" s="2"/>
      <c r="D35" s="2"/>
      <c r="E35" s="2"/>
      <c r="F35" s="2"/>
      <c r="G35" s="12"/>
      <c r="H35" s="18"/>
    </row>
    <row r="36" spans="1:10" ht="30" x14ac:dyDescent="0.25">
      <c r="A36" s="2" t="s">
        <v>69</v>
      </c>
      <c r="B36" s="4" t="s">
        <v>63</v>
      </c>
      <c r="C36" s="2"/>
      <c r="D36" s="2"/>
      <c r="E36" s="2"/>
      <c r="F36" s="2"/>
      <c r="G36" s="12"/>
      <c r="H36" s="18"/>
    </row>
    <row r="37" spans="1:10" x14ac:dyDescent="0.25">
      <c r="A37" s="3" t="s">
        <v>78</v>
      </c>
      <c r="B37" s="7" t="s">
        <v>77</v>
      </c>
      <c r="C37" s="2"/>
      <c r="D37" s="2"/>
      <c r="E37" s="2"/>
      <c r="F37" s="2"/>
      <c r="G37" s="12"/>
      <c r="H37" s="18"/>
    </row>
    <row r="38" spans="1:10" x14ac:dyDescent="0.25">
      <c r="A38" s="2" t="s">
        <v>79</v>
      </c>
      <c r="B38" s="5" t="s">
        <v>74</v>
      </c>
      <c r="C38" s="2"/>
      <c r="D38" s="2"/>
      <c r="E38" s="2"/>
      <c r="F38" s="2"/>
      <c r="G38" s="12"/>
      <c r="H38" s="18"/>
    </row>
    <row r="39" spans="1:10" x14ac:dyDescent="0.25">
      <c r="A39" s="2" t="s">
        <v>80</v>
      </c>
      <c r="B39" s="5" t="s">
        <v>75</v>
      </c>
      <c r="C39" s="2"/>
      <c r="D39" s="2"/>
      <c r="E39" s="2"/>
      <c r="F39" s="2"/>
      <c r="G39" s="12"/>
      <c r="H39" s="18"/>
    </row>
    <row r="40" spans="1:10" x14ac:dyDescent="0.25">
      <c r="A40" s="2" t="s">
        <v>81</v>
      </c>
      <c r="B40" s="5" t="s">
        <v>76</v>
      </c>
      <c r="C40" s="2"/>
      <c r="D40" s="2"/>
      <c r="E40" s="2"/>
      <c r="F40" s="2"/>
      <c r="G40" s="12"/>
      <c r="H40" s="18"/>
    </row>
    <row r="41" spans="1:10" x14ac:dyDescent="0.25">
      <c r="A41" s="2" t="s">
        <v>99</v>
      </c>
      <c r="B41" s="7" t="s">
        <v>96</v>
      </c>
      <c r="C41" s="2"/>
      <c r="D41" s="2"/>
      <c r="E41" s="2"/>
      <c r="F41" s="2"/>
      <c r="G41" s="12"/>
      <c r="H41" s="18"/>
    </row>
    <row r="42" spans="1:10" x14ac:dyDescent="0.25">
      <c r="A42" s="2" t="s">
        <v>102</v>
      </c>
      <c r="B42" s="5" t="s">
        <v>82</v>
      </c>
      <c r="C42" s="2"/>
      <c r="D42" s="2"/>
      <c r="E42" s="2"/>
      <c r="F42" s="2"/>
      <c r="G42" s="12"/>
      <c r="H42" s="18"/>
    </row>
    <row r="43" spans="1:10" x14ac:dyDescent="0.25">
      <c r="A43" s="2" t="s">
        <v>103</v>
      </c>
      <c r="B43" s="5" t="s">
        <v>83</v>
      </c>
      <c r="C43" s="2"/>
      <c r="D43" s="2"/>
      <c r="E43" s="2"/>
      <c r="F43" s="2"/>
      <c r="G43" s="12"/>
      <c r="H43" s="18"/>
    </row>
    <row r="44" spans="1:10" x14ac:dyDescent="0.25">
      <c r="A44" s="2" t="s">
        <v>100</v>
      </c>
      <c r="B44" s="7" t="s">
        <v>97</v>
      </c>
      <c r="C44" s="2"/>
      <c r="D44" s="2"/>
      <c r="E44" s="2"/>
      <c r="F44" s="2"/>
      <c r="G44" s="12"/>
      <c r="H44" s="18"/>
    </row>
    <row r="45" spans="1:10" x14ac:dyDescent="0.25">
      <c r="A45" s="2" t="s">
        <v>104</v>
      </c>
      <c r="B45" s="5" t="s">
        <v>84</v>
      </c>
      <c r="C45" s="2"/>
      <c r="D45" s="2"/>
      <c r="E45" s="2"/>
      <c r="F45" s="2"/>
      <c r="G45" s="12"/>
      <c r="H45" s="18"/>
    </row>
    <row r="46" spans="1:10" x14ac:dyDescent="0.25">
      <c r="A46" s="2" t="s">
        <v>105</v>
      </c>
      <c r="B46" s="5" t="s">
        <v>85</v>
      </c>
      <c r="C46" s="2"/>
      <c r="D46" s="2"/>
      <c r="E46" s="2"/>
      <c r="F46" s="2"/>
      <c r="G46" s="12"/>
      <c r="H46" s="18"/>
    </row>
    <row r="47" spans="1:10" x14ac:dyDescent="0.25">
      <c r="A47" s="2" t="s">
        <v>106</v>
      </c>
      <c r="B47" s="5" t="s">
        <v>86</v>
      </c>
      <c r="C47" s="2"/>
      <c r="D47" s="2"/>
      <c r="E47" s="2"/>
      <c r="F47" s="2"/>
      <c r="G47" s="12"/>
      <c r="H47" s="18"/>
    </row>
    <row r="48" spans="1:10" x14ac:dyDescent="0.25">
      <c r="A48" s="2" t="s">
        <v>107</v>
      </c>
      <c r="B48" s="5" t="s">
        <v>87</v>
      </c>
      <c r="C48" s="2"/>
      <c r="D48" s="2"/>
      <c r="E48" s="2"/>
      <c r="F48" s="2"/>
      <c r="G48" s="12"/>
      <c r="H48" s="18"/>
    </row>
    <row r="49" spans="1:9" x14ac:dyDescent="0.25">
      <c r="A49" s="2" t="s">
        <v>108</v>
      </c>
      <c r="B49" s="5" t="s">
        <v>88</v>
      </c>
      <c r="C49" s="2"/>
      <c r="D49" s="2"/>
      <c r="E49" s="2"/>
      <c r="F49" s="2"/>
      <c r="G49" s="12"/>
      <c r="H49" s="18"/>
    </row>
    <row r="50" spans="1:9" x14ac:dyDescent="0.25">
      <c r="A50" s="2" t="s">
        <v>109</v>
      </c>
      <c r="B50" s="5" t="s">
        <v>89</v>
      </c>
      <c r="C50" s="2"/>
      <c r="D50" s="2"/>
      <c r="E50" s="2"/>
      <c r="F50" s="2"/>
      <c r="G50" s="12"/>
      <c r="H50" s="18"/>
    </row>
    <row r="51" spans="1:9" x14ac:dyDescent="0.25">
      <c r="A51" s="2" t="s">
        <v>110</v>
      </c>
      <c r="B51" s="5" t="s">
        <v>76</v>
      </c>
      <c r="C51" s="2"/>
      <c r="D51" s="2"/>
      <c r="E51" s="2"/>
      <c r="F51" s="2"/>
      <c r="G51" s="12"/>
      <c r="H51" s="18"/>
    </row>
    <row r="52" spans="1:9" x14ac:dyDescent="0.25">
      <c r="A52" s="2" t="s">
        <v>111</v>
      </c>
      <c r="B52" s="5" t="s">
        <v>90</v>
      </c>
      <c r="C52" s="2"/>
      <c r="D52" s="2"/>
      <c r="E52" s="2"/>
      <c r="F52" s="2"/>
      <c r="G52" s="12"/>
      <c r="H52" s="18"/>
    </row>
    <row r="53" spans="1:9" x14ac:dyDescent="0.25">
      <c r="A53" s="2" t="s">
        <v>112</v>
      </c>
      <c r="B53" s="5" t="s">
        <v>91</v>
      </c>
      <c r="C53" s="2"/>
      <c r="D53" s="2"/>
      <c r="E53" s="2"/>
      <c r="F53" s="2"/>
      <c r="G53" s="12"/>
      <c r="H53" s="18"/>
    </row>
    <row r="54" spans="1:9" x14ac:dyDescent="0.25">
      <c r="A54" s="2" t="s">
        <v>113</v>
      </c>
      <c r="B54" s="5" t="s">
        <v>92</v>
      </c>
      <c r="C54" s="2"/>
      <c r="D54" s="2"/>
      <c r="E54" s="2"/>
      <c r="F54" s="2"/>
      <c r="G54" s="12"/>
      <c r="H54" s="18"/>
    </row>
    <row r="55" spans="1:9" x14ac:dyDescent="0.25">
      <c r="A55" s="2" t="s">
        <v>101</v>
      </c>
      <c r="B55" s="7" t="s">
        <v>98</v>
      </c>
      <c r="C55" s="2"/>
      <c r="D55" s="2"/>
      <c r="E55" s="2"/>
      <c r="F55" s="2"/>
      <c r="G55" s="12"/>
      <c r="H55" s="18"/>
    </row>
    <row r="56" spans="1:9" x14ac:dyDescent="0.25">
      <c r="A56" s="2" t="s">
        <v>114</v>
      </c>
      <c r="B56" s="5" t="s">
        <v>93</v>
      </c>
      <c r="C56" s="2"/>
      <c r="D56" s="2"/>
      <c r="E56" s="2"/>
      <c r="F56" s="2"/>
      <c r="G56" s="12"/>
      <c r="H56" s="18"/>
    </row>
    <row r="57" spans="1:9" x14ac:dyDescent="0.25">
      <c r="A57" s="2" t="s">
        <v>115</v>
      </c>
      <c r="B57" s="5" t="s">
        <v>94</v>
      </c>
      <c r="C57" s="2"/>
      <c r="D57" s="2"/>
      <c r="E57" s="2"/>
      <c r="F57" s="2"/>
      <c r="G57" s="12"/>
      <c r="H57" s="18"/>
    </row>
    <row r="58" spans="1:9" x14ac:dyDescent="0.25">
      <c r="A58" s="2" t="s">
        <v>116</v>
      </c>
      <c r="B58" s="2" t="s">
        <v>95</v>
      </c>
      <c r="C58" s="2"/>
      <c r="D58" s="2"/>
      <c r="E58" s="2"/>
      <c r="F58" s="2"/>
      <c r="G58" s="12"/>
      <c r="H58" s="18"/>
    </row>
    <row r="59" spans="1:9" ht="18.75" x14ac:dyDescent="0.25">
      <c r="A59" s="217" t="s">
        <v>117</v>
      </c>
      <c r="B59" s="217"/>
      <c r="C59" s="9"/>
      <c r="D59" s="9" t="s">
        <v>178</v>
      </c>
      <c r="E59" s="9"/>
      <c r="F59" s="9"/>
      <c r="G59" s="9"/>
      <c r="H59" s="18"/>
    </row>
    <row r="60" spans="1:9" s="1" customFormat="1" ht="60" x14ac:dyDescent="0.25">
      <c r="A60" s="10">
        <v>1</v>
      </c>
      <c r="B60" s="50" t="s">
        <v>118</v>
      </c>
      <c r="C60" s="7" t="s">
        <v>176</v>
      </c>
      <c r="D60" s="7">
        <v>1929</v>
      </c>
      <c r="E60" s="3"/>
      <c r="F60" s="3"/>
      <c r="G60" s="16"/>
      <c r="H60" s="10"/>
    </row>
    <row r="61" spans="1:9" ht="60" x14ac:dyDescent="0.25">
      <c r="A61" s="19" t="s">
        <v>8</v>
      </c>
      <c r="B61" s="20" t="s">
        <v>155</v>
      </c>
      <c r="C61" s="20" t="s">
        <v>129</v>
      </c>
      <c r="D61" s="21">
        <f>1929/12.5*2</f>
        <v>308.64</v>
      </c>
      <c r="E61" s="2" t="s">
        <v>147</v>
      </c>
      <c r="F61" s="4" t="s">
        <v>175</v>
      </c>
      <c r="G61" s="12">
        <f>250.25*137900</f>
        <v>34509475</v>
      </c>
      <c r="H61" s="26"/>
      <c r="I61" s="29"/>
    </row>
    <row r="62" spans="1:9" x14ac:dyDescent="0.25">
      <c r="A62" s="19" t="s">
        <v>10</v>
      </c>
      <c r="B62" s="20" t="s">
        <v>154</v>
      </c>
      <c r="C62" s="21" t="s">
        <v>144</v>
      </c>
      <c r="D62" s="21"/>
      <c r="E62" s="2" t="s">
        <v>147</v>
      </c>
      <c r="F62" s="2" t="s">
        <v>146</v>
      </c>
      <c r="G62" s="12">
        <f>2890*2228</f>
        <v>6438920</v>
      </c>
      <c r="H62" s="26"/>
    </row>
    <row r="63" spans="1:9" ht="30" x14ac:dyDescent="0.25">
      <c r="A63" s="19" t="s">
        <v>22</v>
      </c>
      <c r="B63" s="20" t="s">
        <v>153</v>
      </c>
      <c r="C63" s="21" t="s">
        <v>128</v>
      </c>
      <c r="D63" s="21"/>
      <c r="E63" s="2" t="s">
        <v>147</v>
      </c>
      <c r="F63" s="4" t="s">
        <v>149</v>
      </c>
      <c r="G63" s="12"/>
      <c r="H63" s="26"/>
    </row>
    <row r="64" spans="1:9" ht="30" x14ac:dyDescent="0.25">
      <c r="A64" s="19" t="s">
        <v>23</v>
      </c>
      <c r="B64" s="20" t="s">
        <v>152</v>
      </c>
      <c r="C64" s="21"/>
      <c r="D64" s="21"/>
      <c r="E64" s="2" t="s">
        <v>147</v>
      </c>
      <c r="F64" s="4" t="s">
        <v>148</v>
      </c>
      <c r="G64" s="12"/>
      <c r="H64" s="26"/>
    </row>
    <row r="65" spans="1:9" ht="30" x14ac:dyDescent="0.25">
      <c r="A65" s="19" t="s">
        <v>24</v>
      </c>
      <c r="B65" s="20" t="s">
        <v>151</v>
      </c>
      <c r="C65" s="21"/>
      <c r="D65" s="21"/>
      <c r="E65" s="2" t="s">
        <v>147</v>
      </c>
      <c r="F65" s="4" t="s">
        <v>150</v>
      </c>
      <c r="G65" s="12"/>
      <c r="H65" s="26"/>
    </row>
    <row r="66" spans="1:9" ht="30" x14ac:dyDescent="0.25">
      <c r="A66" s="19" t="s">
        <v>25</v>
      </c>
      <c r="B66" s="20" t="s">
        <v>157</v>
      </c>
      <c r="C66" s="21"/>
      <c r="D66" s="21"/>
      <c r="E66" s="2" t="s">
        <v>147</v>
      </c>
      <c r="F66" s="4" t="s">
        <v>156</v>
      </c>
      <c r="G66" s="12"/>
      <c r="H66" s="26"/>
    </row>
    <row r="67" spans="1:9" x14ac:dyDescent="0.25">
      <c r="A67" s="18" t="s">
        <v>26</v>
      </c>
      <c r="B67" s="6" t="s">
        <v>158</v>
      </c>
      <c r="C67" s="5"/>
      <c r="D67" s="5"/>
      <c r="E67" s="2" t="s">
        <v>147</v>
      </c>
      <c r="F67" s="2"/>
      <c r="G67" s="12"/>
      <c r="H67" s="26"/>
    </row>
    <row r="68" spans="1:9" s="1" customFormat="1" ht="60" x14ac:dyDescent="0.25">
      <c r="A68" s="10">
        <v>1</v>
      </c>
      <c r="B68" s="50" t="s">
        <v>118</v>
      </c>
      <c r="C68" s="7" t="s">
        <v>177</v>
      </c>
      <c r="D68" s="7">
        <v>284</v>
      </c>
      <c r="E68" s="3"/>
      <c r="F68" s="3"/>
      <c r="G68" s="16"/>
      <c r="H68" s="10"/>
    </row>
    <row r="69" spans="1:9" ht="60" x14ac:dyDescent="0.25">
      <c r="A69" s="19" t="s">
        <v>8</v>
      </c>
      <c r="B69" s="20" t="s">
        <v>155</v>
      </c>
      <c r="C69" s="20" t="s">
        <v>129</v>
      </c>
      <c r="D69" s="21"/>
      <c r="E69" s="2" t="s">
        <v>147</v>
      </c>
      <c r="F69" s="4" t="s">
        <v>175</v>
      </c>
      <c r="G69" s="12"/>
      <c r="H69" s="26"/>
      <c r="I69" s="29"/>
    </row>
    <row r="70" spans="1:9" x14ac:dyDescent="0.25">
      <c r="A70" s="19" t="s">
        <v>10</v>
      </c>
      <c r="B70" s="20" t="s">
        <v>154</v>
      </c>
      <c r="C70" s="21" t="s">
        <v>144</v>
      </c>
      <c r="D70" s="21"/>
      <c r="E70" s="2" t="s">
        <v>147</v>
      </c>
      <c r="F70" s="2" t="s">
        <v>146</v>
      </c>
      <c r="G70" s="12"/>
      <c r="H70" s="26"/>
    </row>
    <row r="71" spans="1:9" ht="30" x14ac:dyDescent="0.25">
      <c r="A71" s="19" t="s">
        <v>22</v>
      </c>
      <c r="B71" s="20" t="s">
        <v>153</v>
      </c>
      <c r="C71" s="21" t="s">
        <v>128</v>
      </c>
      <c r="D71" s="21"/>
      <c r="E71" s="2" t="s">
        <v>147</v>
      </c>
      <c r="F71" s="4" t="s">
        <v>149</v>
      </c>
      <c r="G71" s="12"/>
      <c r="H71" s="26"/>
    </row>
    <row r="72" spans="1:9" ht="30" x14ac:dyDescent="0.25">
      <c r="A72" s="19" t="s">
        <v>23</v>
      </c>
      <c r="B72" s="20" t="s">
        <v>152</v>
      </c>
      <c r="C72" s="21"/>
      <c r="D72" s="21"/>
      <c r="E72" s="2" t="s">
        <v>147</v>
      </c>
      <c r="F72" s="4" t="s">
        <v>148</v>
      </c>
      <c r="G72" s="12"/>
      <c r="H72" s="26"/>
    </row>
    <row r="73" spans="1:9" ht="30" x14ac:dyDescent="0.25">
      <c r="A73" s="19" t="s">
        <v>24</v>
      </c>
      <c r="B73" s="20" t="s">
        <v>151</v>
      </c>
      <c r="C73" s="21"/>
      <c r="D73" s="21"/>
      <c r="E73" s="2" t="s">
        <v>147</v>
      </c>
      <c r="F73" s="4" t="s">
        <v>150</v>
      </c>
      <c r="G73" s="12"/>
      <c r="H73" s="26"/>
    </row>
    <row r="74" spans="1:9" ht="30" x14ac:dyDescent="0.25">
      <c r="A74" s="19" t="s">
        <v>25</v>
      </c>
      <c r="B74" s="20" t="s">
        <v>157</v>
      </c>
      <c r="C74" s="21"/>
      <c r="D74" s="21"/>
      <c r="E74" s="2" t="s">
        <v>147</v>
      </c>
      <c r="F74" s="4" t="s">
        <v>156</v>
      </c>
      <c r="G74" s="12"/>
      <c r="H74" s="26"/>
    </row>
    <row r="75" spans="1:9" x14ac:dyDescent="0.25">
      <c r="A75" s="18" t="s">
        <v>26</v>
      </c>
      <c r="B75" s="6" t="s">
        <v>158</v>
      </c>
      <c r="C75" s="5"/>
      <c r="D75" s="5"/>
      <c r="E75" s="2" t="s">
        <v>147</v>
      </c>
      <c r="F75" s="2"/>
      <c r="G75" s="12"/>
      <c r="H75" s="26"/>
    </row>
    <row r="76" spans="1:9" x14ac:dyDescent="0.25">
      <c r="A76" s="18">
        <v>2</v>
      </c>
      <c r="B76" s="6" t="s">
        <v>127</v>
      </c>
      <c r="C76" s="5" t="s">
        <v>126</v>
      </c>
      <c r="D76" s="5">
        <v>1</v>
      </c>
      <c r="E76" s="2"/>
      <c r="F76" s="2"/>
      <c r="G76" s="12"/>
      <c r="H76" s="26">
        <f t="shared" ref="H76:H82" si="0">G76*1.35</f>
        <v>0</v>
      </c>
    </row>
    <row r="77" spans="1:9" ht="45" x14ac:dyDescent="0.25">
      <c r="A77" s="18">
        <v>3</v>
      </c>
      <c r="B77" s="6" t="s">
        <v>119</v>
      </c>
      <c r="C77" s="6" t="s">
        <v>120</v>
      </c>
      <c r="D77" s="5">
        <v>1</v>
      </c>
      <c r="E77" s="2" t="s">
        <v>147</v>
      </c>
      <c r="F77" s="2"/>
      <c r="G77" s="12">
        <f>3096000*D77</f>
        <v>3096000</v>
      </c>
      <c r="H77" s="26">
        <f t="shared" si="0"/>
        <v>4179600.0000000005</v>
      </c>
    </row>
    <row r="78" spans="1:9" ht="30" x14ac:dyDescent="0.25">
      <c r="A78" s="18">
        <v>4</v>
      </c>
      <c r="B78" s="6" t="s">
        <v>121</v>
      </c>
      <c r="C78" s="6" t="s">
        <v>120</v>
      </c>
      <c r="D78" s="5">
        <v>3</v>
      </c>
      <c r="E78" s="2" t="s">
        <v>147</v>
      </c>
      <c r="F78" s="2"/>
      <c r="G78" s="12">
        <f t="shared" ref="G78:G79" si="1">3096000*D78</f>
        <v>9288000</v>
      </c>
      <c r="H78" s="26">
        <f t="shared" si="0"/>
        <v>12538800</v>
      </c>
    </row>
    <row r="79" spans="1:9" ht="30" x14ac:dyDescent="0.25">
      <c r="A79" s="18">
        <v>5</v>
      </c>
      <c r="B79" s="6" t="s">
        <v>122</v>
      </c>
      <c r="C79" s="6" t="s">
        <v>120</v>
      </c>
      <c r="D79" s="5">
        <v>2</v>
      </c>
      <c r="E79" s="2" t="s">
        <v>147</v>
      </c>
      <c r="F79" s="2"/>
      <c r="G79" s="12">
        <f t="shared" si="1"/>
        <v>6192000</v>
      </c>
      <c r="H79" s="26">
        <f t="shared" si="0"/>
        <v>8359200.0000000009</v>
      </c>
    </row>
    <row r="80" spans="1:9" ht="30" x14ac:dyDescent="0.25">
      <c r="A80" s="18">
        <v>6</v>
      </c>
      <c r="B80" s="6" t="s">
        <v>121</v>
      </c>
      <c r="C80" s="6" t="s">
        <v>123</v>
      </c>
      <c r="D80" s="5">
        <v>1</v>
      </c>
      <c r="E80" s="2" t="s">
        <v>147</v>
      </c>
      <c r="F80" s="2"/>
      <c r="G80" s="12">
        <v>2470000</v>
      </c>
      <c r="H80" s="26">
        <f t="shared" si="0"/>
        <v>3334500</v>
      </c>
    </row>
    <row r="81" spans="1:8" ht="30" x14ac:dyDescent="0.25">
      <c r="A81" s="18">
        <v>7</v>
      </c>
      <c r="B81" s="6" t="s">
        <v>122</v>
      </c>
      <c r="C81" s="6" t="s">
        <v>123</v>
      </c>
      <c r="D81" s="5">
        <v>1</v>
      </c>
      <c r="E81" s="2" t="s">
        <v>147</v>
      </c>
      <c r="F81" s="2"/>
      <c r="G81" s="12">
        <v>2470000</v>
      </c>
      <c r="H81" s="26">
        <f t="shared" si="0"/>
        <v>3334500</v>
      </c>
    </row>
    <row r="82" spans="1:8" x14ac:dyDescent="0.25">
      <c r="A82" s="18">
        <v>8</v>
      </c>
      <c r="B82" s="6" t="s">
        <v>124</v>
      </c>
      <c r="C82" s="5" t="s">
        <v>125</v>
      </c>
      <c r="D82" s="5">
        <v>4</v>
      </c>
      <c r="E82" s="2" t="s">
        <v>147</v>
      </c>
      <c r="F82" s="2"/>
      <c r="G82" s="12">
        <f>168000*D82</f>
        <v>672000</v>
      </c>
      <c r="H82" s="26">
        <f t="shared" si="0"/>
        <v>907200.00000000012</v>
      </c>
    </row>
    <row r="83" spans="1:8" x14ac:dyDescent="0.25">
      <c r="A83" s="18">
        <v>9</v>
      </c>
      <c r="B83" s="6" t="s">
        <v>159</v>
      </c>
      <c r="C83" s="2"/>
      <c r="D83" s="2"/>
      <c r="E83" s="2"/>
      <c r="F83" s="2"/>
      <c r="G83" s="12"/>
      <c r="H83" s="18"/>
    </row>
    <row r="84" spans="1:8" x14ac:dyDescent="0.25">
      <c r="A84" s="19" t="s">
        <v>162</v>
      </c>
      <c r="B84" s="20" t="s">
        <v>160</v>
      </c>
      <c r="C84" s="22" t="s">
        <v>164</v>
      </c>
      <c r="D84" s="22"/>
      <c r="E84" s="22"/>
      <c r="F84" s="2"/>
      <c r="G84" s="12"/>
      <c r="H84" s="18"/>
    </row>
    <row r="85" spans="1:8" x14ac:dyDescent="0.25">
      <c r="A85" s="19" t="s">
        <v>163</v>
      </c>
      <c r="B85" s="20" t="s">
        <v>161</v>
      </c>
      <c r="C85" s="22"/>
      <c r="D85" s="22"/>
      <c r="E85" s="22"/>
      <c r="F85" s="2"/>
      <c r="G85" s="12"/>
      <c r="H85" s="18"/>
    </row>
    <row r="86" spans="1:8" s="1" customFormat="1" x14ac:dyDescent="0.25">
      <c r="B86" s="23" t="s">
        <v>169</v>
      </c>
      <c r="G86" s="24">
        <f>SUM(G2:G85)</f>
        <v>76422579</v>
      </c>
      <c r="H86" s="24">
        <f>SUM(H2:H85)</f>
        <v>53052708.399999999</v>
      </c>
    </row>
    <row r="87" spans="1:8" s="1" customFormat="1" x14ac:dyDescent="0.25">
      <c r="B87" s="1" t="s">
        <v>170</v>
      </c>
      <c r="G87" s="24"/>
      <c r="H87" s="27">
        <f>1-G86/H86</f>
        <v>-0.4405028754384952</v>
      </c>
    </row>
  </sheetData>
  <mergeCells count="4">
    <mergeCell ref="A2:B2"/>
    <mergeCell ref="G33:G34"/>
    <mergeCell ref="H33:H34"/>
    <mergeCell ref="A59:B59"/>
  </mergeCells>
  <conditionalFormatting sqref="A19:A27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BB56E-3DE1-4123-9A9C-593A4D30ED4F}">
  <sheetPr>
    <tabColor theme="5" tint="0.79998168889431442"/>
  </sheetPr>
  <dimension ref="A1:M126"/>
  <sheetViews>
    <sheetView tabSelected="1" view="pageBreakPreview" zoomScaleNormal="100" zoomScaleSheetLayoutView="100" workbookViewId="0">
      <selection activeCell="E120" sqref="E120"/>
    </sheetView>
  </sheetViews>
  <sheetFormatPr defaultColWidth="8.85546875" defaultRowHeight="15" x14ac:dyDescent="0.25"/>
  <cols>
    <col min="1" max="1" width="8.85546875" style="173"/>
    <col min="2" max="2" width="65.140625" style="173" customWidth="1"/>
    <col min="3" max="3" width="9.28515625" style="173" customWidth="1"/>
    <col min="4" max="4" width="11" style="173" bestFit="1" customWidth="1"/>
    <col min="5" max="5" width="15.140625" style="173" customWidth="1"/>
    <col min="6" max="6" width="16" style="173" customWidth="1"/>
    <col min="7" max="7" width="17.140625" style="185" customWidth="1"/>
    <col min="8" max="8" width="16.140625" style="185" customWidth="1"/>
    <col min="9" max="12" width="16.140625" style="173" customWidth="1"/>
    <col min="13" max="13" width="55.42578125" style="173" customWidth="1"/>
    <col min="14" max="16384" width="8.85546875" style="173"/>
  </cols>
  <sheetData>
    <row r="1" spans="1:12" ht="14.45" customHeight="1" x14ac:dyDescent="0.25">
      <c r="A1" s="225" t="s">
        <v>213</v>
      </c>
      <c r="B1" s="228" t="s">
        <v>188</v>
      </c>
      <c r="C1" s="231" t="s">
        <v>217</v>
      </c>
      <c r="D1" s="231" t="s">
        <v>189</v>
      </c>
      <c r="E1" s="232" t="s">
        <v>464</v>
      </c>
      <c r="F1" s="233"/>
      <c r="G1" s="233"/>
      <c r="H1" s="233"/>
      <c r="I1" s="233"/>
      <c r="J1" s="233"/>
      <c r="K1" s="233"/>
      <c r="L1" s="233"/>
    </row>
    <row r="2" spans="1:12" ht="14.45" customHeight="1" x14ac:dyDescent="0.25">
      <c r="A2" s="226"/>
      <c r="B2" s="229"/>
      <c r="C2" s="231"/>
      <c r="D2" s="231"/>
      <c r="E2" s="234"/>
      <c r="F2" s="235"/>
      <c r="G2" s="235"/>
      <c r="H2" s="235"/>
      <c r="I2" s="235"/>
      <c r="J2" s="235"/>
      <c r="K2" s="235"/>
      <c r="L2" s="235"/>
    </row>
    <row r="3" spans="1:12" ht="27.75" customHeight="1" x14ac:dyDescent="0.25">
      <c r="A3" s="226"/>
      <c r="B3" s="229"/>
      <c r="C3" s="231"/>
      <c r="D3" s="231"/>
      <c r="E3" s="231" t="s">
        <v>465</v>
      </c>
      <c r="F3" s="231"/>
      <c r="G3" s="231"/>
      <c r="H3" s="231" t="s">
        <v>466</v>
      </c>
      <c r="I3" s="231"/>
      <c r="J3" s="231"/>
      <c r="K3" s="236" t="s">
        <v>467</v>
      </c>
      <c r="L3" s="236"/>
    </row>
    <row r="4" spans="1:12" ht="56.1" customHeight="1" x14ac:dyDescent="0.25">
      <c r="A4" s="227"/>
      <c r="B4" s="230"/>
      <c r="C4" s="231"/>
      <c r="D4" s="231"/>
      <c r="E4" s="172" t="s">
        <v>245</v>
      </c>
      <c r="F4" s="172" t="s">
        <v>237</v>
      </c>
      <c r="G4" s="174" t="s">
        <v>224</v>
      </c>
      <c r="H4" s="172" t="s">
        <v>245</v>
      </c>
      <c r="I4" s="172" t="s">
        <v>237</v>
      </c>
      <c r="J4" s="174" t="s">
        <v>224</v>
      </c>
      <c r="K4" s="172" t="s">
        <v>468</v>
      </c>
      <c r="L4" s="172" t="s">
        <v>272</v>
      </c>
    </row>
    <row r="5" spans="1:12" x14ac:dyDescent="0.25">
      <c r="A5" s="119">
        <v>1</v>
      </c>
      <c r="B5" s="120">
        <v>2</v>
      </c>
      <c r="C5" s="120">
        <v>3</v>
      </c>
      <c r="D5" s="120">
        <v>4</v>
      </c>
      <c r="E5" s="120">
        <v>5</v>
      </c>
      <c r="F5" s="120">
        <v>6</v>
      </c>
      <c r="G5" s="120">
        <v>7</v>
      </c>
      <c r="H5" s="173"/>
    </row>
    <row r="6" spans="1:12" ht="20.25" customHeight="1" x14ac:dyDescent="0.25">
      <c r="A6" s="139"/>
      <c r="B6" s="220" t="s">
        <v>502</v>
      </c>
      <c r="C6" s="221"/>
      <c r="D6" s="221"/>
      <c r="E6" s="140"/>
      <c r="F6" s="141"/>
      <c r="G6" s="142"/>
      <c r="H6" s="142"/>
      <c r="I6" s="142"/>
      <c r="J6" s="142"/>
      <c r="K6" s="142"/>
      <c r="L6" s="142"/>
    </row>
    <row r="7" spans="1:12" ht="20.25" customHeight="1" x14ac:dyDescent="0.25">
      <c r="A7" s="163"/>
      <c r="B7" s="66" t="s">
        <v>503</v>
      </c>
      <c r="C7" s="68"/>
      <c r="D7" s="122"/>
      <c r="E7" s="130"/>
      <c r="F7" s="130"/>
      <c r="G7" s="175"/>
      <c r="H7" s="176"/>
      <c r="I7" s="160"/>
      <c r="J7" s="160"/>
      <c r="K7" s="155"/>
      <c r="L7" s="160"/>
    </row>
    <row r="8" spans="1:12" ht="20.25" customHeight="1" x14ac:dyDescent="0.25">
      <c r="A8" s="188">
        <v>1</v>
      </c>
      <c r="B8" s="189" t="s">
        <v>257</v>
      </c>
      <c r="C8" s="188" t="s">
        <v>181</v>
      </c>
      <c r="D8" s="190">
        <f>229.06+159.01</f>
        <v>388.07</v>
      </c>
      <c r="E8" s="191">
        <v>308.75</v>
      </c>
      <c r="F8" s="192">
        <f t="shared" ref="F8:F30" si="0">ROUND(E8*D8,2)</f>
        <v>119816.61</v>
      </c>
      <c r="G8" s="192">
        <f t="shared" ref="G8:G30" si="1">ROUND(F8*1.2,2)</f>
        <v>143779.93</v>
      </c>
      <c r="H8" s="193"/>
      <c r="I8" s="192"/>
      <c r="J8" s="192"/>
      <c r="K8" s="191">
        <f t="shared" ref="K8:L19" si="2">F8+I8</f>
        <v>119816.61</v>
      </c>
      <c r="L8" s="192">
        <f t="shared" si="2"/>
        <v>143779.93</v>
      </c>
    </row>
    <row r="9" spans="1:12" ht="20.25" customHeight="1" x14ac:dyDescent="0.25">
      <c r="A9" s="188">
        <f>A8+1</f>
        <v>2</v>
      </c>
      <c r="B9" s="189" t="s">
        <v>249</v>
      </c>
      <c r="C9" s="188" t="s">
        <v>181</v>
      </c>
      <c r="D9" s="190">
        <v>12</v>
      </c>
      <c r="E9" s="191">
        <v>1688.1499999999999</v>
      </c>
      <c r="F9" s="192">
        <f t="shared" si="0"/>
        <v>20257.8</v>
      </c>
      <c r="G9" s="192">
        <f t="shared" si="1"/>
        <v>24309.360000000001</v>
      </c>
      <c r="H9" s="193"/>
      <c r="I9" s="192"/>
      <c r="J9" s="192"/>
      <c r="K9" s="191">
        <f t="shared" si="2"/>
        <v>20257.8</v>
      </c>
      <c r="L9" s="192">
        <f t="shared" si="2"/>
        <v>24309.360000000001</v>
      </c>
    </row>
    <row r="10" spans="1:12" ht="20.25" customHeight="1" x14ac:dyDescent="0.25">
      <c r="A10" s="188">
        <f>A9+1</f>
        <v>3</v>
      </c>
      <c r="B10" s="189" t="s">
        <v>511</v>
      </c>
      <c r="C10" s="188" t="s">
        <v>181</v>
      </c>
      <c r="D10" s="190">
        <v>9.82</v>
      </c>
      <c r="E10" s="191">
        <v>1311</v>
      </c>
      <c r="F10" s="192">
        <f t="shared" si="0"/>
        <v>12874.02</v>
      </c>
      <c r="G10" s="192">
        <f t="shared" si="1"/>
        <v>15448.82</v>
      </c>
      <c r="H10" s="192"/>
      <c r="I10" s="192"/>
      <c r="J10" s="192"/>
      <c r="K10" s="191">
        <f t="shared" si="2"/>
        <v>12874.02</v>
      </c>
      <c r="L10" s="192">
        <f t="shared" si="2"/>
        <v>15448.82</v>
      </c>
    </row>
    <row r="11" spans="1:12" ht="20.25" customHeight="1" x14ac:dyDescent="0.25">
      <c r="A11" s="163" t="s">
        <v>498</v>
      </c>
      <c r="B11" s="156" t="s">
        <v>218</v>
      </c>
      <c r="C11" s="157" t="s">
        <v>181</v>
      </c>
      <c r="D11" s="158">
        <f>D10*1.1</f>
        <v>10.802000000000001</v>
      </c>
      <c r="E11" s="161"/>
      <c r="F11" s="162"/>
      <c r="G11" s="162"/>
      <c r="H11" s="162">
        <v>1191.3</v>
      </c>
      <c r="I11" s="162">
        <f>ROUND(H11*D11,2)</f>
        <v>12868.42</v>
      </c>
      <c r="J11" s="162">
        <f>ROUND(I11*1.2,2)</f>
        <v>15442.1</v>
      </c>
      <c r="K11" s="161">
        <f t="shared" si="2"/>
        <v>12868.42</v>
      </c>
      <c r="L11" s="162">
        <f t="shared" si="2"/>
        <v>15442.1</v>
      </c>
    </row>
    <row r="12" spans="1:12" ht="20.25" customHeight="1" x14ac:dyDescent="0.25">
      <c r="A12" s="188">
        <f>A10+1</f>
        <v>4</v>
      </c>
      <c r="B12" s="189" t="s">
        <v>539</v>
      </c>
      <c r="C12" s="188" t="s">
        <v>181</v>
      </c>
      <c r="D12" s="190">
        <v>32.15</v>
      </c>
      <c r="E12" s="191">
        <v>1311</v>
      </c>
      <c r="F12" s="192">
        <f t="shared" ref="F12" si="3">ROUND(E12*D12,2)</f>
        <v>42148.65</v>
      </c>
      <c r="G12" s="192">
        <f t="shared" ref="G12" si="4">ROUND(F12*1.2,2)</f>
        <v>50578.38</v>
      </c>
      <c r="H12" s="193"/>
      <c r="I12" s="192"/>
      <c r="J12" s="192"/>
      <c r="K12" s="191">
        <f t="shared" ref="K12:K13" si="5">F12+I12</f>
        <v>42148.65</v>
      </c>
      <c r="L12" s="192">
        <f t="shared" ref="L12:L13" si="6">G12+J12</f>
        <v>50578.38</v>
      </c>
    </row>
    <row r="13" spans="1:12" ht="20.25" customHeight="1" x14ac:dyDescent="0.25">
      <c r="A13" s="163" t="s">
        <v>499</v>
      </c>
      <c r="B13" s="156" t="s">
        <v>218</v>
      </c>
      <c r="C13" s="157" t="s">
        <v>181</v>
      </c>
      <c r="D13" s="158">
        <f>D12*1.1</f>
        <v>35.365000000000002</v>
      </c>
      <c r="E13" s="161"/>
      <c r="F13" s="162"/>
      <c r="G13" s="162"/>
      <c r="H13" s="162">
        <v>1191.3</v>
      </c>
      <c r="I13" s="162">
        <f>ROUND(H13*D13,2)</f>
        <v>42130.32</v>
      </c>
      <c r="J13" s="162">
        <f>ROUND(I13*1.2,2)</f>
        <v>50556.38</v>
      </c>
      <c r="K13" s="161">
        <f t="shared" si="5"/>
        <v>42130.32</v>
      </c>
      <c r="L13" s="162">
        <f t="shared" si="6"/>
        <v>50556.38</v>
      </c>
    </row>
    <row r="14" spans="1:12" ht="20.25" customHeight="1" x14ac:dyDescent="0.25">
      <c r="A14" s="188">
        <f>A12+1</f>
        <v>5</v>
      </c>
      <c r="B14" s="189" t="s">
        <v>540</v>
      </c>
      <c r="C14" s="188" t="s">
        <v>181</v>
      </c>
      <c r="D14" s="190">
        <v>116.08</v>
      </c>
      <c r="E14" s="191">
        <v>1311</v>
      </c>
      <c r="F14" s="192">
        <f t="shared" si="0"/>
        <v>152180.88</v>
      </c>
      <c r="G14" s="192">
        <f t="shared" si="1"/>
        <v>182617.06</v>
      </c>
      <c r="H14" s="192"/>
      <c r="I14" s="192"/>
      <c r="J14" s="192"/>
      <c r="K14" s="191">
        <f t="shared" si="2"/>
        <v>152180.88</v>
      </c>
      <c r="L14" s="192">
        <f t="shared" si="2"/>
        <v>182617.06</v>
      </c>
    </row>
    <row r="15" spans="1:12" ht="20.25" customHeight="1" x14ac:dyDescent="0.25">
      <c r="A15" s="163" t="s">
        <v>500</v>
      </c>
      <c r="B15" s="156" t="s">
        <v>218</v>
      </c>
      <c r="C15" s="157" t="s">
        <v>181</v>
      </c>
      <c r="D15" s="158">
        <f>D14*1.1</f>
        <v>127.688</v>
      </c>
      <c r="E15" s="161"/>
      <c r="F15" s="162"/>
      <c r="G15" s="162"/>
      <c r="H15" s="162">
        <v>1191.3</v>
      </c>
      <c r="I15" s="162">
        <f>ROUND(H15*D15,2)</f>
        <v>152114.71</v>
      </c>
      <c r="J15" s="162">
        <f>ROUND(I15*1.2,2)</f>
        <v>182537.65</v>
      </c>
      <c r="K15" s="161">
        <f t="shared" si="2"/>
        <v>152114.71</v>
      </c>
      <c r="L15" s="162">
        <f t="shared" si="2"/>
        <v>182537.65</v>
      </c>
    </row>
    <row r="16" spans="1:12" s="177" customFormat="1" ht="21.75" customHeight="1" x14ac:dyDescent="0.25">
      <c r="A16" s="188">
        <f>A14+1</f>
        <v>6</v>
      </c>
      <c r="B16" s="189" t="s">
        <v>541</v>
      </c>
      <c r="C16" s="188" t="s">
        <v>181</v>
      </c>
      <c r="D16" s="190">
        <v>241.06</v>
      </c>
      <c r="E16" s="191">
        <v>308.75</v>
      </c>
      <c r="F16" s="192">
        <f t="shared" si="0"/>
        <v>74427.28</v>
      </c>
      <c r="G16" s="192">
        <f t="shared" si="1"/>
        <v>89312.74</v>
      </c>
      <c r="H16" s="193"/>
      <c r="I16" s="192"/>
      <c r="J16" s="192"/>
      <c r="K16" s="191">
        <f t="shared" si="2"/>
        <v>74427.28</v>
      </c>
      <c r="L16" s="192">
        <f t="shared" si="2"/>
        <v>89312.74</v>
      </c>
    </row>
    <row r="17" spans="1:13" ht="18.75" customHeight="1" x14ac:dyDescent="0.25">
      <c r="A17" s="188">
        <f>A16+1</f>
        <v>7</v>
      </c>
      <c r="B17" s="189" t="s">
        <v>246</v>
      </c>
      <c r="C17" s="188" t="s">
        <v>181</v>
      </c>
      <c r="D17" s="190">
        <v>357.14</v>
      </c>
      <c r="E17" s="191">
        <v>188.1</v>
      </c>
      <c r="F17" s="192">
        <f t="shared" si="0"/>
        <v>67178.03</v>
      </c>
      <c r="G17" s="192">
        <f t="shared" si="1"/>
        <v>80613.64</v>
      </c>
      <c r="H17" s="191"/>
      <c r="I17" s="192"/>
      <c r="J17" s="192"/>
      <c r="K17" s="191">
        <f t="shared" si="2"/>
        <v>67178.03</v>
      </c>
      <c r="L17" s="192">
        <f t="shared" si="2"/>
        <v>80613.64</v>
      </c>
    </row>
    <row r="18" spans="1:13" ht="18.75" customHeight="1" x14ac:dyDescent="0.25">
      <c r="A18" s="68"/>
      <c r="B18" s="169" t="s">
        <v>542</v>
      </c>
      <c r="C18" s="68"/>
      <c r="D18" s="154"/>
      <c r="E18" s="155"/>
      <c r="F18" s="160"/>
      <c r="G18" s="160"/>
      <c r="H18" s="138"/>
      <c r="I18" s="160"/>
      <c r="J18" s="160"/>
      <c r="K18" s="155"/>
      <c r="L18" s="160"/>
    </row>
    <row r="19" spans="1:13" ht="18" customHeight="1" x14ac:dyDescent="0.25">
      <c r="A19" s="188">
        <f>A17+1</f>
        <v>8</v>
      </c>
      <c r="B19" s="189" t="s">
        <v>252</v>
      </c>
      <c r="C19" s="188" t="s">
        <v>219</v>
      </c>
      <c r="D19" s="190">
        <v>302.12</v>
      </c>
      <c r="E19" s="191">
        <v>308.75</v>
      </c>
      <c r="F19" s="192">
        <f t="shared" si="0"/>
        <v>93279.55</v>
      </c>
      <c r="G19" s="192">
        <f t="shared" si="1"/>
        <v>111935.46</v>
      </c>
      <c r="H19" s="194"/>
      <c r="I19" s="192"/>
      <c r="J19" s="192"/>
      <c r="K19" s="191">
        <f t="shared" si="2"/>
        <v>93279.55</v>
      </c>
      <c r="L19" s="192">
        <f t="shared" si="2"/>
        <v>111935.46</v>
      </c>
      <c r="M19" s="168"/>
    </row>
    <row r="20" spans="1:13" ht="20.25" customHeight="1" x14ac:dyDescent="0.25">
      <c r="A20" s="163"/>
      <c r="B20" s="66" t="s">
        <v>543</v>
      </c>
      <c r="C20" s="68"/>
      <c r="D20" s="122"/>
      <c r="E20" s="130"/>
      <c r="F20" s="130"/>
      <c r="G20" s="175"/>
      <c r="H20" s="176"/>
      <c r="I20" s="160"/>
      <c r="J20" s="160"/>
      <c r="K20" s="155"/>
      <c r="L20" s="160"/>
    </row>
    <row r="21" spans="1:13" ht="20.25" customHeight="1" x14ac:dyDescent="0.25">
      <c r="A21" s="188">
        <f>A19+1</f>
        <v>9</v>
      </c>
      <c r="B21" s="189" t="s">
        <v>257</v>
      </c>
      <c r="C21" s="188" t="s">
        <v>181</v>
      </c>
      <c r="D21" s="190">
        <v>59.75</v>
      </c>
      <c r="E21" s="191">
        <v>308.75</v>
      </c>
      <c r="F21" s="192">
        <f t="shared" ref="F21:F23" si="7">ROUND(E21*D21,2)</f>
        <v>18447.810000000001</v>
      </c>
      <c r="G21" s="192">
        <f t="shared" ref="G21:G23" si="8">ROUND(F21*1.2,2)</f>
        <v>22137.37</v>
      </c>
      <c r="H21" s="193"/>
      <c r="I21" s="192"/>
      <c r="J21" s="192"/>
      <c r="K21" s="191">
        <f t="shared" ref="K21:K26" si="9">F21+I21</f>
        <v>18447.810000000001</v>
      </c>
      <c r="L21" s="192">
        <f t="shared" ref="L21:L26" si="10">G21+J21</f>
        <v>22137.37</v>
      </c>
    </row>
    <row r="22" spans="1:13" ht="20.25" customHeight="1" x14ac:dyDescent="0.25">
      <c r="A22" s="188">
        <f>A21+1</f>
        <v>10</v>
      </c>
      <c r="B22" s="189" t="s">
        <v>249</v>
      </c>
      <c r="C22" s="188" t="s">
        <v>181</v>
      </c>
      <c r="D22" s="190">
        <v>1.85</v>
      </c>
      <c r="E22" s="191">
        <v>1688.1499999999999</v>
      </c>
      <c r="F22" s="192">
        <f t="shared" si="7"/>
        <v>3123.08</v>
      </c>
      <c r="G22" s="192">
        <f t="shared" si="8"/>
        <v>3747.7</v>
      </c>
      <c r="H22" s="193"/>
      <c r="I22" s="192"/>
      <c r="J22" s="192"/>
      <c r="K22" s="191">
        <f t="shared" si="9"/>
        <v>3123.08</v>
      </c>
      <c r="L22" s="192">
        <f t="shared" si="10"/>
        <v>3747.7</v>
      </c>
    </row>
    <row r="23" spans="1:13" ht="20.25" customHeight="1" x14ac:dyDescent="0.25">
      <c r="A23" s="188">
        <f>A22+1</f>
        <v>11</v>
      </c>
      <c r="B23" s="189" t="s">
        <v>511</v>
      </c>
      <c r="C23" s="188" t="s">
        <v>181</v>
      </c>
      <c r="D23" s="190">
        <v>2.0099999999999998</v>
      </c>
      <c r="E23" s="191">
        <v>1311</v>
      </c>
      <c r="F23" s="192">
        <f t="shared" si="7"/>
        <v>2635.11</v>
      </c>
      <c r="G23" s="192">
        <f t="shared" si="8"/>
        <v>3162.13</v>
      </c>
      <c r="H23" s="192"/>
      <c r="I23" s="192"/>
      <c r="J23" s="192"/>
      <c r="K23" s="191">
        <f t="shared" si="9"/>
        <v>2635.11</v>
      </c>
      <c r="L23" s="192">
        <f t="shared" si="10"/>
        <v>3162.13</v>
      </c>
    </row>
    <row r="24" spans="1:13" ht="20.25" customHeight="1" x14ac:dyDescent="0.25">
      <c r="A24" s="163" t="s">
        <v>497</v>
      </c>
      <c r="B24" s="156" t="s">
        <v>218</v>
      </c>
      <c r="C24" s="157" t="s">
        <v>181</v>
      </c>
      <c r="D24" s="158">
        <f>D23*1.1</f>
        <v>2.2109999999999999</v>
      </c>
      <c r="E24" s="161"/>
      <c r="F24" s="162"/>
      <c r="G24" s="162"/>
      <c r="H24" s="162">
        <v>1191.3</v>
      </c>
      <c r="I24" s="162">
        <f>ROUND(H24*D24,2)</f>
        <v>2633.96</v>
      </c>
      <c r="J24" s="162">
        <f>ROUND(I24*1.2,2)</f>
        <v>3160.75</v>
      </c>
      <c r="K24" s="161">
        <f t="shared" si="9"/>
        <v>2633.96</v>
      </c>
      <c r="L24" s="162">
        <f t="shared" si="10"/>
        <v>3160.75</v>
      </c>
    </row>
    <row r="25" spans="1:13" ht="20.25" customHeight="1" x14ac:dyDescent="0.25">
      <c r="A25" s="188">
        <f>A23+1</f>
        <v>12</v>
      </c>
      <c r="B25" s="189" t="s">
        <v>544</v>
      </c>
      <c r="C25" s="188" t="s">
        <v>181</v>
      </c>
      <c r="D25" s="190">
        <v>11.35</v>
      </c>
      <c r="E25" s="191">
        <v>1311</v>
      </c>
      <c r="F25" s="192">
        <f t="shared" ref="F25" si="11">ROUND(E25*D25,2)</f>
        <v>14879.85</v>
      </c>
      <c r="G25" s="192">
        <f t="shared" ref="G25" si="12">ROUND(F25*1.2,2)</f>
        <v>17855.82</v>
      </c>
      <c r="H25" s="193"/>
      <c r="I25" s="192"/>
      <c r="J25" s="192"/>
      <c r="K25" s="191">
        <f t="shared" si="9"/>
        <v>14879.85</v>
      </c>
      <c r="L25" s="192">
        <f t="shared" si="10"/>
        <v>17855.82</v>
      </c>
    </row>
    <row r="26" spans="1:13" ht="20.25" customHeight="1" x14ac:dyDescent="0.25">
      <c r="A26" s="163" t="s">
        <v>494</v>
      </c>
      <c r="B26" s="156" t="s">
        <v>218</v>
      </c>
      <c r="C26" s="157" t="s">
        <v>181</v>
      </c>
      <c r="D26" s="158">
        <f>D25*1.1</f>
        <v>12.485000000000001</v>
      </c>
      <c r="E26" s="161"/>
      <c r="F26" s="162"/>
      <c r="G26" s="162"/>
      <c r="H26" s="162">
        <v>1191.3</v>
      </c>
      <c r="I26" s="162">
        <f>ROUND(H26*D26,2)</f>
        <v>14873.38</v>
      </c>
      <c r="J26" s="162">
        <f>ROUND(I26*1.2,2)</f>
        <v>17848.060000000001</v>
      </c>
      <c r="K26" s="161">
        <f t="shared" si="9"/>
        <v>14873.38</v>
      </c>
      <c r="L26" s="162">
        <f t="shared" si="10"/>
        <v>17848.060000000001</v>
      </c>
    </row>
    <row r="27" spans="1:13" ht="18.75" customHeight="1" x14ac:dyDescent="0.25">
      <c r="A27" s="68"/>
      <c r="B27" s="169" t="s">
        <v>542</v>
      </c>
      <c r="C27" s="68"/>
      <c r="D27" s="154"/>
      <c r="E27" s="155"/>
      <c r="F27" s="160"/>
      <c r="G27" s="160"/>
      <c r="H27" s="138"/>
      <c r="I27" s="160"/>
      <c r="J27" s="160"/>
      <c r="K27" s="155"/>
      <c r="L27" s="160"/>
    </row>
    <row r="28" spans="1:13" ht="18" customHeight="1" x14ac:dyDescent="0.25">
      <c r="A28" s="188">
        <f>A25+1</f>
        <v>13</v>
      </c>
      <c r="B28" s="189" t="s">
        <v>252</v>
      </c>
      <c r="C28" s="188" t="s">
        <v>219</v>
      </c>
      <c r="D28" s="190">
        <v>117.04</v>
      </c>
      <c r="E28" s="191">
        <v>308.75</v>
      </c>
      <c r="F28" s="192">
        <f t="shared" ref="F28" si="13">ROUND(E28*D28,2)</f>
        <v>36136.1</v>
      </c>
      <c r="G28" s="192">
        <f t="shared" ref="G28" si="14">ROUND(F28*1.2,2)</f>
        <v>43363.32</v>
      </c>
      <c r="H28" s="194"/>
      <c r="I28" s="192"/>
      <c r="J28" s="192"/>
      <c r="K28" s="191">
        <f t="shared" ref="K28" si="15">F28+I28</f>
        <v>36136.1</v>
      </c>
      <c r="L28" s="192">
        <f t="shared" ref="L28" si="16">G28+J28</f>
        <v>43363.32</v>
      </c>
      <c r="M28" s="168"/>
    </row>
    <row r="29" spans="1:13" ht="18" customHeight="1" x14ac:dyDescent="0.25">
      <c r="A29" s="68"/>
      <c r="B29" s="170" t="s">
        <v>547</v>
      </c>
      <c r="C29" s="56"/>
      <c r="D29" s="58"/>
      <c r="E29" s="155"/>
      <c r="F29" s="144"/>
      <c r="G29" s="144"/>
      <c r="H29" s="138"/>
      <c r="I29" s="160"/>
      <c r="J29" s="160"/>
      <c r="K29" s="155"/>
      <c r="L29" s="160"/>
      <c r="M29" s="168"/>
    </row>
    <row r="30" spans="1:13" ht="20.25" customHeight="1" x14ac:dyDescent="0.25">
      <c r="A30" s="188">
        <f>A28+1</f>
        <v>14</v>
      </c>
      <c r="B30" s="189" t="s">
        <v>548</v>
      </c>
      <c r="C30" s="188" t="s">
        <v>181</v>
      </c>
      <c r="D30" s="190">
        <v>8.73</v>
      </c>
      <c r="E30" s="191">
        <v>6596.56</v>
      </c>
      <c r="F30" s="192">
        <f t="shared" si="0"/>
        <v>57587.97</v>
      </c>
      <c r="G30" s="192">
        <f t="shared" si="1"/>
        <v>69105.56</v>
      </c>
      <c r="H30" s="193"/>
      <c r="I30" s="192"/>
      <c r="J30" s="192"/>
      <c r="K30" s="191">
        <f t="shared" ref="K30:K31" si="17">F30+I30</f>
        <v>57587.97</v>
      </c>
      <c r="L30" s="192">
        <f t="shared" ref="L30:L31" si="18">G30+J30</f>
        <v>69105.56</v>
      </c>
    </row>
    <row r="31" spans="1:13" ht="20.25" customHeight="1" x14ac:dyDescent="0.25">
      <c r="A31" s="163" t="s">
        <v>469</v>
      </c>
      <c r="B31" s="156" t="s">
        <v>549</v>
      </c>
      <c r="C31" s="157" t="s">
        <v>181</v>
      </c>
      <c r="D31" s="158">
        <f>1.02*D30</f>
        <v>8.9046000000000003</v>
      </c>
      <c r="E31" s="161"/>
      <c r="F31" s="162"/>
      <c r="G31" s="162"/>
      <c r="H31" s="162">
        <v>4807</v>
      </c>
      <c r="I31" s="162">
        <f>ROUND(H31*D31,2)</f>
        <v>42804.41</v>
      </c>
      <c r="J31" s="162">
        <f>ROUND(I31*1.2,2)</f>
        <v>51365.29</v>
      </c>
      <c r="K31" s="161">
        <f t="shared" si="17"/>
        <v>42804.41</v>
      </c>
      <c r="L31" s="162">
        <f t="shared" si="18"/>
        <v>51365.29</v>
      </c>
    </row>
    <row r="32" spans="1:13" ht="18.75" customHeight="1" x14ac:dyDescent="0.25">
      <c r="A32" s="188">
        <f>A30+1</f>
        <v>15</v>
      </c>
      <c r="B32" s="195" t="s">
        <v>550</v>
      </c>
      <c r="C32" s="188" t="s">
        <v>181</v>
      </c>
      <c r="D32" s="196">
        <v>23.4</v>
      </c>
      <c r="E32" s="191">
        <v>12960.39</v>
      </c>
      <c r="F32" s="192">
        <f>ROUND(E32*D32,2)</f>
        <v>303273.13</v>
      </c>
      <c r="G32" s="192">
        <f t="shared" ref="G32" si="19">ROUND(F32*1.2,2)</f>
        <v>363927.76</v>
      </c>
      <c r="H32" s="191"/>
      <c r="I32" s="192"/>
      <c r="J32" s="192"/>
      <c r="K32" s="191">
        <f t="shared" ref="K32:L33" si="20">F32+I32</f>
        <v>303273.13</v>
      </c>
      <c r="L32" s="192">
        <f t="shared" si="20"/>
        <v>363927.76</v>
      </c>
    </row>
    <row r="33" spans="1:13" ht="19.5" customHeight="1" x14ac:dyDescent="0.25">
      <c r="A33" s="163" t="s">
        <v>495</v>
      </c>
      <c r="B33" s="164" t="s">
        <v>512</v>
      </c>
      <c r="C33" s="157" t="s">
        <v>181</v>
      </c>
      <c r="D33" s="167">
        <v>23.4</v>
      </c>
      <c r="E33" s="161"/>
      <c r="F33" s="162"/>
      <c r="G33" s="162"/>
      <c r="H33" s="178">
        <v>5196.5</v>
      </c>
      <c r="I33" s="162">
        <f>ROUND(H33*D33,2)</f>
        <v>121598.1</v>
      </c>
      <c r="J33" s="162">
        <f>ROUND(I33*1.2,2)</f>
        <v>145917.72</v>
      </c>
      <c r="K33" s="161">
        <f t="shared" si="20"/>
        <v>121598.1</v>
      </c>
      <c r="L33" s="162">
        <f t="shared" si="20"/>
        <v>145917.72</v>
      </c>
    </row>
    <row r="34" spans="1:13" ht="19.5" customHeight="1" x14ac:dyDescent="0.25">
      <c r="A34" s="163" t="s">
        <v>575</v>
      </c>
      <c r="B34" s="164" t="s">
        <v>551</v>
      </c>
      <c r="C34" s="157" t="s">
        <v>220</v>
      </c>
      <c r="D34" s="167">
        <f>512+450</f>
        <v>962</v>
      </c>
      <c r="E34" s="161"/>
      <c r="F34" s="162"/>
      <c r="G34" s="162"/>
      <c r="H34" s="178">
        <v>80.75</v>
      </c>
      <c r="I34" s="162">
        <f>ROUND(H34*D34,2)</f>
        <v>77681.5</v>
      </c>
      <c r="J34" s="162">
        <f>ROUND(I34*1.2,2)</f>
        <v>93217.8</v>
      </c>
      <c r="K34" s="161">
        <f t="shared" ref="K34:K35" si="21">F34+I34</f>
        <v>77681.5</v>
      </c>
      <c r="L34" s="162">
        <f t="shared" ref="L34:L35" si="22">G34+J34</f>
        <v>93217.8</v>
      </c>
    </row>
    <row r="35" spans="1:13" x14ac:dyDescent="0.25">
      <c r="A35" s="163" t="s">
        <v>576</v>
      </c>
      <c r="B35" s="164" t="s">
        <v>513</v>
      </c>
      <c r="C35" s="157" t="s">
        <v>220</v>
      </c>
      <c r="D35" s="167">
        <v>125</v>
      </c>
      <c r="E35" s="161"/>
      <c r="F35" s="162"/>
      <c r="G35" s="162"/>
      <c r="H35" s="178">
        <v>80.75</v>
      </c>
      <c r="I35" s="162">
        <f>ROUND(H35*D35,2)</f>
        <v>10093.75</v>
      </c>
      <c r="J35" s="162">
        <f>ROUND(I35*1.2,2)</f>
        <v>12112.5</v>
      </c>
      <c r="K35" s="161">
        <f t="shared" si="21"/>
        <v>10093.75</v>
      </c>
      <c r="L35" s="162">
        <f t="shared" si="22"/>
        <v>12112.5</v>
      </c>
    </row>
    <row r="36" spans="1:13" ht="18" customHeight="1" x14ac:dyDescent="0.25">
      <c r="A36" s="68"/>
      <c r="B36" s="169" t="s">
        <v>545</v>
      </c>
      <c r="C36" s="56"/>
      <c r="D36" s="58"/>
      <c r="E36" s="155"/>
      <c r="F36" s="144"/>
      <c r="G36" s="144"/>
      <c r="H36" s="138"/>
      <c r="I36" s="160"/>
      <c r="J36" s="160"/>
      <c r="K36" s="155"/>
      <c r="L36" s="160"/>
      <c r="M36" s="168"/>
    </row>
    <row r="37" spans="1:13" ht="27" customHeight="1" x14ac:dyDescent="0.25">
      <c r="A37" s="188">
        <f>A32+1</f>
        <v>16</v>
      </c>
      <c r="B37" s="195" t="s">
        <v>562</v>
      </c>
      <c r="C37" s="188" t="s">
        <v>235</v>
      </c>
      <c r="D37" s="196">
        <v>19.27</v>
      </c>
      <c r="E37" s="191">
        <v>144.4</v>
      </c>
      <c r="F37" s="192">
        <f>ROUND(E37*D37,2)</f>
        <v>2782.59</v>
      </c>
      <c r="G37" s="192">
        <f>ROUND(F37*1.2,2)</f>
        <v>3339.11</v>
      </c>
      <c r="H37" s="191"/>
      <c r="I37" s="192"/>
      <c r="J37" s="192"/>
      <c r="K37" s="191">
        <f t="shared" ref="K37:K38" si="23">F37+I37</f>
        <v>2782.59</v>
      </c>
      <c r="L37" s="192">
        <f t="shared" ref="L37:L38" si="24">G37+J37</f>
        <v>3339.11</v>
      </c>
      <c r="M37" s="168"/>
    </row>
    <row r="38" spans="1:13" ht="18" customHeight="1" x14ac:dyDescent="0.25">
      <c r="A38" s="163" t="s">
        <v>496</v>
      </c>
      <c r="B38" s="164" t="s">
        <v>491</v>
      </c>
      <c r="C38" s="157" t="s">
        <v>492</v>
      </c>
      <c r="D38" s="167">
        <f>ROUND(D37*0.3*20/16,2)</f>
        <v>7.23</v>
      </c>
      <c r="E38" s="161"/>
      <c r="F38" s="162"/>
      <c r="G38" s="162"/>
      <c r="H38" s="178">
        <v>237.5</v>
      </c>
      <c r="I38" s="162">
        <f>ROUND(H38*D38,2)</f>
        <v>1717.13</v>
      </c>
      <c r="J38" s="162">
        <f>ROUND(I38*1.2,2)</f>
        <v>2060.56</v>
      </c>
      <c r="K38" s="161">
        <f t="shared" si="23"/>
        <v>1717.13</v>
      </c>
      <c r="L38" s="162">
        <f t="shared" si="24"/>
        <v>2060.56</v>
      </c>
    </row>
    <row r="39" spans="1:13" ht="21.75" customHeight="1" x14ac:dyDescent="0.25">
      <c r="A39" s="188">
        <f>A37+1</f>
        <v>17</v>
      </c>
      <c r="B39" s="189" t="s">
        <v>546</v>
      </c>
      <c r="C39" s="188" t="s">
        <v>235</v>
      </c>
      <c r="D39" s="197">
        <v>19.27</v>
      </c>
      <c r="E39" s="191">
        <v>299.76</v>
      </c>
      <c r="F39" s="192">
        <f>ROUND(E39*D39,2)</f>
        <v>5776.38</v>
      </c>
      <c r="G39" s="192">
        <f t="shared" ref="G39" si="25">ROUND(F39*1.2,2)</f>
        <v>6931.66</v>
      </c>
      <c r="H39" s="191"/>
      <c r="I39" s="192"/>
      <c r="J39" s="192"/>
      <c r="K39" s="191">
        <f t="shared" ref="K39:K40" si="26">F39+I39</f>
        <v>5776.38</v>
      </c>
      <c r="L39" s="192">
        <f t="shared" ref="L39:L40" si="27">G39+J39</f>
        <v>6931.66</v>
      </c>
      <c r="M39" s="168"/>
    </row>
    <row r="40" spans="1:13" x14ac:dyDescent="0.25">
      <c r="A40" s="163" t="s">
        <v>493</v>
      </c>
      <c r="B40" s="164" t="s">
        <v>222</v>
      </c>
      <c r="C40" s="157" t="s">
        <v>220</v>
      </c>
      <c r="D40" s="158">
        <f>D39*2.5*2</f>
        <v>96.35</v>
      </c>
      <c r="E40" s="161"/>
      <c r="F40" s="162"/>
      <c r="G40" s="162"/>
      <c r="H40" s="178">
        <v>296.39999999999998</v>
      </c>
      <c r="I40" s="162">
        <f t="shared" ref="I40" si="28">ROUND(H40*D40,2)</f>
        <v>28558.14</v>
      </c>
      <c r="J40" s="162">
        <f t="shared" ref="J40" si="29">ROUND(I40*1.2,2)</f>
        <v>34269.769999999997</v>
      </c>
      <c r="K40" s="161">
        <f t="shared" si="26"/>
        <v>28558.14</v>
      </c>
      <c r="L40" s="162">
        <f t="shared" si="27"/>
        <v>34269.769999999997</v>
      </c>
      <c r="M40" s="168"/>
    </row>
    <row r="41" spans="1:13" ht="21.75" customHeight="1" x14ac:dyDescent="0.25">
      <c r="A41" s="163"/>
      <c r="B41" s="66" t="s">
        <v>505</v>
      </c>
      <c r="C41" s="68"/>
      <c r="D41" s="166"/>
      <c r="E41" s="155"/>
      <c r="F41" s="160"/>
      <c r="G41" s="160"/>
      <c r="H41" s="176"/>
      <c r="I41" s="160"/>
      <c r="J41" s="160"/>
      <c r="K41" s="155"/>
      <c r="L41" s="160"/>
    </row>
    <row r="42" spans="1:13" ht="21" customHeight="1" x14ac:dyDescent="0.25">
      <c r="A42" s="188">
        <f>A39+1</f>
        <v>18</v>
      </c>
      <c r="B42" s="195" t="s">
        <v>532</v>
      </c>
      <c r="C42" s="188" t="s">
        <v>207</v>
      </c>
      <c r="D42" s="198">
        <v>6</v>
      </c>
      <c r="E42" s="191">
        <v>5928</v>
      </c>
      <c r="F42" s="192">
        <f>ROUND(E42*D42,2)</f>
        <v>35568</v>
      </c>
      <c r="G42" s="192">
        <f t="shared" ref="G42" si="30">ROUND(F42*1.2,2)</f>
        <v>42681.599999999999</v>
      </c>
      <c r="H42" s="191"/>
      <c r="I42" s="192"/>
      <c r="J42" s="192"/>
      <c r="K42" s="191">
        <f t="shared" ref="K42:L54" si="31">F42+I42</f>
        <v>35568</v>
      </c>
      <c r="L42" s="192">
        <f t="shared" si="31"/>
        <v>42681.599999999999</v>
      </c>
      <c r="M42" s="168" t="s">
        <v>530</v>
      </c>
    </row>
    <row r="43" spans="1:13" ht="21" customHeight="1" x14ac:dyDescent="0.25">
      <c r="A43" s="163" t="s">
        <v>470</v>
      </c>
      <c r="B43" s="164" t="s">
        <v>506</v>
      </c>
      <c r="C43" s="157" t="s">
        <v>207</v>
      </c>
      <c r="D43" s="165">
        <v>6</v>
      </c>
      <c r="E43" s="161"/>
      <c r="F43" s="162"/>
      <c r="G43" s="162"/>
      <c r="H43" s="178">
        <v>16810.25</v>
      </c>
      <c r="I43" s="162">
        <f t="shared" ref="I43:I45" si="32">ROUND(H43*D43,2)</f>
        <v>100861.5</v>
      </c>
      <c r="J43" s="162">
        <f t="shared" ref="J43:J45" si="33">ROUND(I43*1.2,2)</f>
        <v>121033.8</v>
      </c>
      <c r="K43" s="161">
        <f t="shared" si="31"/>
        <v>100861.5</v>
      </c>
      <c r="L43" s="162">
        <f t="shared" si="31"/>
        <v>121033.8</v>
      </c>
      <c r="M43" s="168" t="s">
        <v>530</v>
      </c>
    </row>
    <row r="44" spans="1:13" ht="21" customHeight="1" x14ac:dyDescent="0.25">
      <c r="A44" s="188">
        <f>A42+1</f>
        <v>19</v>
      </c>
      <c r="B44" s="195" t="s">
        <v>531</v>
      </c>
      <c r="C44" s="188" t="s">
        <v>207</v>
      </c>
      <c r="D44" s="198">
        <v>24</v>
      </c>
      <c r="E44" s="191">
        <v>1482</v>
      </c>
      <c r="F44" s="192">
        <f>ROUND(E44*D44,2)</f>
        <v>35568</v>
      </c>
      <c r="G44" s="192">
        <f t="shared" ref="G44" si="34">ROUND(F44*1.2,2)</f>
        <v>42681.599999999999</v>
      </c>
      <c r="H44" s="191"/>
      <c r="I44" s="192"/>
      <c r="J44" s="192"/>
      <c r="K44" s="191">
        <f t="shared" ref="K44" si="35">F44+I44</f>
        <v>35568</v>
      </c>
      <c r="L44" s="192">
        <f t="shared" ref="L44" si="36">G44+J44</f>
        <v>42681.599999999999</v>
      </c>
      <c r="M44" s="168" t="s">
        <v>530</v>
      </c>
    </row>
    <row r="45" spans="1:13" ht="19.5" customHeight="1" x14ac:dyDescent="0.25">
      <c r="A45" s="163" t="s">
        <v>471</v>
      </c>
      <c r="B45" s="164" t="s">
        <v>507</v>
      </c>
      <c r="C45" s="157" t="s">
        <v>207</v>
      </c>
      <c r="D45" s="165">
        <v>24</v>
      </c>
      <c r="E45" s="161"/>
      <c r="F45" s="162"/>
      <c r="G45" s="162"/>
      <c r="H45" s="178">
        <v>4891.55</v>
      </c>
      <c r="I45" s="162">
        <f t="shared" si="32"/>
        <v>117397.2</v>
      </c>
      <c r="J45" s="162">
        <f t="shared" si="33"/>
        <v>140876.64000000001</v>
      </c>
      <c r="K45" s="161">
        <f t="shared" si="31"/>
        <v>117397.2</v>
      </c>
      <c r="L45" s="162">
        <f t="shared" si="31"/>
        <v>140876.64000000001</v>
      </c>
      <c r="M45" s="168" t="s">
        <v>530</v>
      </c>
    </row>
    <row r="46" spans="1:13" ht="20.25" customHeight="1" x14ac:dyDescent="0.25">
      <c r="A46" s="188">
        <f>A44+1</f>
        <v>20</v>
      </c>
      <c r="B46" s="195" t="s">
        <v>552</v>
      </c>
      <c r="C46" s="188" t="s">
        <v>181</v>
      </c>
      <c r="D46" s="199">
        <v>1.7999999999999999E-2</v>
      </c>
      <c r="E46" s="191">
        <v>6266.06</v>
      </c>
      <c r="F46" s="192">
        <f>ROUND(E46*D46,2)</f>
        <v>112.79</v>
      </c>
      <c r="G46" s="192">
        <f>ROUND(F46*1.2,2)</f>
        <v>135.35</v>
      </c>
      <c r="H46" s="191"/>
      <c r="I46" s="192"/>
      <c r="J46" s="192"/>
      <c r="K46" s="191">
        <f t="shared" ref="K46:L51" si="37">F46+I46</f>
        <v>112.79</v>
      </c>
      <c r="L46" s="192">
        <f t="shared" si="37"/>
        <v>135.35</v>
      </c>
      <c r="M46" s="168"/>
    </row>
    <row r="47" spans="1:13" ht="19.5" customHeight="1" x14ac:dyDescent="0.25">
      <c r="A47" s="163" t="s">
        <v>472</v>
      </c>
      <c r="B47" s="164" t="s">
        <v>553</v>
      </c>
      <c r="C47" s="157" t="s">
        <v>181</v>
      </c>
      <c r="D47" s="171">
        <f>D46*1.02</f>
        <v>1.8359999999999998E-2</v>
      </c>
      <c r="E47" s="161"/>
      <c r="F47" s="162"/>
      <c r="G47" s="162"/>
      <c r="H47" s="162">
        <v>3895</v>
      </c>
      <c r="I47" s="162">
        <f>ROUND(H47*D47,2)</f>
        <v>71.510000000000005</v>
      </c>
      <c r="J47" s="162">
        <f>ROUND(I47*1.2,2)</f>
        <v>85.81</v>
      </c>
      <c r="K47" s="161">
        <f t="shared" si="37"/>
        <v>71.510000000000005</v>
      </c>
      <c r="L47" s="162">
        <f t="shared" si="37"/>
        <v>85.81</v>
      </c>
      <c r="M47" s="168"/>
    </row>
    <row r="48" spans="1:13" ht="27" customHeight="1" x14ac:dyDescent="0.25">
      <c r="A48" s="188">
        <f>A46+1</f>
        <v>21</v>
      </c>
      <c r="B48" s="195" t="s">
        <v>508</v>
      </c>
      <c r="C48" s="188" t="s">
        <v>235</v>
      </c>
      <c r="D48" s="196">
        <v>90.2</v>
      </c>
      <c r="E48" s="191">
        <v>144.4</v>
      </c>
      <c r="F48" s="192">
        <f>ROUND(E48*D48,2)</f>
        <v>13024.88</v>
      </c>
      <c r="G48" s="192">
        <f>ROUND(F48*1.2,2)</f>
        <v>15629.86</v>
      </c>
      <c r="H48" s="191"/>
      <c r="I48" s="192"/>
      <c r="J48" s="192"/>
      <c r="K48" s="191">
        <f t="shared" si="37"/>
        <v>13024.88</v>
      </c>
      <c r="L48" s="192">
        <f t="shared" si="37"/>
        <v>15629.86</v>
      </c>
      <c r="M48" s="168"/>
    </row>
    <row r="49" spans="1:13" ht="18" customHeight="1" x14ac:dyDescent="0.25">
      <c r="A49" s="163" t="s">
        <v>473</v>
      </c>
      <c r="B49" s="164" t="s">
        <v>491</v>
      </c>
      <c r="C49" s="157" t="s">
        <v>492</v>
      </c>
      <c r="D49" s="167">
        <f>ROUND(D48*0.3*20/16,2)</f>
        <v>33.83</v>
      </c>
      <c r="E49" s="161"/>
      <c r="F49" s="162"/>
      <c r="G49" s="162"/>
      <c r="H49" s="178">
        <v>237.5</v>
      </c>
      <c r="I49" s="162">
        <f>ROUND(H49*D49,2)</f>
        <v>8034.63</v>
      </c>
      <c r="J49" s="162">
        <f>ROUND(I49*1.2,2)</f>
        <v>9641.56</v>
      </c>
      <c r="K49" s="161">
        <f t="shared" si="37"/>
        <v>8034.63</v>
      </c>
      <c r="L49" s="162">
        <f t="shared" si="37"/>
        <v>9641.56</v>
      </c>
    </row>
    <row r="50" spans="1:13" ht="30.75" customHeight="1" x14ac:dyDescent="0.25">
      <c r="A50" s="188">
        <f>A48+1</f>
        <v>22</v>
      </c>
      <c r="B50" s="189" t="s">
        <v>509</v>
      </c>
      <c r="C50" s="188" t="s">
        <v>235</v>
      </c>
      <c r="D50" s="196">
        <v>90.2</v>
      </c>
      <c r="E50" s="191">
        <v>299.76</v>
      </c>
      <c r="F50" s="192">
        <f>ROUND(E50*D50,2)</f>
        <v>27038.35</v>
      </c>
      <c r="G50" s="192">
        <f>ROUND(F50*1.2,2)</f>
        <v>32446.02</v>
      </c>
      <c r="H50" s="191"/>
      <c r="I50" s="192"/>
      <c r="J50" s="192"/>
      <c r="K50" s="191">
        <f t="shared" si="37"/>
        <v>27038.35</v>
      </c>
      <c r="L50" s="192">
        <f t="shared" si="37"/>
        <v>32446.02</v>
      </c>
    </row>
    <row r="51" spans="1:13" x14ac:dyDescent="0.25">
      <c r="A51" s="163" t="s">
        <v>474</v>
      </c>
      <c r="B51" s="164" t="s">
        <v>504</v>
      </c>
      <c r="C51" s="157" t="s">
        <v>220</v>
      </c>
      <c r="D51" s="167">
        <f>D50*2.5*2</f>
        <v>451</v>
      </c>
      <c r="E51" s="161"/>
      <c r="F51" s="162"/>
      <c r="G51" s="162"/>
      <c r="H51" s="178">
        <v>296.39999999999998</v>
      </c>
      <c r="I51" s="162">
        <f>ROUND(H51*D51,2)</f>
        <v>133676.4</v>
      </c>
      <c r="J51" s="162">
        <f>ROUND(I51*1.2,2)</f>
        <v>160411.68</v>
      </c>
      <c r="K51" s="161">
        <f t="shared" si="37"/>
        <v>133676.4</v>
      </c>
      <c r="L51" s="162">
        <f t="shared" si="37"/>
        <v>160411.68</v>
      </c>
    </row>
    <row r="52" spans="1:13" ht="20.25" customHeight="1" x14ac:dyDescent="0.25">
      <c r="A52" s="163"/>
      <c r="B52" s="66" t="s">
        <v>554</v>
      </c>
      <c r="C52" s="68"/>
      <c r="D52" s="166"/>
      <c r="E52" s="155"/>
      <c r="F52" s="160"/>
      <c r="G52" s="160"/>
      <c r="H52" s="176"/>
      <c r="I52" s="160"/>
      <c r="J52" s="160"/>
      <c r="K52" s="155"/>
      <c r="L52" s="160"/>
    </row>
    <row r="53" spans="1:13" ht="20.25" customHeight="1" x14ac:dyDescent="0.25">
      <c r="A53" s="188">
        <f>A50+1</f>
        <v>23</v>
      </c>
      <c r="B53" s="189" t="s">
        <v>514</v>
      </c>
      <c r="C53" s="188" t="s">
        <v>181</v>
      </c>
      <c r="D53" s="196">
        <v>1.02</v>
      </c>
      <c r="E53" s="191">
        <v>17265.68</v>
      </c>
      <c r="F53" s="192">
        <f>ROUND(E53*D53,2)</f>
        <v>17610.990000000002</v>
      </c>
      <c r="G53" s="192">
        <f t="shared" ref="G53" si="38">ROUND(F53*1.2,2)</f>
        <v>21133.19</v>
      </c>
      <c r="H53" s="191"/>
      <c r="I53" s="192"/>
      <c r="J53" s="192"/>
      <c r="K53" s="191">
        <f t="shared" si="31"/>
        <v>17610.990000000002</v>
      </c>
      <c r="L53" s="192">
        <f t="shared" si="31"/>
        <v>21133.19</v>
      </c>
    </row>
    <row r="54" spans="1:13" ht="19.5" customHeight="1" x14ac:dyDescent="0.25">
      <c r="A54" s="163" t="s">
        <v>475</v>
      </c>
      <c r="B54" s="164" t="s">
        <v>533</v>
      </c>
      <c r="C54" s="157" t="s">
        <v>207</v>
      </c>
      <c r="D54" s="165">
        <v>1</v>
      </c>
      <c r="E54" s="161"/>
      <c r="F54" s="162"/>
      <c r="G54" s="162"/>
      <c r="H54" s="179">
        <f>ROUND(15520/1.2*1.15,2)</f>
        <v>14873.33</v>
      </c>
      <c r="I54" s="162">
        <f t="shared" ref="I54" si="39">ROUND(H54*D54,2)</f>
        <v>14873.33</v>
      </c>
      <c r="J54" s="162">
        <f t="shared" ref="J54" si="40">ROUND(I54*1.2,2)</f>
        <v>17848</v>
      </c>
      <c r="K54" s="161">
        <f t="shared" si="31"/>
        <v>14873.33</v>
      </c>
      <c r="L54" s="162">
        <f t="shared" si="31"/>
        <v>17848</v>
      </c>
      <c r="M54" s="173" t="s">
        <v>501</v>
      </c>
    </row>
    <row r="55" spans="1:13" ht="18" customHeight="1" x14ac:dyDescent="0.25">
      <c r="A55" s="188">
        <f>A53+1</f>
        <v>24</v>
      </c>
      <c r="B55" s="189" t="s">
        <v>515</v>
      </c>
      <c r="C55" s="188" t="s">
        <v>181</v>
      </c>
      <c r="D55" s="196">
        <v>0.61</v>
      </c>
      <c r="E55" s="191">
        <v>17265.68</v>
      </c>
      <c r="F55" s="192">
        <f>ROUND(E55*D55,2)</f>
        <v>10532.06</v>
      </c>
      <c r="G55" s="192">
        <f t="shared" ref="G55" si="41">ROUND(F55*1.2,2)</f>
        <v>12638.47</v>
      </c>
      <c r="H55" s="191"/>
      <c r="I55" s="192"/>
      <c r="J55" s="192"/>
      <c r="K55" s="191">
        <f t="shared" ref="K55:L64" si="42">F55+I55</f>
        <v>10532.06</v>
      </c>
      <c r="L55" s="192">
        <f t="shared" si="42"/>
        <v>12638.47</v>
      </c>
    </row>
    <row r="56" spans="1:13" ht="18.75" customHeight="1" x14ac:dyDescent="0.25">
      <c r="A56" s="163" t="s">
        <v>476</v>
      </c>
      <c r="B56" s="164" t="s">
        <v>534</v>
      </c>
      <c r="C56" s="157" t="s">
        <v>207</v>
      </c>
      <c r="D56" s="165">
        <v>1</v>
      </c>
      <c r="E56" s="161"/>
      <c r="F56" s="162"/>
      <c r="G56" s="162"/>
      <c r="H56" s="179">
        <f>ROUND(14540/1.2*1.15,2)</f>
        <v>13934.17</v>
      </c>
      <c r="I56" s="162">
        <f t="shared" ref="I56" si="43">ROUND(H56*D56,2)</f>
        <v>13934.17</v>
      </c>
      <c r="J56" s="162">
        <f t="shared" ref="J56" si="44">ROUND(I56*1.2,2)</f>
        <v>16721</v>
      </c>
      <c r="K56" s="161">
        <f t="shared" si="42"/>
        <v>13934.17</v>
      </c>
      <c r="L56" s="162">
        <f t="shared" si="42"/>
        <v>16721</v>
      </c>
      <c r="M56" s="173" t="s">
        <v>501</v>
      </c>
    </row>
    <row r="57" spans="1:13" ht="21.75" customHeight="1" x14ac:dyDescent="0.25">
      <c r="A57" s="188">
        <f>A55+1</f>
        <v>25</v>
      </c>
      <c r="B57" s="195" t="s">
        <v>516</v>
      </c>
      <c r="C57" s="188" t="s">
        <v>181</v>
      </c>
      <c r="D57" s="196">
        <f>2*0.14</f>
        <v>0.28000000000000003</v>
      </c>
      <c r="E57" s="191">
        <v>17265.68</v>
      </c>
      <c r="F57" s="192">
        <f>ROUND(E57*D57,2)</f>
        <v>4834.3900000000003</v>
      </c>
      <c r="G57" s="192">
        <f t="shared" ref="G57" si="45">ROUND(F57*1.2,2)</f>
        <v>5801.27</v>
      </c>
      <c r="H57" s="191"/>
      <c r="I57" s="192"/>
      <c r="J57" s="192"/>
      <c r="K57" s="191">
        <f t="shared" si="42"/>
        <v>4834.3900000000003</v>
      </c>
      <c r="L57" s="192">
        <f t="shared" si="42"/>
        <v>5801.27</v>
      </c>
      <c r="M57" s="168"/>
    </row>
    <row r="58" spans="1:13" ht="20.25" customHeight="1" x14ac:dyDescent="0.25">
      <c r="A58" s="163" t="s">
        <v>477</v>
      </c>
      <c r="B58" s="164" t="s">
        <v>535</v>
      </c>
      <c r="C58" s="157" t="s">
        <v>207</v>
      </c>
      <c r="D58" s="165">
        <v>2</v>
      </c>
      <c r="E58" s="161"/>
      <c r="F58" s="162"/>
      <c r="G58" s="162"/>
      <c r="H58" s="179">
        <f>ROUND(3711.25*1.15,2)</f>
        <v>4267.9399999999996</v>
      </c>
      <c r="I58" s="162">
        <f t="shared" ref="I58" si="46">ROUND(H58*D58,2)</f>
        <v>8535.8799999999992</v>
      </c>
      <c r="J58" s="162">
        <f t="shared" ref="J58" si="47">ROUND(I58*1.2,2)</f>
        <v>10243.06</v>
      </c>
      <c r="K58" s="161">
        <f t="shared" si="42"/>
        <v>8535.8799999999992</v>
      </c>
      <c r="L58" s="162">
        <f t="shared" si="42"/>
        <v>10243.06</v>
      </c>
      <c r="M58" s="173" t="s">
        <v>501</v>
      </c>
    </row>
    <row r="59" spans="1:13" ht="20.25" customHeight="1" x14ac:dyDescent="0.25">
      <c r="A59" s="188">
        <f>A57+1</f>
        <v>26</v>
      </c>
      <c r="B59" s="195" t="s">
        <v>517</v>
      </c>
      <c r="C59" s="188" t="s">
        <v>181</v>
      </c>
      <c r="D59" s="196">
        <v>0.27</v>
      </c>
      <c r="E59" s="191">
        <v>17265.68</v>
      </c>
      <c r="F59" s="192">
        <f>ROUND(E59*D59,2)</f>
        <v>4661.7299999999996</v>
      </c>
      <c r="G59" s="192">
        <f t="shared" ref="G59" si="48">ROUND(F59*1.2,2)</f>
        <v>5594.08</v>
      </c>
      <c r="H59" s="191"/>
      <c r="I59" s="192"/>
      <c r="J59" s="192"/>
      <c r="K59" s="191">
        <f t="shared" ref="K59:K60" si="49">F59+I59</f>
        <v>4661.7299999999996</v>
      </c>
      <c r="L59" s="192">
        <f t="shared" ref="L59:L60" si="50">G59+J59</f>
        <v>5594.08</v>
      </c>
      <c r="M59" s="168"/>
    </row>
    <row r="60" spans="1:13" ht="20.25" customHeight="1" x14ac:dyDescent="0.25">
      <c r="A60" s="163" t="s">
        <v>478</v>
      </c>
      <c r="B60" s="164" t="s">
        <v>536</v>
      </c>
      <c r="C60" s="157" t="s">
        <v>207</v>
      </c>
      <c r="D60" s="165">
        <v>1</v>
      </c>
      <c r="E60" s="161"/>
      <c r="F60" s="162"/>
      <c r="G60" s="162"/>
      <c r="H60" s="179">
        <v>5177.5</v>
      </c>
      <c r="I60" s="162">
        <f t="shared" ref="I60" si="51">ROUND(H60*D60,2)</f>
        <v>5177.5</v>
      </c>
      <c r="J60" s="162">
        <f t="shared" ref="J60" si="52">ROUND(I60*1.2,2)</f>
        <v>6213</v>
      </c>
      <c r="K60" s="161">
        <f t="shared" si="49"/>
        <v>5177.5</v>
      </c>
      <c r="L60" s="162">
        <f t="shared" si="50"/>
        <v>6213</v>
      </c>
      <c r="M60" s="168" t="s">
        <v>530</v>
      </c>
    </row>
    <row r="61" spans="1:13" ht="20.25" customHeight="1" x14ac:dyDescent="0.25">
      <c r="A61" s="188">
        <f>A59+1</f>
        <v>27</v>
      </c>
      <c r="B61" s="195" t="s">
        <v>518</v>
      </c>
      <c r="C61" s="188" t="s">
        <v>181</v>
      </c>
      <c r="D61" s="196">
        <v>1.1299999999999999</v>
      </c>
      <c r="E61" s="191">
        <v>17265.68</v>
      </c>
      <c r="F61" s="192">
        <f>ROUND(E61*D61,2)</f>
        <v>19510.22</v>
      </c>
      <c r="G61" s="192">
        <f t="shared" ref="G61" si="53">ROUND(F61*1.2,2)</f>
        <v>23412.26</v>
      </c>
      <c r="H61" s="191"/>
      <c r="I61" s="192"/>
      <c r="J61" s="192"/>
      <c r="K61" s="191">
        <f t="shared" si="42"/>
        <v>19510.22</v>
      </c>
      <c r="L61" s="192">
        <f t="shared" si="42"/>
        <v>23412.26</v>
      </c>
      <c r="M61" s="168"/>
    </row>
    <row r="62" spans="1:13" ht="20.25" customHeight="1" x14ac:dyDescent="0.25">
      <c r="A62" s="163" t="s">
        <v>479</v>
      </c>
      <c r="B62" s="164" t="s">
        <v>519</v>
      </c>
      <c r="C62" s="157" t="s">
        <v>207</v>
      </c>
      <c r="D62" s="165">
        <v>1</v>
      </c>
      <c r="E62" s="161"/>
      <c r="F62" s="162"/>
      <c r="G62" s="162"/>
      <c r="H62" s="179">
        <v>14212</v>
      </c>
      <c r="I62" s="162">
        <f t="shared" ref="I62" si="54">ROUND(H62*D62,2)</f>
        <v>14212</v>
      </c>
      <c r="J62" s="162">
        <f t="shared" ref="J62" si="55">ROUND(I62*1.2,2)</f>
        <v>17054.400000000001</v>
      </c>
      <c r="K62" s="161">
        <f t="shared" si="42"/>
        <v>14212</v>
      </c>
      <c r="L62" s="162">
        <f t="shared" si="42"/>
        <v>17054.400000000001</v>
      </c>
      <c r="M62" s="168" t="s">
        <v>530</v>
      </c>
    </row>
    <row r="63" spans="1:13" ht="20.25" customHeight="1" x14ac:dyDescent="0.25">
      <c r="A63" s="188">
        <f>A61+1</f>
        <v>28</v>
      </c>
      <c r="B63" s="195" t="s">
        <v>520</v>
      </c>
      <c r="C63" s="188" t="s">
        <v>181</v>
      </c>
      <c r="D63" s="196">
        <f>0.62*2</f>
        <v>1.24</v>
      </c>
      <c r="E63" s="191">
        <v>17265.68</v>
      </c>
      <c r="F63" s="192">
        <f>ROUND(E63*D63,2)</f>
        <v>21409.439999999999</v>
      </c>
      <c r="G63" s="192">
        <f t="shared" ref="G63" si="56">ROUND(F63*1.2,2)</f>
        <v>25691.33</v>
      </c>
      <c r="H63" s="191"/>
      <c r="I63" s="192"/>
      <c r="J63" s="192"/>
      <c r="K63" s="191">
        <f t="shared" si="42"/>
        <v>21409.439999999999</v>
      </c>
      <c r="L63" s="192">
        <f t="shared" si="42"/>
        <v>25691.33</v>
      </c>
    </row>
    <row r="64" spans="1:13" ht="20.25" customHeight="1" x14ac:dyDescent="0.25">
      <c r="A64" s="163" t="s">
        <v>480</v>
      </c>
      <c r="B64" s="164" t="s">
        <v>537</v>
      </c>
      <c r="C64" s="157" t="s">
        <v>207</v>
      </c>
      <c r="D64" s="165">
        <v>2</v>
      </c>
      <c r="E64" s="161"/>
      <c r="F64" s="162"/>
      <c r="G64" s="162"/>
      <c r="H64" s="179">
        <v>5538.5</v>
      </c>
      <c r="I64" s="162">
        <f t="shared" ref="I64" si="57">ROUND(H64*D64,2)</f>
        <v>11077</v>
      </c>
      <c r="J64" s="162">
        <f t="shared" ref="J64" si="58">ROUND(I64*1.2,2)</f>
        <v>13292.4</v>
      </c>
      <c r="K64" s="161">
        <f t="shared" si="42"/>
        <v>11077</v>
      </c>
      <c r="L64" s="162">
        <f t="shared" si="42"/>
        <v>13292.4</v>
      </c>
    </row>
    <row r="65" spans="1:13" ht="20.25" customHeight="1" x14ac:dyDescent="0.25">
      <c r="A65" s="188">
        <f>A63+1</f>
        <v>29</v>
      </c>
      <c r="B65" s="195" t="s">
        <v>521</v>
      </c>
      <c r="C65" s="188" t="s">
        <v>207</v>
      </c>
      <c r="D65" s="198">
        <v>2</v>
      </c>
      <c r="E65" s="191">
        <v>1974.1</v>
      </c>
      <c r="F65" s="192">
        <f>ROUND(E65*D65,2)</f>
        <v>3948.2</v>
      </c>
      <c r="G65" s="192">
        <f t="shared" ref="G65" si="59">ROUND(F65*1.2,2)</f>
        <v>4737.84</v>
      </c>
      <c r="H65" s="191"/>
      <c r="I65" s="192"/>
      <c r="J65" s="192"/>
      <c r="K65" s="191">
        <f t="shared" ref="K65" si="60">F65+I65</f>
        <v>3948.2</v>
      </c>
      <c r="L65" s="192">
        <f t="shared" ref="L65" si="61">G65+J65</f>
        <v>4737.84</v>
      </c>
      <c r="M65" s="173" t="s">
        <v>605</v>
      </c>
    </row>
    <row r="66" spans="1:13" ht="20.25" customHeight="1" x14ac:dyDescent="0.25">
      <c r="A66" s="163" t="s">
        <v>481</v>
      </c>
      <c r="B66" s="164" t="s">
        <v>510</v>
      </c>
      <c r="C66" s="157" t="s">
        <v>207</v>
      </c>
      <c r="D66" s="165">
        <v>2</v>
      </c>
      <c r="E66" s="161"/>
      <c r="F66" s="162"/>
      <c r="G66" s="162"/>
      <c r="H66" s="179">
        <v>8645</v>
      </c>
      <c r="I66" s="162">
        <f t="shared" ref="I66" si="62">ROUND(H66*D66,2)</f>
        <v>17290</v>
      </c>
      <c r="J66" s="162">
        <f t="shared" ref="J66" si="63">ROUND(I66*1.2,2)</f>
        <v>20748</v>
      </c>
      <c r="K66" s="161">
        <f t="shared" ref="K66:L66" si="64">F66+I66</f>
        <v>17290</v>
      </c>
      <c r="L66" s="162">
        <f t="shared" si="64"/>
        <v>20748</v>
      </c>
    </row>
    <row r="67" spans="1:13" ht="18" customHeight="1" x14ac:dyDescent="0.25">
      <c r="A67" s="200">
        <f>A65+1</f>
        <v>30</v>
      </c>
      <c r="B67" s="195" t="s">
        <v>555</v>
      </c>
      <c r="C67" s="188" t="s">
        <v>207</v>
      </c>
      <c r="D67" s="198">
        <v>2</v>
      </c>
      <c r="E67" s="191">
        <v>3050.45</v>
      </c>
      <c r="F67" s="192">
        <f>ROUND(E67*D67,2)</f>
        <v>6100.9</v>
      </c>
      <c r="G67" s="192">
        <f t="shared" ref="G67" si="65">ROUND(F67*1.2,2)</f>
        <v>7321.08</v>
      </c>
      <c r="H67" s="191"/>
      <c r="I67" s="192"/>
      <c r="J67" s="192"/>
      <c r="K67" s="191">
        <f t="shared" ref="K67:L68" si="66">F67+I67</f>
        <v>6100.9</v>
      </c>
      <c r="L67" s="192">
        <f t="shared" si="66"/>
        <v>7321.08</v>
      </c>
      <c r="M67" s="168"/>
    </row>
    <row r="68" spans="1:13" ht="18" customHeight="1" x14ac:dyDescent="0.25">
      <c r="A68" s="163" t="s">
        <v>482</v>
      </c>
      <c r="B68" s="164" t="s">
        <v>556</v>
      </c>
      <c r="C68" s="157" t="s">
        <v>220</v>
      </c>
      <c r="D68" s="180">
        <f>29.1*2</f>
        <v>58.2</v>
      </c>
      <c r="E68" s="161"/>
      <c r="F68" s="162"/>
      <c r="G68" s="162"/>
      <c r="H68" s="179">
        <v>3195</v>
      </c>
      <c r="I68" s="162">
        <f>ROUND(H68*D68,2)</f>
        <v>185949</v>
      </c>
      <c r="J68" s="162">
        <f>ROUND(I68*1.2,2)</f>
        <v>223138.8</v>
      </c>
      <c r="K68" s="161">
        <f t="shared" si="66"/>
        <v>185949</v>
      </c>
      <c r="L68" s="162">
        <f t="shared" si="66"/>
        <v>223138.8</v>
      </c>
      <c r="M68" s="168"/>
    </row>
    <row r="69" spans="1:13" ht="18.75" customHeight="1" x14ac:dyDescent="0.25">
      <c r="A69" s="200">
        <f>A67+1</f>
        <v>31</v>
      </c>
      <c r="B69" s="189" t="s">
        <v>557</v>
      </c>
      <c r="C69" s="188" t="s">
        <v>235</v>
      </c>
      <c r="D69" s="190">
        <v>1.98</v>
      </c>
      <c r="E69" s="191">
        <v>144.4</v>
      </c>
      <c r="F69" s="192">
        <f>ROUND(E69*D69,2)</f>
        <v>285.91000000000003</v>
      </c>
      <c r="G69" s="192">
        <f>ROUND(F69*1.2,2)</f>
        <v>343.09</v>
      </c>
      <c r="H69" s="191"/>
      <c r="I69" s="192"/>
      <c r="J69" s="192"/>
      <c r="K69" s="191">
        <f t="shared" ref="K69:L76" si="67">F69+I69</f>
        <v>285.91000000000003</v>
      </c>
      <c r="L69" s="192">
        <f t="shared" si="67"/>
        <v>343.09</v>
      </c>
      <c r="M69" s="168" t="s">
        <v>558</v>
      </c>
    </row>
    <row r="70" spans="1:13" ht="18.75" customHeight="1" x14ac:dyDescent="0.25">
      <c r="A70" s="163" t="s">
        <v>483</v>
      </c>
      <c r="B70" s="164" t="s">
        <v>559</v>
      </c>
      <c r="C70" s="157" t="s">
        <v>220</v>
      </c>
      <c r="D70" s="167">
        <f>D69*0.15</f>
        <v>0.29699999999999999</v>
      </c>
      <c r="E70" s="161"/>
      <c r="F70" s="162"/>
      <c r="G70" s="162"/>
      <c r="H70" s="161">
        <v>149.15</v>
      </c>
      <c r="I70" s="162">
        <f>ROUND(H70*D70,2)</f>
        <v>44.3</v>
      </c>
      <c r="J70" s="162">
        <f>ROUND(I70*1.2,2)</f>
        <v>53.16</v>
      </c>
      <c r="K70" s="161">
        <f t="shared" si="67"/>
        <v>44.3</v>
      </c>
      <c r="L70" s="162">
        <f t="shared" si="67"/>
        <v>53.16</v>
      </c>
    </row>
    <row r="71" spans="1:13" ht="18.75" customHeight="1" x14ac:dyDescent="0.25">
      <c r="A71" s="188">
        <f>A69+1</f>
        <v>32</v>
      </c>
      <c r="B71" s="189" t="s">
        <v>560</v>
      </c>
      <c r="C71" s="188" t="s">
        <v>235</v>
      </c>
      <c r="D71" s="190">
        <v>1.98</v>
      </c>
      <c r="E71" s="191">
        <f>144.4*2</f>
        <v>288.8</v>
      </c>
      <c r="F71" s="192">
        <f>ROUND(E71*D71,2)</f>
        <v>571.82000000000005</v>
      </c>
      <c r="G71" s="192">
        <f>ROUND(F71*1.2,2)</f>
        <v>686.18</v>
      </c>
      <c r="H71" s="191"/>
      <c r="I71" s="192"/>
      <c r="J71" s="192"/>
      <c r="K71" s="191">
        <f t="shared" si="67"/>
        <v>571.82000000000005</v>
      </c>
      <c r="L71" s="192">
        <f t="shared" si="67"/>
        <v>686.18</v>
      </c>
      <c r="M71" s="168" t="s">
        <v>558</v>
      </c>
    </row>
    <row r="72" spans="1:13" ht="18.75" customHeight="1" x14ac:dyDescent="0.25">
      <c r="A72" s="163" t="s">
        <v>221</v>
      </c>
      <c r="B72" s="164" t="s">
        <v>561</v>
      </c>
      <c r="C72" s="157" t="s">
        <v>220</v>
      </c>
      <c r="D72" s="167">
        <f>D71*0.32</f>
        <v>0.63360000000000005</v>
      </c>
      <c r="E72" s="161"/>
      <c r="F72" s="162"/>
      <c r="G72" s="162"/>
      <c r="H72" s="161">
        <v>165.3</v>
      </c>
      <c r="I72" s="162">
        <f>ROUND(H72*D72,2)</f>
        <v>104.73</v>
      </c>
      <c r="J72" s="162">
        <f>ROUND(I72*1.2,2)</f>
        <v>125.68</v>
      </c>
      <c r="K72" s="161">
        <f t="shared" si="67"/>
        <v>104.73</v>
      </c>
      <c r="L72" s="162">
        <f t="shared" si="67"/>
        <v>125.68</v>
      </c>
    </row>
    <row r="73" spans="1:13" ht="27" customHeight="1" x14ac:dyDescent="0.25">
      <c r="A73" s="188">
        <f>A71+1</f>
        <v>33</v>
      </c>
      <c r="B73" s="195" t="s">
        <v>562</v>
      </c>
      <c r="C73" s="188" t="s">
        <v>235</v>
      </c>
      <c r="D73" s="196">
        <v>30.31</v>
      </c>
      <c r="E73" s="191">
        <v>144.4</v>
      </c>
      <c r="F73" s="192">
        <f>ROUND(E73*D73,2)</f>
        <v>4376.76</v>
      </c>
      <c r="G73" s="192">
        <f>ROUND(F73*1.2,2)</f>
        <v>5252.11</v>
      </c>
      <c r="H73" s="191"/>
      <c r="I73" s="192"/>
      <c r="J73" s="192"/>
      <c r="K73" s="191">
        <f t="shared" si="67"/>
        <v>4376.76</v>
      </c>
      <c r="L73" s="192">
        <f t="shared" si="67"/>
        <v>5252.11</v>
      </c>
      <c r="M73" s="168"/>
    </row>
    <row r="74" spans="1:13" ht="18" customHeight="1" x14ac:dyDescent="0.25">
      <c r="A74" s="163" t="s">
        <v>484</v>
      </c>
      <c r="B74" s="164" t="s">
        <v>491</v>
      </c>
      <c r="C74" s="157" t="s">
        <v>492</v>
      </c>
      <c r="D74" s="167">
        <f>ROUND(D73*0.3*20/16,2)</f>
        <v>11.37</v>
      </c>
      <c r="E74" s="161"/>
      <c r="F74" s="162"/>
      <c r="G74" s="162"/>
      <c r="H74" s="178">
        <v>237.5</v>
      </c>
      <c r="I74" s="162">
        <f>ROUND(H74*D74,2)</f>
        <v>2700.38</v>
      </c>
      <c r="J74" s="162">
        <f>ROUND(I74*1.2,2)</f>
        <v>3240.46</v>
      </c>
      <c r="K74" s="161">
        <f t="shared" si="67"/>
        <v>2700.38</v>
      </c>
      <c r="L74" s="162">
        <f t="shared" si="67"/>
        <v>3240.46</v>
      </c>
    </row>
    <row r="75" spans="1:13" ht="30.75" customHeight="1" x14ac:dyDescent="0.25">
      <c r="A75" s="188">
        <f>A73+1</f>
        <v>34</v>
      </c>
      <c r="B75" s="189" t="s">
        <v>563</v>
      </c>
      <c r="C75" s="188" t="s">
        <v>235</v>
      </c>
      <c r="D75" s="196">
        <v>30.31</v>
      </c>
      <c r="E75" s="191">
        <v>299.76</v>
      </c>
      <c r="F75" s="192">
        <f>ROUND(E75*D75,2)</f>
        <v>9085.73</v>
      </c>
      <c r="G75" s="192">
        <f>ROUND(F75*1.2,2)</f>
        <v>10902.88</v>
      </c>
      <c r="H75" s="191"/>
      <c r="I75" s="192"/>
      <c r="J75" s="192"/>
      <c r="K75" s="191">
        <f t="shared" si="67"/>
        <v>9085.73</v>
      </c>
      <c r="L75" s="192">
        <f t="shared" si="67"/>
        <v>10902.88</v>
      </c>
    </row>
    <row r="76" spans="1:13" x14ac:dyDescent="0.25">
      <c r="A76" s="163" t="s">
        <v>579</v>
      </c>
      <c r="B76" s="164" t="s">
        <v>504</v>
      </c>
      <c r="C76" s="157" t="s">
        <v>220</v>
      </c>
      <c r="D76" s="167">
        <f>D75*2.5*2</f>
        <v>151.54999999999998</v>
      </c>
      <c r="E76" s="161"/>
      <c r="F76" s="162"/>
      <c r="G76" s="162"/>
      <c r="H76" s="178">
        <v>296.39999999999998</v>
      </c>
      <c r="I76" s="162">
        <f>ROUND(H76*D76,2)</f>
        <v>44919.42</v>
      </c>
      <c r="J76" s="162">
        <f>ROUND(I76*1.2,2)</f>
        <v>53903.3</v>
      </c>
      <c r="K76" s="161">
        <f t="shared" si="67"/>
        <v>44919.42</v>
      </c>
      <c r="L76" s="162">
        <f t="shared" si="67"/>
        <v>53903.3</v>
      </c>
    </row>
    <row r="77" spans="1:13" ht="24" customHeight="1" x14ac:dyDescent="0.25">
      <c r="A77" s="163"/>
      <c r="B77" s="66" t="s">
        <v>254</v>
      </c>
      <c r="C77" s="68"/>
      <c r="D77" s="181"/>
      <c r="E77" s="155"/>
      <c r="F77" s="160"/>
      <c r="G77" s="160"/>
      <c r="H77" s="160"/>
      <c r="I77" s="160"/>
      <c r="J77" s="160"/>
      <c r="K77" s="155"/>
      <c r="L77" s="160"/>
    </row>
    <row r="78" spans="1:13" ht="24" customHeight="1" x14ac:dyDescent="0.25">
      <c r="A78" s="188">
        <f>A75+1</f>
        <v>35</v>
      </c>
      <c r="B78" s="195" t="s">
        <v>522</v>
      </c>
      <c r="C78" s="188" t="s">
        <v>207</v>
      </c>
      <c r="D78" s="198">
        <v>12</v>
      </c>
      <c r="E78" s="191">
        <v>2390.1999999999998</v>
      </c>
      <c r="F78" s="192">
        <f>ROUND(E78*D78,2)</f>
        <v>28682.400000000001</v>
      </c>
      <c r="G78" s="192">
        <f t="shared" ref="G78" si="68">ROUND(F78*1.2,2)</f>
        <v>34418.879999999997</v>
      </c>
      <c r="H78" s="191"/>
      <c r="I78" s="192"/>
      <c r="J78" s="192"/>
      <c r="K78" s="191">
        <f t="shared" ref="K78" si="69">F78+I78</f>
        <v>28682.400000000001</v>
      </c>
      <c r="L78" s="192">
        <f t="shared" ref="L78" si="70">G78+J78</f>
        <v>34418.879999999997</v>
      </c>
      <c r="M78" s="168" t="s">
        <v>530</v>
      </c>
    </row>
    <row r="79" spans="1:13" ht="24" customHeight="1" x14ac:dyDescent="0.25">
      <c r="A79" s="188">
        <f>A78+1</f>
        <v>36</v>
      </c>
      <c r="B79" s="195" t="s">
        <v>569</v>
      </c>
      <c r="C79" s="188" t="s">
        <v>182</v>
      </c>
      <c r="D79" s="196">
        <v>5.36</v>
      </c>
      <c r="E79" s="191">
        <v>14297.86</v>
      </c>
      <c r="F79" s="192">
        <f>ROUND(E79*D79,2)</f>
        <v>76636.53</v>
      </c>
      <c r="G79" s="192">
        <f t="shared" ref="G79" si="71">ROUND(F79*1.2,2)</f>
        <v>91963.839999999997</v>
      </c>
      <c r="H79" s="191"/>
      <c r="I79" s="192"/>
      <c r="J79" s="192"/>
      <c r="K79" s="191">
        <f t="shared" ref="K79" si="72">F79+I79</f>
        <v>76636.53</v>
      </c>
      <c r="L79" s="192">
        <f t="shared" ref="L79" si="73">G79+J79</f>
        <v>91963.839999999997</v>
      </c>
      <c r="M79" s="168"/>
    </row>
    <row r="80" spans="1:13" ht="24" customHeight="1" x14ac:dyDescent="0.25">
      <c r="A80" s="163" t="s">
        <v>571</v>
      </c>
      <c r="B80" s="164" t="s">
        <v>570</v>
      </c>
      <c r="C80" s="157" t="s">
        <v>219</v>
      </c>
      <c r="D80" s="162">
        <f>1.02*D79*83.29/1000</f>
        <v>0.45536308800000008</v>
      </c>
      <c r="E80" s="161"/>
      <c r="F80" s="162"/>
      <c r="G80" s="162"/>
      <c r="H80" s="161">
        <v>84550</v>
      </c>
      <c r="I80" s="162">
        <f t="shared" ref="I80" si="74">ROUND(H80*D80,2)</f>
        <v>38500.949999999997</v>
      </c>
      <c r="J80" s="162">
        <f t="shared" ref="J80" si="75">ROUND(I80*1.2,2)</f>
        <v>46201.14</v>
      </c>
      <c r="K80" s="161">
        <f t="shared" ref="K80:K83" si="76">F80+I80</f>
        <v>38500.949999999997</v>
      </c>
      <c r="L80" s="162">
        <f t="shared" ref="L80:L83" si="77">G80+J80</f>
        <v>46201.14</v>
      </c>
      <c r="M80" s="151"/>
    </row>
    <row r="81" spans="1:13" ht="23.25" customHeight="1" x14ac:dyDescent="0.25">
      <c r="A81" s="201">
        <f>A79+1</f>
        <v>37</v>
      </c>
      <c r="B81" s="202" t="s">
        <v>572</v>
      </c>
      <c r="C81" s="201" t="s">
        <v>181</v>
      </c>
      <c r="D81" s="203">
        <v>0.66</v>
      </c>
      <c r="E81" s="204">
        <v>80533.5</v>
      </c>
      <c r="F81" s="205">
        <f>ROUND(E81*D81,2)</f>
        <v>53152.11</v>
      </c>
      <c r="G81" s="205">
        <f t="shared" ref="G81" si="78">ROUND(F81*1.2,2)</f>
        <v>63782.53</v>
      </c>
      <c r="H81" s="204"/>
      <c r="I81" s="205"/>
      <c r="J81" s="205"/>
      <c r="K81" s="204">
        <f t="shared" si="76"/>
        <v>53152.11</v>
      </c>
      <c r="L81" s="205">
        <f t="shared" si="77"/>
        <v>63782.53</v>
      </c>
      <c r="M81" s="151"/>
    </row>
    <row r="82" spans="1:13" ht="24" customHeight="1" x14ac:dyDescent="0.25">
      <c r="A82" s="163" t="s">
        <v>580</v>
      </c>
      <c r="B82" s="164" t="s">
        <v>538</v>
      </c>
      <c r="C82" s="157" t="s">
        <v>181</v>
      </c>
      <c r="D82" s="183">
        <v>0.66</v>
      </c>
      <c r="E82" s="161"/>
      <c r="F82" s="162"/>
      <c r="G82" s="162"/>
      <c r="H82" s="161">
        <f>ROUND(4616/1.2*1.15,2)</f>
        <v>4423.67</v>
      </c>
      <c r="I82" s="162">
        <f>ROUND(H82*D82,2)</f>
        <v>2919.62</v>
      </c>
      <c r="J82" s="162">
        <f>ROUND(I82*1.2,2)</f>
        <v>3503.54</v>
      </c>
      <c r="K82" s="161">
        <f t="shared" si="76"/>
        <v>2919.62</v>
      </c>
      <c r="L82" s="162">
        <f t="shared" si="77"/>
        <v>3503.54</v>
      </c>
      <c r="M82" s="168" t="s">
        <v>501</v>
      </c>
    </row>
    <row r="83" spans="1:13" ht="24" customHeight="1" x14ac:dyDescent="0.25">
      <c r="A83" s="188">
        <f>A81+1</f>
        <v>38</v>
      </c>
      <c r="B83" s="195" t="s">
        <v>564</v>
      </c>
      <c r="C83" s="188" t="s">
        <v>182</v>
      </c>
      <c r="D83" s="196">
        <v>1.26</v>
      </c>
      <c r="E83" s="191">
        <v>14297.86</v>
      </c>
      <c r="F83" s="192">
        <f>ROUND(E83*D83,2)</f>
        <v>18015.3</v>
      </c>
      <c r="G83" s="192">
        <f t="shared" ref="G83" si="79">ROUND(F83*1.2,2)</f>
        <v>21618.36</v>
      </c>
      <c r="H83" s="191"/>
      <c r="I83" s="192"/>
      <c r="J83" s="192"/>
      <c r="K83" s="191">
        <f t="shared" si="76"/>
        <v>18015.3</v>
      </c>
      <c r="L83" s="192">
        <f t="shared" si="77"/>
        <v>21618.36</v>
      </c>
      <c r="M83" s="151"/>
    </row>
    <row r="84" spans="1:13" ht="24" customHeight="1" x14ac:dyDescent="0.25">
      <c r="A84" s="163" t="s">
        <v>581</v>
      </c>
      <c r="B84" s="164" t="s">
        <v>570</v>
      </c>
      <c r="C84" s="157" t="s">
        <v>219</v>
      </c>
      <c r="D84" s="162">
        <f>1.02*D83*83.29/1000</f>
        <v>0.10704430800000002</v>
      </c>
      <c r="E84" s="161"/>
      <c r="F84" s="162"/>
      <c r="G84" s="162"/>
      <c r="H84" s="161">
        <v>84550</v>
      </c>
      <c r="I84" s="162">
        <f t="shared" ref="I84" si="80">ROUND(H84*D84,2)</f>
        <v>9050.6</v>
      </c>
      <c r="J84" s="162">
        <f t="shared" ref="J84" si="81">ROUND(I84*1.2,2)</f>
        <v>10860.72</v>
      </c>
      <c r="K84" s="161">
        <f t="shared" ref="K84:K88" si="82">F84+I84</f>
        <v>9050.6</v>
      </c>
      <c r="L84" s="162">
        <f t="shared" ref="L84:L88" si="83">G84+J84</f>
        <v>10860.72</v>
      </c>
      <c r="M84" s="151"/>
    </row>
    <row r="85" spans="1:13" ht="30.75" customHeight="1" x14ac:dyDescent="0.25">
      <c r="A85" s="201">
        <f>A83+1</f>
        <v>39</v>
      </c>
      <c r="B85" s="202" t="s">
        <v>568</v>
      </c>
      <c r="C85" s="201" t="s">
        <v>207</v>
      </c>
      <c r="D85" s="206">
        <v>2</v>
      </c>
      <c r="E85" s="204">
        <v>8327.42</v>
      </c>
      <c r="F85" s="205">
        <f t="shared" ref="F85:F87" si="84">ROUND(E85*D85,2)</f>
        <v>16654.84</v>
      </c>
      <c r="G85" s="205">
        <f t="shared" ref="G85:G88" si="85">ROUND(F85*1.2,2)</f>
        <v>19985.810000000001</v>
      </c>
      <c r="H85" s="204"/>
      <c r="I85" s="205"/>
      <c r="J85" s="205"/>
      <c r="K85" s="204">
        <f t="shared" si="82"/>
        <v>16654.84</v>
      </c>
      <c r="L85" s="205">
        <f t="shared" si="83"/>
        <v>19985.810000000001</v>
      </c>
      <c r="M85" s="168"/>
    </row>
    <row r="86" spans="1:13" ht="24" customHeight="1" x14ac:dyDescent="0.25">
      <c r="A86" s="201">
        <f>A85+1</f>
        <v>40</v>
      </c>
      <c r="B86" s="202" t="s">
        <v>565</v>
      </c>
      <c r="C86" s="201" t="s">
        <v>207</v>
      </c>
      <c r="D86" s="206">
        <v>7</v>
      </c>
      <c r="E86" s="204">
        <v>8327.42</v>
      </c>
      <c r="F86" s="205">
        <f t="shared" si="84"/>
        <v>58291.94</v>
      </c>
      <c r="G86" s="205">
        <f t="shared" si="85"/>
        <v>69950.33</v>
      </c>
      <c r="H86" s="204"/>
      <c r="I86" s="205"/>
      <c r="J86" s="205"/>
      <c r="K86" s="204">
        <f t="shared" si="82"/>
        <v>58291.94</v>
      </c>
      <c r="L86" s="205">
        <f t="shared" si="83"/>
        <v>69950.33</v>
      </c>
      <c r="M86" s="168"/>
    </row>
    <row r="87" spans="1:13" ht="24" customHeight="1" x14ac:dyDescent="0.25">
      <c r="A87" s="201">
        <f t="shared" ref="A87:A88" si="86">A86+1</f>
        <v>41</v>
      </c>
      <c r="B87" s="202" t="s">
        <v>566</v>
      </c>
      <c r="C87" s="201" t="s">
        <v>207</v>
      </c>
      <c r="D87" s="206">
        <v>3</v>
      </c>
      <c r="E87" s="204">
        <v>8327.42</v>
      </c>
      <c r="F87" s="205">
        <f t="shared" si="84"/>
        <v>24982.26</v>
      </c>
      <c r="G87" s="205">
        <f t="shared" si="85"/>
        <v>29978.71</v>
      </c>
      <c r="H87" s="204"/>
      <c r="I87" s="205"/>
      <c r="J87" s="205"/>
      <c r="K87" s="204">
        <f t="shared" si="82"/>
        <v>24982.26</v>
      </c>
      <c r="L87" s="205">
        <f t="shared" si="83"/>
        <v>29978.71</v>
      </c>
      <c r="M87" s="168"/>
    </row>
    <row r="88" spans="1:13" ht="24" customHeight="1" x14ac:dyDescent="0.25">
      <c r="A88" s="188">
        <f t="shared" si="86"/>
        <v>42</v>
      </c>
      <c r="B88" s="195" t="s">
        <v>567</v>
      </c>
      <c r="C88" s="188" t="s">
        <v>182</v>
      </c>
      <c r="D88" s="196">
        <v>4.8600000000000003</v>
      </c>
      <c r="E88" s="191">
        <v>2175.65</v>
      </c>
      <c r="F88" s="192">
        <f>ROUND(E88*D88,2)</f>
        <v>10573.66</v>
      </c>
      <c r="G88" s="192">
        <f t="shared" si="85"/>
        <v>12688.39</v>
      </c>
      <c r="H88" s="191"/>
      <c r="I88" s="192"/>
      <c r="J88" s="192"/>
      <c r="K88" s="191">
        <f t="shared" si="82"/>
        <v>10573.66</v>
      </c>
      <c r="L88" s="192">
        <f t="shared" si="83"/>
        <v>12688.39</v>
      </c>
      <c r="M88" s="168"/>
    </row>
    <row r="89" spans="1:13" ht="24" customHeight="1" x14ac:dyDescent="0.25">
      <c r="A89" s="163" t="s">
        <v>485</v>
      </c>
      <c r="B89" s="164" t="s">
        <v>524</v>
      </c>
      <c r="C89" s="157" t="s">
        <v>182</v>
      </c>
      <c r="D89" s="162">
        <f>1.02*D88</f>
        <v>4.9572000000000003</v>
      </c>
      <c r="E89" s="161"/>
      <c r="F89" s="162"/>
      <c r="G89" s="162"/>
      <c r="H89" s="161">
        <v>3644.2</v>
      </c>
      <c r="I89" s="162">
        <f t="shared" ref="I89" si="87">ROUND(H89*D89,2)</f>
        <v>18065.03</v>
      </c>
      <c r="J89" s="162">
        <f t="shared" ref="J89" si="88">ROUND(I89*1.2,2)</f>
        <v>21678.04</v>
      </c>
      <c r="K89" s="161">
        <f t="shared" ref="K89:K95" si="89">F89+I89</f>
        <v>18065.03</v>
      </c>
      <c r="L89" s="162">
        <f t="shared" ref="L89:L95" si="90">G89+J89</f>
        <v>21678.04</v>
      </c>
    </row>
    <row r="90" spans="1:13" ht="24" customHeight="1" x14ac:dyDescent="0.25">
      <c r="A90" s="188">
        <f>A88+1</f>
        <v>43</v>
      </c>
      <c r="B90" s="195" t="s">
        <v>523</v>
      </c>
      <c r="C90" s="188" t="s">
        <v>182</v>
      </c>
      <c r="D90" s="207">
        <v>120</v>
      </c>
      <c r="E90" s="191">
        <v>2175.65</v>
      </c>
      <c r="F90" s="192">
        <f>ROUND(E90*D90,2)</f>
        <v>261078</v>
      </c>
      <c r="G90" s="192">
        <f t="shared" ref="G90" si="91">ROUND(F90*1.2,2)</f>
        <v>313293.59999999998</v>
      </c>
      <c r="H90" s="191"/>
      <c r="I90" s="192"/>
      <c r="J90" s="192"/>
      <c r="K90" s="191">
        <f t="shared" si="89"/>
        <v>261078</v>
      </c>
      <c r="L90" s="192">
        <f t="shared" si="90"/>
        <v>313293.59999999998</v>
      </c>
    </row>
    <row r="91" spans="1:13" ht="24" customHeight="1" x14ac:dyDescent="0.25">
      <c r="A91" s="163" t="s">
        <v>486</v>
      </c>
      <c r="B91" s="164" t="s">
        <v>524</v>
      </c>
      <c r="C91" s="157" t="s">
        <v>182</v>
      </c>
      <c r="D91" s="162">
        <f>1.02*D90</f>
        <v>122.4</v>
      </c>
      <c r="E91" s="161"/>
      <c r="F91" s="162"/>
      <c r="G91" s="162"/>
      <c r="H91" s="161">
        <v>3644.2</v>
      </c>
      <c r="I91" s="162">
        <f t="shared" ref="I91" si="92">ROUND(H91*D91,2)</f>
        <v>446050.08</v>
      </c>
      <c r="J91" s="162">
        <f t="shared" ref="J91" si="93">ROUND(I91*1.2,2)</f>
        <v>535260.1</v>
      </c>
      <c r="K91" s="161">
        <f t="shared" si="89"/>
        <v>446050.08</v>
      </c>
      <c r="L91" s="162">
        <f t="shared" si="90"/>
        <v>535260.1</v>
      </c>
    </row>
    <row r="92" spans="1:13" ht="24" customHeight="1" x14ac:dyDescent="0.25">
      <c r="A92" s="188">
        <f>A90+1</f>
        <v>44</v>
      </c>
      <c r="B92" s="195" t="s">
        <v>525</v>
      </c>
      <c r="C92" s="188" t="s">
        <v>207</v>
      </c>
      <c r="D92" s="198">
        <v>8</v>
      </c>
      <c r="E92" s="191">
        <v>4223.7</v>
      </c>
      <c r="F92" s="192">
        <f>ROUND(E92*D92,2)</f>
        <v>33789.599999999999</v>
      </c>
      <c r="G92" s="192">
        <f t="shared" ref="G92" si="94">ROUND(F92*1.2,2)</f>
        <v>40547.519999999997</v>
      </c>
      <c r="H92" s="191"/>
      <c r="I92" s="192"/>
      <c r="J92" s="192"/>
      <c r="K92" s="191">
        <f t="shared" si="89"/>
        <v>33789.599999999999</v>
      </c>
      <c r="L92" s="192">
        <f t="shared" si="90"/>
        <v>40547.519999999997</v>
      </c>
    </row>
    <row r="93" spans="1:13" ht="24" customHeight="1" x14ac:dyDescent="0.25">
      <c r="A93" s="163" t="s">
        <v>487</v>
      </c>
      <c r="B93" s="164" t="s">
        <v>526</v>
      </c>
      <c r="C93" s="157" t="s">
        <v>207</v>
      </c>
      <c r="D93" s="182">
        <v>8</v>
      </c>
      <c r="E93" s="161"/>
      <c r="F93" s="162"/>
      <c r="G93" s="162"/>
      <c r="H93" s="161">
        <v>17412.55</v>
      </c>
      <c r="I93" s="162">
        <f t="shared" ref="I93" si="95">ROUND(H93*D93,2)</f>
        <v>139300.4</v>
      </c>
      <c r="J93" s="162">
        <f t="shared" ref="J93" si="96">ROUND(I93*1.2,2)</f>
        <v>167160.48000000001</v>
      </c>
      <c r="K93" s="161">
        <f t="shared" si="89"/>
        <v>139300.4</v>
      </c>
      <c r="L93" s="162">
        <f t="shared" si="90"/>
        <v>167160.48000000001</v>
      </c>
    </row>
    <row r="94" spans="1:13" ht="24" customHeight="1" x14ac:dyDescent="0.25">
      <c r="A94" s="188">
        <f>A92+1</f>
        <v>45</v>
      </c>
      <c r="B94" s="195" t="s">
        <v>528</v>
      </c>
      <c r="C94" s="188" t="s">
        <v>204</v>
      </c>
      <c r="D94" s="207">
        <v>28</v>
      </c>
      <c r="E94" s="191">
        <v>1773.42</v>
      </c>
      <c r="F94" s="192">
        <f>ROUND(E94*D94,2)</f>
        <v>49655.76</v>
      </c>
      <c r="G94" s="192">
        <f t="shared" ref="G94" si="97">ROUND(F94*1.2,2)</f>
        <v>59586.91</v>
      </c>
      <c r="H94" s="191"/>
      <c r="I94" s="192"/>
      <c r="J94" s="192"/>
      <c r="K94" s="191">
        <f t="shared" si="89"/>
        <v>49655.76</v>
      </c>
      <c r="L94" s="192">
        <f t="shared" si="90"/>
        <v>59586.91</v>
      </c>
    </row>
    <row r="95" spans="1:13" ht="31.5" customHeight="1" x14ac:dyDescent="0.25">
      <c r="A95" s="163" t="s">
        <v>488</v>
      </c>
      <c r="B95" s="164" t="s">
        <v>527</v>
      </c>
      <c r="C95" s="157" t="s">
        <v>204</v>
      </c>
      <c r="D95" s="182">
        <v>28</v>
      </c>
      <c r="E95" s="161"/>
      <c r="F95" s="162"/>
      <c r="G95" s="162"/>
      <c r="H95" s="161">
        <v>1721.4</v>
      </c>
      <c r="I95" s="162">
        <f>ROUND(H95*D95,2)</f>
        <v>48199.199999999997</v>
      </c>
      <c r="J95" s="162">
        <f>ROUND(I95*1.2,2)</f>
        <v>57839.040000000001</v>
      </c>
      <c r="K95" s="161">
        <f t="shared" si="89"/>
        <v>48199.199999999997</v>
      </c>
      <c r="L95" s="162">
        <f t="shared" si="90"/>
        <v>57839.040000000001</v>
      </c>
    </row>
    <row r="96" spans="1:13" ht="24" customHeight="1" x14ac:dyDescent="0.25">
      <c r="A96" s="188">
        <f>A94+1</f>
        <v>46</v>
      </c>
      <c r="B96" s="195" t="s">
        <v>523</v>
      </c>
      <c r="C96" s="188" t="s">
        <v>182</v>
      </c>
      <c r="D96" s="192">
        <v>8.58</v>
      </c>
      <c r="E96" s="191">
        <v>2175.65</v>
      </c>
      <c r="F96" s="192">
        <f>ROUND(E96*D96,2)</f>
        <v>18667.080000000002</v>
      </c>
      <c r="G96" s="192">
        <f t="shared" ref="G96" si="98">ROUND(F96*1.2,2)</f>
        <v>22400.5</v>
      </c>
      <c r="H96" s="191"/>
      <c r="I96" s="192"/>
      <c r="J96" s="192"/>
      <c r="K96" s="191">
        <f t="shared" ref="K96:K110" si="99">F96+I96</f>
        <v>18667.080000000002</v>
      </c>
      <c r="L96" s="192">
        <f t="shared" ref="L96:L110" si="100">G96+J96</f>
        <v>22400.5</v>
      </c>
    </row>
    <row r="97" spans="1:13" ht="24" customHeight="1" x14ac:dyDescent="0.25">
      <c r="A97" s="163" t="s">
        <v>489</v>
      </c>
      <c r="B97" s="164" t="s">
        <v>524</v>
      </c>
      <c r="C97" s="157" t="s">
        <v>182</v>
      </c>
      <c r="D97" s="162">
        <f>1.02*D96</f>
        <v>8.7515999999999998</v>
      </c>
      <c r="E97" s="161"/>
      <c r="F97" s="162"/>
      <c r="G97" s="162"/>
      <c r="H97" s="161">
        <v>3644.2</v>
      </c>
      <c r="I97" s="162">
        <f t="shared" ref="I97" si="101">ROUND(H97*D97,2)</f>
        <v>31892.58</v>
      </c>
      <c r="J97" s="162">
        <f t="shared" ref="J97" si="102">ROUND(I97*1.2,2)</f>
        <v>38271.1</v>
      </c>
      <c r="K97" s="161">
        <f t="shared" si="99"/>
        <v>31892.58</v>
      </c>
      <c r="L97" s="162">
        <f t="shared" si="100"/>
        <v>38271.1</v>
      </c>
    </row>
    <row r="98" spans="1:13" ht="24" customHeight="1" x14ac:dyDescent="0.25">
      <c r="A98" s="188">
        <f>A96+1</f>
        <v>47</v>
      </c>
      <c r="B98" s="195" t="s">
        <v>525</v>
      </c>
      <c r="C98" s="188" t="s">
        <v>207</v>
      </c>
      <c r="D98" s="198">
        <v>6</v>
      </c>
      <c r="E98" s="191">
        <v>4223.7</v>
      </c>
      <c r="F98" s="192">
        <f>ROUND(E98*D98,2)</f>
        <v>25342.2</v>
      </c>
      <c r="G98" s="192">
        <f t="shared" ref="G98" si="103">ROUND(F98*1.2,2)</f>
        <v>30410.639999999999</v>
      </c>
      <c r="H98" s="191"/>
      <c r="I98" s="192"/>
      <c r="J98" s="192"/>
      <c r="K98" s="191">
        <f t="shared" si="99"/>
        <v>25342.2</v>
      </c>
      <c r="L98" s="192">
        <f t="shared" si="100"/>
        <v>30410.639999999999</v>
      </c>
    </row>
    <row r="99" spans="1:13" ht="24" customHeight="1" x14ac:dyDescent="0.25">
      <c r="A99" s="163" t="s">
        <v>490</v>
      </c>
      <c r="B99" s="164" t="s">
        <v>526</v>
      </c>
      <c r="C99" s="157" t="s">
        <v>207</v>
      </c>
      <c r="D99" s="182">
        <v>6</v>
      </c>
      <c r="E99" s="161"/>
      <c r="F99" s="162"/>
      <c r="G99" s="162"/>
      <c r="H99" s="161">
        <v>17412.55</v>
      </c>
      <c r="I99" s="162">
        <f t="shared" ref="I99" si="104">ROUND(H99*D99,2)</f>
        <v>104475.3</v>
      </c>
      <c r="J99" s="162">
        <f t="shared" ref="J99" si="105">ROUND(I99*1.2,2)</f>
        <v>125370.36</v>
      </c>
      <c r="K99" s="161">
        <f t="shared" si="99"/>
        <v>104475.3</v>
      </c>
      <c r="L99" s="162">
        <f t="shared" si="100"/>
        <v>125370.36</v>
      </c>
    </row>
    <row r="100" spans="1:13" ht="23.25" customHeight="1" x14ac:dyDescent="0.25">
      <c r="A100" s="201">
        <f>A98+1</f>
        <v>48</v>
      </c>
      <c r="B100" s="202" t="s">
        <v>577</v>
      </c>
      <c r="C100" s="201" t="s">
        <v>181</v>
      </c>
      <c r="D100" s="208">
        <v>0.52</v>
      </c>
      <c r="E100" s="204">
        <v>80533.5</v>
      </c>
      <c r="F100" s="205">
        <f>ROUND(E100*D100,2)</f>
        <v>41877.42</v>
      </c>
      <c r="G100" s="205">
        <f t="shared" ref="G100" si="106">ROUND(F100*1.2,2)</f>
        <v>50252.9</v>
      </c>
      <c r="H100" s="204"/>
      <c r="I100" s="205"/>
      <c r="J100" s="205"/>
      <c r="K100" s="204">
        <f t="shared" si="99"/>
        <v>41877.42</v>
      </c>
      <c r="L100" s="205">
        <f t="shared" si="100"/>
        <v>50252.9</v>
      </c>
      <c r="M100" s="168"/>
    </row>
    <row r="101" spans="1:13" ht="24" customHeight="1" x14ac:dyDescent="0.25">
      <c r="A101" s="163" t="s">
        <v>573</v>
      </c>
      <c r="B101" s="164" t="s">
        <v>538</v>
      </c>
      <c r="C101" s="157" t="s">
        <v>181</v>
      </c>
      <c r="D101" s="186">
        <v>0.52</v>
      </c>
      <c r="E101" s="161"/>
      <c r="F101" s="162"/>
      <c r="G101" s="162"/>
      <c r="H101" s="161">
        <f>ROUND(4616/1.2*1.15,2)</f>
        <v>4423.67</v>
      </c>
      <c r="I101" s="162">
        <f>ROUND(H101*D101,2)</f>
        <v>2300.31</v>
      </c>
      <c r="J101" s="162">
        <f>ROUND(I101*1.2,2)</f>
        <v>2760.37</v>
      </c>
      <c r="K101" s="161">
        <f t="shared" si="99"/>
        <v>2300.31</v>
      </c>
      <c r="L101" s="162">
        <f t="shared" si="100"/>
        <v>2760.37</v>
      </c>
      <c r="M101" s="168" t="s">
        <v>501</v>
      </c>
    </row>
    <row r="102" spans="1:13" ht="24" customHeight="1" x14ac:dyDescent="0.25">
      <c r="A102" s="163" t="s">
        <v>573</v>
      </c>
      <c r="B102" s="164" t="s">
        <v>593</v>
      </c>
      <c r="C102" s="157" t="s">
        <v>219</v>
      </c>
      <c r="D102" s="183">
        <f>(3.14*(0.159+0.08*2)*8.58)*6.48/1000</f>
        <v>5.5690693344000002E-2</v>
      </c>
      <c r="E102" s="161"/>
      <c r="F102" s="162"/>
      <c r="G102" s="162"/>
      <c r="H102" s="161">
        <f>ROUND(105190/1.2*1.15,2)</f>
        <v>100807.08</v>
      </c>
      <c r="I102" s="162">
        <f>ROUND(H102*D102,2)</f>
        <v>5614.02</v>
      </c>
      <c r="J102" s="162">
        <f>ROUND(I102*1.2,2)</f>
        <v>6736.82</v>
      </c>
      <c r="K102" s="161">
        <f t="shared" ref="K102" si="107">F102+I102</f>
        <v>5614.02</v>
      </c>
      <c r="L102" s="162">
        <f t="shared" ref="L102" si="108">G102+J102</f>
        <v>6736.82</v>
      </c>
      <c r="M102" s="168"/>
    </row>
    <row r="103" spans="1:13" ht="23.25" customHeight="1" x14ac:dyDescent="0.25">
      <c r="A103" s="201">
        <f>A100+1</f>
        <v>49</v>
      </c>
      <c r="B103" s="202" t="s">
        <v>578</v>
      </c>
      <c r="C103" s="201" t="s">
        <v>181</v>
      </c>
      <c r="D103" s="208">
        <f>0.082*6</f>
        <v>0.49199999999999999</v>
      </c>
      <c r="E103" s="204">
        <v>80533.5</v>
      </c>
      <c r="F103" s="205">
        <f>ROUND(E103*D103,2)</f>
        <v>39622.480000000003</v>
      </c>
      <c r="G103" s="205">
        <f t="shared" ref="G103" si="109">ROUND(F103*1.2,2)</f>
        <v>47546.98</v>
      </c>
      <c r="H103" s="204"/>
      <c r="I103" s="205"/>
      <c r="J103" s="205"/>
      <c r="K103" s="204">
        <f t="shared" ref="K103:K105" si="110">F103+I103</f>
        <v>39622.480000000003</v>
      </c>
      <c r="L103" s="205">
        <f t="shared" ref="L103:L105" si="111">G103+J103</f>
        <v>47546.98</v>
      </c>
      <c r="M103" s="168"/>
    </row>
    <row r="104" spans="1:13" ht="24" customHeight="1" x14ac:dyDescent="0.25">
      <c r="A104" s="163" t="s">
        <v>582</v>
      </c>
      <c r="B104" s="164" t="s">
        <v>538</v>
      </c>
      <c r="C104" s="157" t="s">
        <v>181</v>
      </c>
      <c r="D104" s="186">
        <f>0.082*6</f>
        <v>0.49199999999999999</v>
      </c>
      <c r="E104" s="159"/>
      <c r="F104" s="162"/>
      <c r="G104" s="162"/>
      <c r="H104" s="161">
        <f>ROUND(4616/1.2*1.15,2)</f>
        <v>4423.67</v>
      </c>
      <c r="I104" s="162">
        <f>ROUND(H104*D104,2)</f>
        <v>2176.4499999999998</v>
      </c>
      <c r="J104" s="162">
        <f>ROUND(I104*1.2,2)</f>
        <v>2611.7399999999998</v>
      </c>
      <c r="K104" s="161">
        <f t="shared" si="110"/>
        <v>2176.4499999999998</v>
      </c>
      <c r="L104" s="162">
        <f t="shared" si="111"/>
        <v>2611.7399999999998</v>
      </c>
      <c r="M104" s="168" t="s">
        <v>501</v>
      </c>
    </row>
    <row r="105" spans="1:13" ht="24" customHeight="1" x14ac:dyDescent="0.25">
      <c r="A105" s="163" t="s">
        <v>583</v>
      </c>
      <c r="B105" s="164" t="s">
        <v>593</v>
      </c>
      <c r="C105" s="157" t="s">
        <v>219</v>
      </c>
      <c r="D105" s="186">
        <f>2.5*6/1000</f>
        <v>1.4999999999999999E-2</v>
      </c>
      <c r="E105" s="159"/>
      <c r="F105" s="162"/>
      <c r="G105" s="162"/>
      <c r="H105" s="161">
        <f>ROUND(105190/1.2*1.15,2)</f>
        <v>100807.08</v>
      </c>
      <c r="I105" s="162">
        <f>ROUND(H105*D105,2)</f>
        <v>1512.11</v>
      </c>
      <c r="J105" s="162">
        <f>ROUND(I105*1.2,2)</f>
        <v>1814.53</v>
      </c>
      <c r="K105" s="161">
        <f t="shared" si="110"/>
        <v>1512.11</v>
      </c>
      <c r="L105" s="162">
        <f t="shared" si="111"/>
        <v>1814.53</v>
      </c>
      <c r="M105" s="168"/>
    </row>
    <row r="106" spans="1:13" ht="18.75" customHeight="1" x14ac:dyDescent="0.25">
      <c r="A106" s="200">
        <f>A103+1</f>
        <v>50</v>
      </c>
      <c r="B106" s="189" t="s">
        <v>557</v>
      </c>
      <c r="C106" s="188" t="s">
        <v>235</v>
      </c>
      <c r="D106" s="190">
        <v>11.45</v>
      </c>
      <c r="E106" s="191">
        <v>144.4</v>
      </c>
      <c r="F106" s="192">
        <f>ROUND(E106*D106,2)</f>
        <v>1653.38</v>
      </c>
      <c r="G106" s="192">
        <f>ROUND(F106*1.2,2)</f>
        <v>1984.06</v>
      </c>
      <c r="H106" s="191"/>
      <c r="I106" s="192"/>
      <c r="J106" s="192"/>
      <c r="K106" s="191">
        <f t="shared" si="99"/>
        <v>1653.38</v>
      </c>
      <c r="L106" s="192">
        <f t="shared" si="100"/>
        <v>1984.06</v>
      </c>
      <c r="M106" s="168" t="s">
        <v>558</v>
      </c>
    </row>
    <row r="107" spans="1:13" ht="18.75" customHeight="1" x14ac:dyDescent="0.25">
      <c r="A107" s="163" t="s">
        <v>584</v>
      </c>
      <c r="B107" s="164" t="s">
        <v>559</v>
      </c>
      <c r="C107" s="157" t="s">
        <v>220</v>
      </c>
      <c r="D107" s="167">
        <f>D106*0.15</f>
        <v>1.7174999999999998</v>
      </c>
      <c r="E107" s="161"/>
      <c r="F107" s="162"/>
      <c r="G107" s="162"/>
      <c r="H107" s="161">
        <v>149.15</v>
      </c>
      <c r="I107" s="162">
        <f>ROUND(H107*D107,2)</f>
        <v>256.17</v>
      </c>
      <c r="J107" s="162">
        <f>ROUND(I107*1.2,2)</f>
        <v>307.39999999999998</v>
      </c>
      <c r="K107" s="161">
        <f t="shared" si="99"/>
        <v>256.17</v>
      </c>
      <c r="L107" s="162">
        <f t="shared" si="100"/>
        <v>307.39999999999998</v>
      </c>
    </row>
    <row r="108" spans="1:13" ht="18.75" customHeight="1" x14ac:dyDescent="0.25">
      <c r="A108" s="188">
        <f>A106+1</f>
        <v>51</v>
      </c>
      <c r="B108" s="189" t="s">
        <v>560</v>
      </c>
      <c r="C108" s="188" t="s">
        <v>235</v>
      </c>
      <c r="D108" s="190">
        <v>11.45</v>
      </c>
      <c r="E108" s="191">
        <f>144.4*2</f>
        <v>288.8</v>
      </c>
      <c r="F108" s="192">
        <f>ROUND(E108*D108,2)</f>
        <v>3306.76</v>
      </c>
      <c r="G108" s="192">
        <f>ROUND(F108*1.2,2)</f>
        <v>3968.11</v>
      </c>
      <c r="H108" s="191"/>
      <c r="I108" s="192"/>
      <c r="J108" s="192"/>
      <c r="K108" s="191">
        <f t="shared" si="99"/>
        <v>3306.76</v>
      </c>
      <c r="L108" s="192">
        <f t="shared" si="100"/>
        <v>3968.11</v>
      </c>
      <c r="M108" s="168" t="s">
        <v>558</v>
      </c>
    </row>
    <row r="109" spans="1:13" ht="18.75" customHeight="1" x14ac:dyDescent="0.25">
      <c r="A109" s="163" t="s">
        <v>585</v>
      </c>
      <c r="B109" s="164" t="s">
        <v>561</v>
      </c>
      <c r="C109" s="157" t="s">
        <v>220</v>
      </c>
      <c r="D109" s="167">
        <f>D108*0.32</f>
        <v>3.6639999999999997</v>
      </c>
      <c r="E109" s="161"/>
      <c r="F109" s="162"/>
      <c r="G109" s="162"/>
      <c r="H109" s="161">
        <v>165.3</v>
      </c>
      <c r="I109" s="162">
        <f>ROUND(H109*D109,2)</f>
        <v>605.66</v>
      </c>
      <c r="J109" s="162">
        <f>ROUND(I109*1.2,2)</f>
        <v>726.79</v>
      </c>
      <c r="K109" s="161">
        <f t="shared" si="99"/>
        <v>605.66</v>
      </c>
      <c r="L109" s="162">
        <f t="shared" si="100"/>
        <v>726.79</v>
      </c>
    </row>
    <row r="110" spans="1:13" ht="24" customHeight="1" x14ac:dyDescent="0.25">
      <c r="A110" s="188">
        <f>A108+1</f>
        <v>52</v>
      </c>
      <c r="B110" s="195" t="s">
        <v>529</v>
      </c>
      <c r="C110" s="188" t="s">
        <v>207</v>
      </c>
      <c r="D110" s="207">
        <v>38</v>
      </c>
      <c r="E110" s="191">
        <v>10239.1</v>
      </c>
      <c r="F110" s="192">
        <f>ROUND(E110*D110,2)</f>
        <v>389085.8</v>
      </c>
      <c r="G110" s="192">
        <f t="shared" ref="G110" si="112">ROUND(F110*1.2,2)</f>
        <v>466902.96</v>
      </c>
      <c r="H110" s="191"/>
      <c r="I110" s="192"/>
      <c r="J110" s="192"/>
      <c r="K110" s="191">
        <f t="shared" si="99"/>
        <v>389085.8</v>
      </c>
      <c r="L110" s="192">
        <f t="shared" si="100"/>
        <v>466902.96</v>
      </c>
    </row>
    <row r="111" spans="1:13" ht="24" customHeight="1" x14ac:dyDescent="0.25">
      <c r="A111" s="201">
        <f>A110+1</f>
        <v>53</v>
      </c>
      <c r="B111" s="202" t="s">
        <v>603</v>
      </c>
      <c r="C111" s="201" t="s">
        <v>574</v>
      </c>
      <c r="D111" s="206">
        <v>2</v>
      </c>
      <c r="E111" s="204">
        <v>12366.64</v>
      </c>
      <c r="F111" s="205">
        <f>ROUND(E111*D111,2)</f>
        <v>24733.279999999999</v>
      </c>
      <c r="G111" s="205">
        <f t="shared" ref="G111" si="113">ROUND(F111*1.2,2)</f>
        <v>29679.94</v>
      </c>
      <c r="H111" s="204"/>
      <c r="I111" s="205"/>
      <c r="J111" s="205"/>
      <c r="K111" s="204">
        <f t="shared" ref="K111" si="114">F111+I111</f>
        <v>24733.279999999999</v>
      </c>
      <c r="L111" s="205">
        <f t="shared" ref="L111" si="115">G111+J111</f>
        <v>29679.94</v>
      </c>
      <c r="M111" s="168" t="s">
        <v>604</v>
      </c>
    </row>
    <row r="112" spans="1:13" ht="18" customHeight="1" x14ac:dyDescent="0.25">
      <c r="A112" s="68"/>
      <c r="B112" s="187" t="s">
        <v>586</v>
      </c>
      <c r="C112" s="56"/>
      <c r="D112" s="58"/>
      <c r="E112" s="138"/>
      <c r="F112" s="144"/>
      <c r="G112" s="144"/>
      <c r="H112" s="138"/>
      <c r="I112" s="160"/>
      <c r="J112" s="160"/>
      <c r="K112" s="155"/>
      <c r="L112" s="160"/>
      <c r="M112" s="168"/>
    </row>
    <row r="113" spans="1:13" ht="27" customHeight="1" x14ac:dyDescent="0.25">
      <c r="A113" s="188">
        <f>A111+1</f>
        <v>54</v>
      </c>
      <c r="B113" s="195" t="s">
        <v>587</v>
      </c>
      <c r="C113" s="188" t="s">
        <v>207</v>
      </c>
      <c r="D113" s="207">
        <v>2</v>
      </c>
      <c r="E113" s="191">
        <v>3159.94</v>
      </c>
      <c r="F113" s="192">
        <f>ROUND(E113*D113,2)</f>
        <v>6319.88</v>
      </c>
      <c r="G113" s="192">
        <f>ROUND(F113*1.2,2)</f>
        <v>7583.86</v>
      </c>
      <c r="H113" s="191"/>
      <c r="I113" s="192"/>
      <c r="J113" s="192"/>
      <c r="K113" s="191">
        <f t="shared" ref="K113:L122" si="116">F113+I113</f>
        <v>6319.88</v>
      </c>
      <c r="L113" s="192">
        <f t="shared" si="116"/>
        <v>7583.86</v>
      </c>
    </row>
    <row r="114" spans="1:13" ht="18" customHeight="1" x14ac:dyDescent="0.25">
      <c r="A114" s="163" t="s">
        <v>596</v>
      </c>
      <c r="B114" s="164" t="s">
        <v>588</v>
      </c>
      <c r="C114" s="157" t="s">
        <v>207</v>
      </c>
      <c r="D114" s="182">
        <v>2</v>
      </c>
      <c r="E114" s="161"/>
      <c r="F114" s="162"/>
      <c r="G114" s="162"/>
      <c r="H114" s="161">
        <v>45970.5</v>
      </c>
      <c r="I114" s="162">
        <f>ROUND(H114*D114,2)</f>
        <v>91941</v>
      </c>
      <c r="J114" s="162">
        <f>ROUND(I114*1.2,2)</f>
        <v>110329.2</v>
      </c>
      <c r="K114" s="161">
        <f t="shared" si="116"/>
        <v>91941</v>
      </c>
      <c r="L114" s="162">
        <f t="shared" si="116"/>
        <v>110329.2</v>
      </c>
    </row>
    <row r="115" spans="1:13" ht="32.25" customHeight="1" x14ac:dyDescent="0.25">
      <c r="A115" s="209">
        <f>A113+1</f>
        <v>55</v>
      </c>
      <c r="B115" s="202" t="s">
        <v>594</v>
      </c>
      <c r="C115" s="201" t="s">
        <v>207</v>
      </c>
      <c r="D115" s="210">
        <v>2</v>
      </c>
      <c r="E115" s="204">
        <v>4129.6499999999996</v>
      </c>
      <c r="F115" s="205">
        <f>ROUND(E115*D115,2)</f>
        <v>8259.2999999999993</v>
      </c>
      <c r="G115" s="205">
        <f>ROUND(F115*1.2,2)</f>
        <v>9911.16</v>
      </c>
      <c r="H115" s="204"/>
      <c r="I115" s="205"/>
      <c r="J115" s="205"/>
      <c r="K115" s="204">
        <f t="shared" ref="K115:K118" si="117">F115+I115</f>
        <v>8259.2999999999993</v>
      </c>
      <c r="L115" s="205">
        <f t="shared" ref="L115:L118" si="118">G115+J115</f>
        <v>9911.16</v>
      </c>
    </row>
    <row r="116" spans="1:13" ht="22.5" customHeight="1" x14ac:dyDescent="0.25">
      <c r="A116" s="163" t="s">
        <v>597</v>
      </c>
      <c r="B116" s="164" t="s">
        <v>595</v>
      </c>
      <c r="C116" s="157" t="s">
        <v>207</v>
      </c>
      <c r="D116" s="182">
        <v>2</v>
      </c>
      <c r="E116" s="161"/>
      <c r="F116" s="162"/>
      <c r="G116" s="162"/>
      <c r="H116" s="161">
        <f>10083.33*1.25</f>
        <v>12604.1625</v>
      </c>
      <c r="I116" s="162">
        <f>ROUND(H116*D116,2)</f>
        <v>25208.33</v>
      </c>
      <c r="J116" s="162">
        <f>ROUND(I116*1.2,2)</f>
        <v>30250</v>
      </c>
      <c r="K116" s="161">
        <f t="shared" si="117"/>
        <v>25208.33</v>
      </c>
      <c r="L116" s="162">
        <f t="shared" si="118"/>
        <v>30250</v>
      </c>
      <c r="M116" s="168" t="s">
        <v>501</v>
      </c>
    </row>
    <row r="117" spans="1:13" ht="30.75" customHeight="1" x14ac:dyDescent="0.25">
      <c r="A117" s="188">
        <f>A115+1</f>
        <v>56</v>
      </c>
      <c r="B117" s="195" t="s">
        <v>591</v>
      </c>
      <c r="C117" s="188" t="s">
        <v>207</v>
      </c>
      <c r="D117" s="207">
        <v>2</v>
      </c>
      <c r="E117" s="191">
        <v>1115.54</v>
      </c>
      <c r="F117" s="192">
        <f>ROUND(E117*D117,2)</f>
        <v>2231.08</v>
      </c>
      <c r="G117" s="192">
        <f>ROUND(F117*1.2,2)</f>
        <v>2677.3</v>
      </c>
      <c r="H117" s="191"/>
      <c r="I117" s="192"/>
      <c r="J117" s="192"/>
      <c r="K117" s="191">
        <f t="shared" si="117"/>
        <v>2231.08</v>
      </c>
      <c r="L117" s="192">
        <f t="shared" si="118"/>
        <v>2677.3</v>
      </c>
    </row>
    <row r="118" spans="1:13" ht="18" customHeight="1" x14ac:dyDescent="0.25">
      <c r="A118" s="163" t="s">
        <v>598</v>
      </c>
      <c r="B118" s="164" t="s">
        <v>592</v>
      </c>
      <c r="C118" s="157" t="s">
        <v>207</v>
      </c>
      <c r="D118" s="182">
        <v>2</v>
      </c>
      <c r="E118" s="159"/>
      <c r="F118" s="162"/>
      <c r="G118" s="162"/>
      <c r="H118" s="161">
        <v>3895</v>
      </c>
      <c r="I118" s="162">
        <f>ROUND(H118*D118,2)</f>
        <v>7790</v>
      </c>
      <c r="J118" s="162">
        <f>ROUND(I118*1.2,2)</f>
        <v>9348</v>
      </c>
      <c r="K118" s="161">
        <f t="shared" si="117"/>
        <v>7790</v>
      </c>
      <c r="L118" s="162">
        <f t="shared" si="118"/>
        <v>9348</v>
      </c>
    </row>
    <row r="119" spans="1:13" ht="31.5" customHeight="1" x14ac:dyDescent="0.25">
      <c r="A119" s="209">
        <f>A117+1</f>
        <v>57</v>
      </c>
      <c r="B119" s="202" t="s">
        <v>599</v>
      </c>
      <c r="C119" s="201" t="s">
        <v>207</v>
      </c>
      <c r="D119" s="210">
        <v>2</v>
      </c>
      <c r="E119" s="204">
        <v>4129.6499999999996</v>
      </c>
      <c r="F119" s="205">
        <f>ROUND(E119*D119,2)</f>
        <v>8259.2999999999993</v>
      </c>
      <c r="G119" s="205">
        <f>ROUND(F119*1.2,2)</f>
        <v>9911.16</v>
      </c>
      <c r="H119" s="204"/>
      <c r="I119" s="205"/>
      <c r="J119" s="205"/>
      <c r="K119" s="204">
        <f t="shared" ref="K119:K120" si="119">F119+I119</f>
        <v>8259.2999999999993</v>
      </c>
      <c r="L119" s="205">
        <f t="shared" ref="L119:L120" si="120">G119+J119</f>
        <v>9911.16</v>
      </c>
    </row>
    <row r="120" spans="1:13" ht="30" x14ac:dyDescent="0.25">
      <c r="A120" s="163" t="s">
        <v>601</v>
      </c>
      <c r="B120" s="164" t="s">
        <v>600</v>
      </c>
      <c r="C120" s="157" t="s">
        <v>207</v>
      </c>
      <c r="D120" s="182">
        <v>2</v>
      </c>
      <c r="E120" s="161"/>
      <c r="F120" s="162"/>
      <c r="G120" s="162"/>
      <c r="H120" s="161">
        <f>9041.67*1.25</f>
        <v>11302.0875</v>
      </c>
      <c r="I120" s="162">
        <f>ROUND(H120*D120,2)</f>
        <v>22604.18</v>
      </c>
      <c r="J120" s="162">
        <f>ROUND(I120*1.2,2)</f>
        <v>27125.02</v>
      </c>
      <c r="K120" s="161">
        <f t="shared" si="119"/>
        <v>22604.18</v>
      </c>
      <c r="L120" s="162">
        <f t="shared" si="120"/>
        <v>27125.02</v>
      </c>
      <c r="M120" s="168" t="s">
        <v>501</v>
      </c>
    </row>
    <row r="121" spans="1:13" ht="27.75" customHeight="1" x14ac:dyDescent="0.25">
      <c r="A121" s="188">
        <f>A119+1</f>
        <v>58</v>
      </c>
      <c r="B121" s="195" t="s">
        <v>589</v>
      </c>
      <c r="C121" s="188" t="s">
        <v>207</v>
      </c>
      <c r="D121" s="207">
        <v>2</v>
      </c>
      <c r="E121" s="191">
        <v>7298.85</v>
      </c>
      <c r="F121" s="192">
        <f>ROUND(E121*D121,2)</f>
        <v>14597.7</v>
      </c>
      <c r="G121" s="192">
        <f>ROUND(F121*1.2,2)</f>
        <v>17517.240000000002</v>
      </c>
      <c r="H121" s="191"/>
      <c r="I121" s="192"/>
      <c r="J121" s="192"/>
      <c r="K121" s="191">
        <f t="shared" si="116"/>
        <v>14597.7</v>
      </c>
      <c r="L121" s="192">
        <f t="shared" si="116"/>
        <v>17517.240000000002</v>
      </c>
      <c r="M121" s="168" t="s">
        <v>558</v>
      </c>
    </row>
    <row r="122" spans="1:13" ht="18" customHeight="1" x14ac:dyDescent="0.25">
      <c r="A122" s="163" t="s">
        <v>602</v>
      </c>
      <c r="B122" s="164" t="s">
        <v>590</v>
      </c>
      <c r="C122" s="157" t="s">
        <v>207</v>
      </c>
      <c r="D122" s="182">
        <v>2</v>
      </c>
      <c r="E122" s="161"/>
      <c r="F122" s="162"/>
      <c r="G122" s="162"/>
      <c r="H122" s="161">
        <v>8930</v>
      </c>
      <c r="I122" s="162">
        <f>ROUND(H122*D122,2)</f>
        <v>17860</v>
      </c>
      <c r="J122" s="162">
        <f>ROUND(I122*1.2,2)</f>
        <v>21432</v>
      </c>
      <c r="K122" s="161">
        <f t="shared" si="116"/>
        <v>17860</v>
      </c>
      <c r="L122" s="162">
        <f t="shared" si="116"/>
        <v>21432</v>
      </c>
    </row>
    <row r="123" spans="1:13" ht="15.75" x14ac:dyDescent="0.25">
      <c r="A123" s="222" t="s">
        <v>243</v>
      </c>
      <c r="B123" s="223"/>
      <c r="C123" s="223"/>
      <c r="D123" s="223"/>
      <c r="E123" s="224"/>
      <c r="F123" s="152">
        <f>SUM(F7:F111)</f>
        <v>2416845.8099999991</v>
      </c>
      <c r="G123" s="184">
        <f>ROUND(F123*1.2,2)</f>
        <v>2900214.97</v>
      </c>
      <c r="I123" s="152">
        <f>SUM(I7:I111)</f>
        <v>2036851.25</v>
      </c>
      <c r="J123" s="184">
        <f>ROUND(I123*1.2,2)</f>
        <v>2444221.5</v>
      </c>
      <c r="K123" s="152">
        <f>SUM(K7:K111)</f>
        <v>4453697.0599999987</v>
      </c>
      <c r="L123" s="184">
        <f>ROUND(K123*1.2,2)</f>
        <v>5344436.47</v>
      </c>
    </row>
    <row r="125" spans="1:13" x14ac:dyDescent="0.25">
      <c r="B125" s="211" t="s">
        <v>606</v>
      </c>
    </row>
    <row r="126" spans="1:13" x14ac:dyDescent="0.25">
      <c r="B126" s="212" t="s">
        <v>607</v>
      </c>
    </row>
  </sheetData>
  <mergeCells count="10">
    <mergeCell ref="B6:D6"/>
    <mergeCell ref="A123:E123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H21"/>
  <sheetViews>
    <sheetView view="pageBreakPreview" zoomScale="90" zoomScaleNormal="100" zoomScaleSheetLayoutView="90" workbookViewId="0">
      <selection activeCell="A20" sqref="A20:G21"/>
    </sheetView>
  </sheetViews>
  <sheetFormatPr defaultRowHeight="15" x14ac:dyDescent="0.25"/>
  <cols>
    <col min="1" max="1" width="6.140625" customWidth="1"/>
    <col min="2" max="2" width="61.5703125" customWidth="1"/>
    <col min="5" max="5" width="11.28515625" bestFit="1" customWidth="1"/>
    <col min="6" max="6" width="14" style="14" customWidth="1"/>
    <col min="7" max="7" width="13.7109375" style="14" customWidth="1"/>
    <col min="8" max="8" width="14.28515625" bestFit="1" customWidth="1"/>
  </cols>
  <sheetData>
    <row r="1" spans="1:7" s="1" customFormat="1" x14ac:dyDescent="0.25">
      <c r="A1" s="243" t="s">
        <v>187</v>
      </c>
      <c r="B1" s="243" t="s">
        <v>214</v>
      </c>
      <c r="C1" s="243" t="s">
        <v>225</v>
      </c>
      <c r="D1" s="243" t="s">
        <v>189</v>
      </c>
      <c r="E1" s="242" t="s">
        <v>258</v>
      </c>
      <c r="F1" s="242"/>
      <c r="G1" s="242"/>
    </row>
    <row r="2" spans="1:7" ht="25.5" x14ac:dyDescent="0.25">
      <c r="A2" s="243"/>
      <c r="B2" s="243"/>
      <c r="C2" s="243"/>
      <c r="D2" s="243"/>
      <c r="E2" s="71" t="s">
        <v>226</v>
      </c>
      <c r="F2" s="85" t="s">
        <v>242</v>
      </c>
      <c r="G2" s="86" t="s">
        <v>224</v>
      </c>
    </row>
    <row r="3" spans="1:7" ht="12.75" customHeight="1" x14ac:dyDescent="0.25">
      <c r="A3" s="119">
        <v>1</v>
      </c>
      <c r="B3" s="120">
        <v>2</v>
      </c>
      <c r="C3" s="120">
        <v>3</v>
      </c>
      <c r="D3" s="120">
        <v>4</v>
      </c>
      <c r="E3" s="120">
        <v>5</v>
      </c>
      <c r="F3" s="120">
        <v>6</v>
      </c>
      <c r="G3" s="120">
        <v>7</v>
      </c>
    </row>
    <row r="4" spans="1:7" ht="14.45" customHeight="1" x14ac:dyDescent="0.25">
      <c r="A4" s="240" t="s">
        <v>263</v>
      </c>
      <c r="B4" s="241"/>
      <c r="C4" s="93"/>
      <c r="D4" s="94"/>
      <c r="E4" s="93"/>
      <c r="F4" s="93"/>
      <c r="G4" s="95"/>
    </row>
    <row r="5" spans="1:7" x14ac:dyDescent="0.25">
      <c r="A5" s="81">
        <v>1</v>
      </c>
      <c r="B5" s="82" t="s">
        <v>230</v>
      </c>
      <c r="C5" s="82" t="s">
        <v>178</v>
      </c>
      <c r="D5" s="91">
        <v>2</v>
      </c>
      <c r="E5" s="76">
        <v>109572</v>
      </c>
      <c r="F5" s="76">
        <f>ROUND(E5*D5,2)</f>
        <v>219144</v>
      </c>
      <c r="G5" s="76">
        <f>ROUND(F5*1.2,2)</f>
        <v>262972.79999999999</v>
      </c>
    </row>
    <row r="6" spans="1:7" x14ac:dyDescent="0.25">
      <c r="A6" s="81">
        <f>A5+1</f>
        <v>2</v>
      </c>
      <c r="B6" s="82" t="s">
        <v>239</v>
      </c>
      <c r="C6" s="82" t="s">
        <v>182</v>
      </c>
      <c r="D6" s="90">
        <v>8.5</v>
      </c>
      <c r="E6" s="76">
        <v>4200</v>
      </c>
      <c r="F6" s="76">
        <f>ROUND(E6*D6,2)</f>
        <v>35700</v>
      </c>
      <c r="G6" s="76">
        <f>ROUND(F6*1.2,2)</f>
        <v>42840</v>
      </c>
    </row>
    <row r="7" spans="1:7" x14ac:dyDescent="0.25">
      <c r="A7" s="81">
        <f>A6+1</f>
        <v>3</v>
      </c>
      <c r="B7" s="82" t="s">
        <v>229</v>
      </c>
      <c r="C7" s="82" t="s">
        <v>182</v>
      </c>
      <c r="D7" s="91">
        <v>110</v>
      </c>
      <c r="E7" s="76">
        <f>ROUND(2315*0.9,2)</f>
        <v>2083.5</v>
      </c>
      <c r="F7" s="76">
        <f>ROUND(E7*D7,2)</f>
        <v>229185</v>
      </c>
      <c r="G7" s="76">
        <f>ROUND(F7*1.2,2)</f>
        <v>275022</v>
      </c>
    </row>
    <row r="8" spans="1:7" ht="14.45" customHeight="1" x14ac:dyDescent="0.25">
      <c r="A8" s="240" t="s">
        <v>194</v>
      </c>
      <c r="B8" s="241"/>
      <c r="C8" s="93"/>
      <c r="D8" s="94"/>
      <c r="E8" s="93"/>
      <c r="F8" s="93"/>
      <c r="G8" s="95"/>
    </row>
    <row r="9" spans="1:7" x14ac:dyDescent="0.25">
      <c r="A9" s="81">
        <f>A7+1</f>
        <v>4</v>
      </c>
      <c r="B9" s="82" t="s">
        <v>232</v>
      </c>
      <c r="C9" s="82" t="s">
        <v>181</v>
      </c>
      <c r="D9" s="89">
        <v>146.52000000000001</v>
      </c>
      <c r="E9" s="76">
        <f>ROUND(1380*0.9,2)</f>
        <v>1242</v>
      </c>
      <c r="F9" s="76">
        <f t="shared" ref="F9:F14" si="0">ROUND(E9*D9,2)</f>
        <v>181977.84</v>
      </c>
      <c r="G9" s="76">
        <f t="shared" ref="G9:G14" si="1">ROUND(F9*1.2,2)</f>
        <v>218373.41</v>
      </c>
    </row>
    <row r="10" spans="1:7" ht="30" x14ac:dyDescent="0.25">
      <c r="A10" s="81">
        <f>A9+1</f>
        <v>5</v>
      </c>
      <c r="B10" s="82" t="s">
        <v>233</v>
      </c>
      <c r="C10" s="82" t="s">
        <v>181</v>
      </c>
      <c r="D10" s="89">
        <v>704.98</v>
      </c>
      <c r="E10" s="76">
        <f>ROUND(5165*0.9,2)</f>
        <v>4648.5</v>
      </c>
      <c r="F10" s="76">
        <f t="shared" si="0"/>
        <v>3277099.53</v>
      </c>
      <c r="G10" s="76">
        <f t="shared" si="1"/>
        <v>3932519.44</v>
      </c>
    </row>
    <row r="11" spans="1:7" x14ac:dyDescent="0.25">
      <c r="A11" s="81">
        <f t="shared" ref="A11:A14" si="2">A10+1</f>
        <v>6</v>
      </c>
      <c r="B11" s="82" t="s">
        <v>234</v>
      </c>
      <c r="C11" s="82" t="s">
        <v>235</v>
      </c>
      <c r="D11" s="89">
        <v>226</v>
      </c>
      <c r="E11" s="76">
        <f>ROUND(325*0.9,2)</f>
        <v>292.5</v>
      </c>
      <c r="F11" s="76">
        <f t="shared" si="0"/>
        <v>66105</v>
      </c>
      <c r="G11" s="76">
        <f t="shared" si="1"/>
        <v>79326</v>
      </c>
    </row>
    <row r="12" spans="1:7" x14ac:dyDescent="0.25">
      <c r="A12" s="81">
        <f t="shared" si="2"/>
        <v>7</v>
      </c>
      <c r="B12" s="82" t="s">
        <v>236</v>
      </c>
      <c r="C12" s="82" t="s">
        <v>235</v>
      </c>
      <c r="D12" s="89">
        <v>73.2</v>
      </c>
      <c r="E12" s="76">
        <f t="shared" ref="E12:E14" si="3">ROUND(325*0.9,2)</f>
        <v>292.5</v>
      </c>
      <c r="F12" s="76">
        <f t="shared" si="0"/>
        <v>21411</v>
      </c>
      <c r="G12" s="76">
        <f t="shared" si="1"/>
        <v>25693.200000000001</v>
      </c>
    </row>
    <row r="13" spans="1:7" x14ac:dyDescent="0.25">
      <c r="A13" s="81">
        <f t="shared" si="2"/>
        <v>8</v>
      </c>
      <c r="B13" s="82" t="s">
        <v>240</v>
      </c>
      <c r="C13" s="82" t="s">
        <v>235</v>
      </c>
      <c r="D13" s="89">
        <v>861.3</v>
      </c>
      <c r="E13" s="76">
        <f t="shared" si="3"/>
        <v>292.5</v>
      </c>
      <c r="F13" s="76">
        <f t="shared" si="0"/>
        <v>251930.25</v>
      </c>
      <c r="G13" s="76">
        <f t="shared" si="1"/>
        <v>302316.3</v>
      </c>
    </row>
    <row r="14" spans="1:7" x14ac:dyDescent="0.25">
      <c r="A14" s="81">
        <f t="shared" si="2"/>
        <v>9</v>
      </c>
      <c r="B14" s="82" t="s">
        <v>241</v>
      </c>
      <c r="C14" s="82" t="s">
        <v>235</v>
      </c>
      <c r="D14" s="89">
        <v>475.92</v>
      </c>
      <c r="E14" s="76">
        <f t="shared" si="3"/>
        <v>292.5</v>
      </c>
      <c r="F14" s="76">
        <f t="shared" si="0"/>
        <v>139206.6</v>
      </c>
      <c r="G14" s="76">
        <f t="shared" si="1"/>
        <v>167047.92000000001</v>
      </c>
    </row>
    <row r="15" spans="1:7" ht="14.45" customHeight="1" x14ac:dyDescent="0.25">
      <c r="A15" s="240" t="s">
        <v>227</v>
      </c>
      <c r="B15" s="241"/>
      <c r="C15" s="93"/>
      <c r="D15" s="94"/>
      <c r="E15" s="93"/>
      <c r="F15" s="93"/>
      <c r="G15" s="95"/>
    </row>
    <row r="16" spans="1:7" x14ac:dyDescent="0.25">
      <c r="A16" s="81">
        <f>A14+1</f>
        <v>10</v>
      </c>
      <c r="B16" s="82" t="s">
        <v>231</v>
      </c>
      <c r="C16" s="82" t="s">
        <v>181</v>
      </c>
      <c r="D16" s="89">
        <v>549.42999999999995</v>
      </c>
      <c r="E16" s="76">
        <f>ROUND(1610.8*0.9,2)</f>
        <v>1449.72</v>
      </c>
      <c r="F16" s="76">
        <f>ROUND(E16*D16,2)</f>
        <v>796519.66</v>
      </c>
      <c r="G16" s="76">
        <f>ROUND(F16*1.2,2)</f>
        <v>955823.59</v>
      </c>
    </row>
    <row r="17" spans="1:8" ht="45" x14ac:dyDescent="0.25">
      <c r="A17" s="81">
        <f>A16+1</f>
        <v>11</v>
      </c>
      <c r="B17" s="82" t="s">
        <v>228</v>
      </c>
      <c r="C17" s="82" t="s">
        <v>182</v>
      </c>
      <c r="D17" s="88">
        <v>284</v>
      </c>
      <c r="E17" s="76">
        <v>2348</v>
      </c>
      <c r="F17" s="76">
        <f>ROUND(E17*D17,2)</f>
        <v>666832</v>
      </c>
      <c r="G17" s="76">
        <f>ROUND(F17*1.2,2)</f>
        <v>800198.4</v>
      </c>
      <c r="H17" s="29"/>
    </row>
    <row r="18" spans="1:8" ht="45" x14ac:dyDescent="0.25">
      <c r="A18" s="81">
        <f>A17+1</f>
        <v>12</v>
      </c>
      <c r="B18" s="82" t="s">
        <v>238</v>
      </c>
      <c r="C18" s="82" t="s">
        <v>182</v>
      </c>
      <c r="D18" s="87">
        <v>145.63</v>
      </c>
      <c r="E18" s="76">
        <v>1587</v>
      </c>
      <c r="F18" s="76">
        <f>ROUND(E18*D18,2)</f>
        <v>231114.81</v>
      </c>
      <c r="G18" s="76">
        <f>ROUND(F18*1.2,2)</f>
        <v>277337.77</v>
      </c>
    </row>
    <row r="19" spans="1:8" s="1" customFormat="1" x14ac:dyDescent="0.25">
      <c r="A19" s="78"/>
      <c r="B19" s="237" t="s">
        <v>269</v>
      </c>
      <c r="C19" s="238"/>
      <c r="D19" s="238"/>
      <c r="E19" s="239"/>
      <c r="F19" s="84">
        <f>SUM(F5:F18)</f>
        <v>6116225.6899999985</v>
      </c>
      <c r="G19" s="84">
        <f>SUM(G5:G18)</f>
        <v>7339470.8300000001</v>
      </c>
    </row>
    <row r="20" spans="1:8" x14ac:dyDescent="0.25">
      <c r="A20" s="222" t="s">
        <v>270</v>
      </c>
      <c r="B20" s="223"/>
      <c r="C20" s="223"/>
      <c r="D20" s="223"/>
      <c r="E20" s="224"/>
      <c r="F20" s="152">
        <f>ROUND(F19*0.03,2)</f>
        <v>183486.77</v>
      </c>
      <c r="G20" s="152">
        <f>ROUND(G19*0.03,2)</f>
        <v>220184.12</v>
      </c>
      <c r="H20" s="51"/>
    </row>
    <row r="21" spans="1:8" x14ac:dyDescent="0.25">
      <c r="A21" s="222" t="s">
        <v>271</v>
      </c>
      <c r="B21" s="223"/>
      <c r="C21" s="223"/>
      <c r="D21" s="223"/>
      <c r="E21" s="224"/>
      <c r="F21" s="152">
        <f>F19+F20</f>
        <v>6299712.4599999981</v>
      </c>
      <c r="G21" s="152">
        <f>G19+G20</f>
        <v>7559654.9500000002</v>
      </c>
      <c r="H21" s="51"/>
    </row>
  </sheetData>
  <mergeCells count="11">
    <mergeCell ref="B19:E19"/>
    <mergeCell ref="A20:E20"/>
    <mergeCell ref="A21:E21"/>
    <mergeCell ref="A15:B15"/>
    <mergeCell ref="E1:G1"/>
    <mergeCell ref="A1:A2"/>
    <mergeCell ref="B1:B2"/>
    <mergeCell ref="C1:C2"/>
    <mergeCell ref="D1:D2"/>
    <mergeCell ref="A8:B8"/>
    <mergeCell ref="A4:B4"/>
  </mergeCells>
  <pageMargins left="0.7" right="0.7" top="0.75" bottom="0.75" header="0.3" footer="0.3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A1:G15"/>
  <sheetViews>
    <sheetView view="pageBreakPreview" zoomScale="90" zoomScaleNormal="100" zoomScaleSheetLayoutView="90" workbookViewId="0">
      <pane ySplit="2" topLeftCell="A3" activePane="bottomLeft" state="frozen"/>
      <selection pane="bottomLeft" activeCell="A11" sqref="A11:F11"/>
    </sheetView>
  </sheetViews>
  <sheetFormatPr defaultRowHeight="15" x14ac:dyDescent="0.25"/>
  <cols>
    <col min="1" max="1" width="5.7109375" customWidth="1"/>
    <col min="2" max="2" width="60.85546875" customWidth="1"/>
    <col min="3" max="3" width="10.140625" style="28" customWidth="1"/>
    <col min="4" max="4" width="8.85546875" style="28"/>
    <col min="5" max="5" width="11.28515625" style="28" customWidth="1"/>
    <col min="6" max="6" width="15" style="28" customWidth="1"/>
    <col min="7" max="7" width="15.42578125" style="28" customWidth="1"/>
  </cols>
  <sheetData>
    <row r="1" spans="1:7" x14ac:dyDescent="0.25">
      <c r="A1" s="243" t="s">
        <v>187</v>
      </c>
      <c r="B1" s="243" t="s">
        <v>188</v>
      </c>
      <c r="C1" s="245" t="s">
        <v>260</v>
      </c>
      <c r="D1" s="245" t="s">
        <v>189</v>
      </c>
      <c r="E1" s="244" t="s">
        <v>258</v>
      </c>
      <c r="F1" s="244"/>
      <c r="G1" s="244"/>
    </row>
    <row r="2" spans="1:7" ht="42.75" x14ac:dyDescent="0.25">
      <c r="A2" s="243"/>
      <c r="B2" s="243"/>
      <c r="C2" s="245"/>
      <c r="D2" s="245"/>
      <c r="E2" s="72" t="s">
        <v>183</v>
      </c>
      <c r="F2" s="73" t="s">
        <v>184</v>
      </c>
      <c r="G2" s="73" t="s">
        <v>186</v>
      </c>
    </row>
    <row r="3" spans="1:7" ht="12.75" customHeight="1" x14ac:dyDescent="0.25">
      <c r="A3" s="119">
        <v>1</v>
      </c>
      <c r="B3" s="120">
        <v>2</v>
      </c>
      <c r="C3" s="120">
        <v>3</v>
      </c>
      <c r="D3" s="120">
        <v>4</v>
      </c>
      <c r="E3" s="120">
        <v>5</v>
      </c>
      <c r="F3" s="120">
        <v>6</v>
      </c>
      <c r="G3" s="120">
        <v>7</v>
      </c>
    </row>
    <row r="4" spans="1:7" x14ac:dyDescent="0.25">
      <c r="A4" s="81">
        <v>1</v>
      </c>
      <c r="B4" s="74" t="s">
        <v>161</v>
      </c>
      <c r="C4" s="81" t="s">
        <v>181</v>
      </c>
      <c r="D4" s="81">
        <v>190.476</v>
      </c>
      <c r="E4" s="76">
        <f>ROUND(1584/1.2,2)</f>
        <v>1320</v>
      </c>
      <c r="F4" s="76">
        <f>ROUND(E4*D4,2)</f>
        <v>251428.32</v>
      </c>
      <c r="G4" s="76">
        <f>ROUND(F4*1.2,2)</f>
        <v>301713.98</v>
      </c>
    </row>
    <row r="5" spans="1:7" x14ac:dyDescent="0.25">
      <c r="A5" s="81">
        <f>A4+1</f>
        <v>2</v>
      </c>
      <c r="B5" s="74" t="s">
        <v>264</v>
      </c>
      <c r="C5" s="81" t="s">
        <v>181</v>
      </c>
      <c r="D5" s="81">
        <v>642.83000000000004</v>
      </c>
      <c r="E5" s="76">
        <f>ROUND(5300/1.2,2)</f>
        <v>4416.67</v>
      </c>
      <c r="F5" s="76">
        <f t="shared" ref="F5:F10" si="0">ROUND(E5*D5,2)</f>
        <v>2839167.98</v>
      </c>
      <c r="G5" s="76">
        <f t="shared" ref="G5:G10" si="1">ROUND(F5*1.2,2)</f>
        <v>3407001.58</v>
      </c>
    </row>
    <row r="6" spans="1:7" x14ac:dyDescent="0.25">
      <c r="A6" s="81">
        <f>A5+1</f>
        <v>3</v>
      </c>
      <c r="B6" s="74" t="s">
        <v>190</v>
      </c>
      <c r="C6" s="81" t="s">
        <v>235</v>
      </c>
      <c r="D6" s="83">
        <f>300*3</f>
        <v>900</v>
      </c>
      <c r="E6" s="76">
        <f>ROUND(184/1.2,2)</f>
        <v>153.33000000000001</v>
      </c>
      <c r="F6" s="76">
        <f t="shared" si="0"/>
        <v>137997</v>
      </c>
      <c r="G6" s="76">
        <f t="shared" si="1"/>
        <v>165596.4</v>
      </c>
    </row>
    <row r="7" spans="1:7" ht="20.25" customHeight="1" x14ac:dyDescent="0.25">
      <c r="A7" s="81">
        <f t="shared" ref="A7:A11" si="2">A6+1</f>
        <v>4</v>
      </c>
      <c r="B7" s="74" t="s">
        <v>191</v>
      </c>
      <c r="C7" s="81" t="s">
        <v>182</v>
      </c>
      <c r="D7" s="83">
        <v>145.63</v>
      </c>
      <c r="E7" s="76">
        <f>ROUND(16500/1.2,2)</f>
        <v>13750</v>
      </c>
      <c r="F7" s="76">
        <f t="shared" si="0"/>
        <v>2002412.5</v>
      </c>
      <c r="G7" s="76">
        <f t="shared" si="1"/>
        <v>2402895</v>
      </c>
    </row>
    <row r="8" spans="1:7" ht="39" customHeight="1" x14ac:dyDescent="0.25">
      <c r="A8" s="81">
        <f t="shared" si="2"/>
        <v>5</v>
      </c>
      <c r="B8" s="74" t="s">
        <v>192</v>
      </c>
      <c r="C8" s="81" t="s">
        <v>182</v>
      </c>
      <c r="D8" s="83">
        <v>284</v>
      </c>
      <c r="E8" s="76">
        <f>ROUND(34100/1.2,2)</f>
        <v>28416.67</v>
      </c>
      <c r="F8" s="76">
        <f t="shared" si="0"/>
        <v>8070334.2800000003</v>
      </c>
      <c r="G8" s="76">
        <f t="shared" si="1"/>
        <v>9684401.1400000006</v>
      </c>
    </row>
    <row r="9" spans="1:7" x14ac:dyDescent="0.25">
      <c r="A9" s="81">
        <f t="shared" si="2"/>
        <v>6</v>
      </c>
      <c r="B9" s="74" t="s">
        <v>261</v>
      </c>
      <c r="C9" s="75" t="s">
        <v>178</v>
      </c>
      <c r="D9" s="83">
        <v>276</v>
      </c>
      <c r="E9" s="76">
        <f>ROUND(200/1.2,2)</f>
        <v>166.67</v>
      </c>
      <c r="F9" s="76">
        <f t="shared" si="0"/>
        <v>46000.92</v>
      </c>
      <c r="G9" s="76">
        <f t="shared" si="1"/>
        <v>55201.1</v>
      </c>
    </row>
    <row r="10" spans="1:7" x14ac:dyDescent="0.25">
      <c r="A10" s="81">
        <f t="shared" si="2"/>
        <v>7</v>
      </c>
      <c r="B10" s="74" t="s">
        <v>262</v>
      </c>
      <c r="C10" s="75" t="s">
        <v>178</v>
      </c>
      <c r="D10" s="83">
        <v>92</v>
      </c>
      <c r="E10" s="76">
        <f>ROUND(5841/1.2,2)</f>
        <v>4867.5</v>
      </c>
      <c r="F10" s="76">
        <f t="shared" si="0"/>
        <v>447810</v>
      </c>
      <c r="G10" s="76">
        <f t="shared" si="1"/>
        <v>537372</v>
      </c>
    </row>
    <row r="11" spans="1:7" x14ac:dyDescent="0.25">
      <c r="A11" s="56">
        <f t="shared" si="2"/>
        <v>8</v>
      </c>
      <c r="B11" s="153" t="s">
        <v>267</v>
      </c>
      <c r="C11" s="143" t="s">
        <v>273</v>
      </c>
      <c r="D11" s="68">
        <v>1</v>
      </c>
      <c r="E11" s="144">
        <v>330000</v>
      </c>
      <c r="F11" s="144">
        <f t="shared" ref="F11" si="3">ROUND(E11*D11,2)</f>
        <v>330000</v>
      </c>
      <c r="G11" s="144">
        <f t="shared" ref="G11" si="4">ROUND(F11*1.2,2)</f>
        <v>396000</v>
      </c>
    </row>
    <row r="12" spans="1:7" s="1" customFormat="1" x14ac:dyDescent="0.25">
      <c r="A12" s="78"/>
      <c r="B12" s="237" t="s">
        <v>269</v>
      </c>
      <c r="C12" s="238"/>
      <c r="D12" s="238"/>
      <c r="E12" s="239"/>
      <c r="F12" s="84">
        <f>SUM(F4:F11)</f>
        <v>14125151</v>
      </c>
      <c r="G12" s="84">
        <f>SUM(G4:G11)</f>
        <v>16950181.200000003</v>
      </c>
    </row>
    <row r="15" spans="1:7" x14ac:dyDescent="0.25">
      <c r="B15" s="52"/>
      <c r="G15" s="54"/>
    </row>
  </sheetData>
  <mergeCells count="6">
    <mergeCell ref="B12:E12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1:I253"/>
  <sheetViews>
    <sheetView view="pageBreakPreview" topLeftCell="A241" zoomScale="80" zoomScaleNormal="100" zoomScaleSheetLayoutView="80" workbookViewId="0">
      <selection activeCell="B95" sqref="B95"/>
    </sheetView>
  </sheetViews>
  <sheetFormatPr defaultRowHeight="15" x14ac:dyDescent="0.25"/>
  <cols>
    <col min="2" max="2" width="60.5703125" customWidth="1"/>
    <col min="4" max="4" width="11.5703125" customWidth="1"/>
    <col min="5" max="5" width="16.140625" customWidth="1"/>
    <col min="6" max="6" width="16.28515625" customWidth="1"/>
    <col min="7" max="7" width="17.28515625" customWidth="1"/>
    <col min="8" max="8" width="12.28515625" hidden="1" customWidth="1"/>
    <col min="9" max="9" width="0" hidden="1" customWidth="1"/>
  </cols>
  <sheetData>
    <row r="1" spans="1:9" x14ac:dyDescent="0.25">
      <c r="A1" s="252" t="s">
        <v>213</v>
      </c>
      <c r="B1" s="231" t="s">
        <v>188</v>
      </c>
      <c r="C1" s="231" t="s">
        <v>217</v>
      </c>
      <c r="D1" s="231" t="s">
        <v>189</v>
      </c>
      <c r="E1" s="231" t="s">
        <v>258</v>
      </c>
      <c r="F1" s="231"/>
      <c r="G1" s="231"/>
    </row>
    <row r="2" spans="1:9" ht="42.75" x14ac:dyDescent="0.25">
      <c r="A2" s="252"/>
      <c r="B2" s="231"/>
      <c r="C2" s="231"/>
      <c r="D2" s="231"/>
      <c r="E2" s="70" t="s">
        <v>245</v>
      </c>
      <c r="F2" s="70" t="s">
        <v>237</v>
      </c>
      <c r="G2" s="79" t="s">
        <v>224</v>
      </c>
    </row>
    <row r="3" spans="1:9" ht="17.25" customHeight="1" x14ac:dyDescent="0.25">
      <c r="A3" s="119">
        <v>1</v>
      </c>
      <c r="B3" s="120">
        <v>2</v>
      </c>
      <c r="C3" s="120">
        <v>3</v>
      </c>
      <c r="D3" s="120">
        <v>4</v>
      </c>
      <c r="E3" s="120">
        <v>5</v>
      </c>
      <c r="F3" s="120">
        <v>6</v>
      </c>
      <c r="G3" s="120">
        <v>7</v>
      </c>
    </row>
    <row r="4" spans="1:9" ht="28.5" customHeight="1" x14ac:dyDescent="0.25">
      <c r="A4" s="123"/>
      <c r="B4" s="246" t="s">
        <v>274</v>
      </c>
      <c r="C4" s="247"/>
      <c r="D4" s="248"/>
      <c r="E4" s="124"/>
      <c r="F4" s="125"/>
      <c r="G4" s="135"/>
    </row>
    <row r="5" spans="1:9" ht="18" customHeight="1" x14ac:dyDescent="0.25">
      <c r="A5" s="121"/>
      <c r="B5" s="66" t="s">
        <v>248</v>
      </c>
      <c r="C5" s="129"/>
      <c r="D5" s="129"/>
      <c r="E5" s="131"/>
      <c r="F5" s="67"/>
      <c r="G5" s="136"/>
      <c r="H5" s="150" t="s">
        <v>460</v>
      </c>
    </row>
    <row r="6" spans="1:9" ht="35.25" customHeight="1" x14ac:dyDescent="0.25">
      <c r="A6" s="68">
        <v>1</v>
      </c>
      <c r="B6" s="57" t="s">
        <v>367</v>
      </c>
      <c r="C6" s="83" t="s">
        <v>181</v>
      </c>
      <c r="D6" s="132">
        <v>322</v>
      </c>
      <c r="E6" s="138">
        <v>90.47</v>
      </c>
      <c r="F6" s="76">
        <f t="shared" ref="F6:F40" si="0">ROUND(E6*D6,2)</f>
        <v>29131.34</v>
      </c>
      <c r="G6" s="76">
        <f>ROUND(F6*1.2,2)</f>
        <v>34957.61</v>
      </c>
      <c r="H6">
        <v>325</v>
      </c>
    </row>
    <row r="7" spans="1:9" ht="15.75" x14ac:dyDescent="0.25">
      <c r="A7" s="68">
        <f>A6+1</f>
        <v>2</v>
      </c>
      <c r="B7" s="57" t="s">
        <v>368</v>
      </c>
      <c r="C7" s="83" t="s">
        <v>181</v>
      </c>
      <c r="D7" s="147" t="s">
        <v>255</v>
      </c>
      <c r="E7" s="138">
        <v>1860.11</v>
      </c>
      <c r="F7" s="76">
        <f t="shared" si="0"/>
        <v>18601.099999999999</v>
      </c>
      <c r="G7" s="76">
        <f t="shared" ref="G7:G32" si="1">ROUND(F7*1.2,2)</f>
        <v>22321.32</v>
      </c>
      <c r="H7">
        <v>1777</v>
      </c>
    </row>
    <row r="8" spans="1:9" ht="15.75" x14ac:dyDescent="0.25">
      <c r="A8" s="68">
        <f>A7+1</f>
        <v>3</v>
      </c>
      <c r="B8" s="57" t="s">
        <v>369</v>
      </c>
      <c r="C8" s="83" t="s">
        <v>181</v>
      </c>
      <c r="D8" s="147" t="s">
        <v>333</v>
      </c>
      <c r="E8" s="138">
        <v>1155.67</v>
      </c>
      <c r="F8" s="76">
        <f t="shared" si="0"/>
        <v>13868.04</v>
      </c>
      <c r="G8" s="76">
        <f t="shared" si="1"/>
        <v>16641.650000000001</v>
      </c>
    </row>
    <row r="9" spans="1:9" ht="15.75" x14ac:dyDescent="0.25">
      <c r="A9" s="68">
        <f t="shared" ref="A9:A15" si="2">A8+1</f>
        <v>4</v>
      </c>
      <c r="B9" s="57" t="s">
        <v>253</v>
      </c>
      <c r="C9" s="83" t="s">
        <v>181</v>
      </c>
      <c r="D9" s="147" t="s">
        <v>373</v>
      </c>
      <c r="E9" s="138">
        <v>1456.66</v>
      </c>
      <c r="F9" s="76">
        <f t="shared" si="0"/>
        <v>3350.32</v>
      </c>
      <c r="G9" s="76">
        <f t="shared" si="1"/>
        <v>4020.38</v>
      </c>
      <c r="H9">
        <v>1379</v>
      </c>
    </row>
    <row r="10" spans="1:9" ht="15.75" x14ac:dyDescent="0.25">
      <c r="A10" s="68">
        <f t="shared" si="2"/>
        <v>5</v>
      </c>
      <c r="B10" s="57" t="s">
        <v>370</v>
      </c>
      <c r="C10" s="83" t="s">
        <v>181</v>
      </c>
      <c r="D10" s="147" t="s">
        <v>333</v>
      </c>
      <c r="E10" s="138">
        <v>856.54</v>
      </c>
      <c r="F10" s="76">
        <f t="shared" si="0"/>
        <v>10278.48</v>
      </c>
      <c r="G10" s="76">
        <f t="shared" si="1"/>
        <v>12334.18</v>
      </c>
      <c r="H10">
        <v>1379</v>
      </c>
    </row>
    <row r="11" spans="1:9" ht="15.75" x14ac:dyDescent="0.25">
      <c r="A11" s="68">
        <f t="shared" si="2"/>
        <v>6</v>
      </c>
      <c r="B11" s="57" t="s">
        <v>250</v>
      </c>
      <c r="C11" s="83" t="s">
        <v>181</v>
      </c>
      <c r="D11" s="147" t="s">
        <v>374</v>
      </c>
      <c r="E11" s="138">
        <v>9.73</v>
      </c>
      <c r="F11" s="76">
        <f t="shared" si="0"/>
        <v>2860.62</v>
      </c>
      <c r="G11" s="76">
        <f t="shared" si="1"/>
        <v>3432.74</v>
      </c>
      <c r="H11">
        <v>125</v>
      </c>
    </row>
    <row r="12" spans="1:9" ht="15.75" x14ac:dyDescent="0.25">
      <c r="A12" s="68">
        <f t="shared" si="2"/>
        <v>7</v>
      </c>
      <c r="B12" s="57" t="s">
        <v>246</v>
      </c>
      <c r="C12" s="83" t="s">
        <v>181</v>
      </c>
      <c r="D12" s="147" t="s">
        <v>374</v>
      </c>
      <c r="E12" s="138">
        <v>197.58</v>
      </c>
      <c r="F12" s="76">
        <f t="shared" si="0"/>
        <v>58088.52</v>
      </c>
      <c r="G12" s="76">
        <f t="shared" si="1"/>
        <v>69706.22</v>
      </c>
      <c r="H12">
        <v>198</v>
      </c>
    </row>
    <row r="13" spans="1:9" ht="15.75" x14ac:dyDescent="0.25">
      <c r="A13" s="68">
        <f t="shared" si="2"/>
        <v>8</v>
      </c>
      <c r="B13" s="57" t="s">
        <v>251</v>
      </c>
      <c r="C13" s="83" t="s">
        <v>181</v>
      </c>
      <c r="D13" s="147" t="s">
        <v>375</v>
      </c>
      <c r="E13" s="138">
        <v>856.54</v>
      </c>
      <c r="F13" s="76">
        <f t="shared" si="0"/>
        <v>12848.1</v>
      </c>
      <c r="G13" s="76">
        <f t="shared" si="1"/>
        <v>15417.72</v>
      </c>
      <c r="H13">
        <v>899</v>
      </c>
    </row>
    <row r="14" spans="1:9" ht="30" x14ac:dyDescent="0.25">
      <c r="A14" s="68">
        <f t="shared" si="2"/>
        <v>9</v>
      </c>
      <c r="B14" s="57" t="s">
        <v>371</v>
      </c>
      <c r="C14" s="83" t="s">
        <v>219</v>
      </c>
      <c r="D14" s="148">
        <v>36.799999999999997</v>
      </c>
      <c r="E14" s="138">
        <v>67.760000000000005</v>
      </c>
      <c r="F14" s="76">
        <f t="shared" si="0"/>
        <v>2493.5700000000002</v>
      </c>
      <c r="G14" s="76">
        <f t="shared" si="1"/>
        <v>2992.28</v>
      </c>
      <c r="H14">
        <v>325</v>
      </c>
    </row>
    <row r="15" spans="1:9" ht="30" x14ac:dyDescent="0.25">
      <c r="A15" s="68">
        <f t="shared" si="2"/>
        <v>10</v>
      </c>
      <c r="B15" s="57" t="s">
        <v>372</v>
      </c>
      <c r="C15" s="56" t="s">
        <v>219</v>
      </c>
      <c r="D15" s="148">
        <v>36.799999999999997</v>
      </c>
      <c r="E15" s="138">
        <v>312.27999999999997</v>
      </c>
      <c r="F15" s="76">
        <f t="shared" si="0"/>
        <v>11491.9</v>
      </c>
      <c r="G15" s="76">
        <f t="shared" si="1"/>
        <v>13790.28</v>
      </c>
      <c r="H15">
        <v>3460</v>
      </c>
      <c r="I15" s="150" t="s">
        <v>459</v>
      </c>
    </row>
    <row r="16" spans="1:9" ht="15.75" x14ac:dyDescent="0.25">
      <c r="A16" s="68"/>
      <c r="B16" s="55" t="s">
        <v>254</v>
      </c>
      <c r="C16" s="56"/>
      <c r="D16" s="59"/>
      <c r="E16" s="138"/>
      <c r="F16" s="76"/>
      <c r="G16" s="76"/>
    </row>
    <row r="17" spans="1:8" ht="30" x14ac:dyDescent="0.25">
      <c r="A17" s="68">
        <f>A15+1</f>
        <v>11</v>
      </c>
      <c r="B17" s="57" t="s">
        <v>376</v>
      </c>
      <c r="C17" s="56" t="s">
        <v>182</v>
      </c>
      <c r="D17" s="59">
        <v>31</v>
      </c>
      <c r="E17" s="138">
        <v>1223.9000000000001</v>
      </c>
      <c r="F17" s="76">
        <f t="shared" si="0"/>
        <v>37940.9</v>
      </c>
      <c r="G17" s="76">
        <f t="shared" si="1"/>
        <v>45529.08</v>
      </c>
    </row>
    <row r="18" spans="1:8" ht="45" x14ac:dyDescent="0.25">
      <c r="A18" s="68">
        <f>A17+1</f>
        <v>12</v>
      </c>
      <c r="B18" s="57" t="s">
        <v>377</v>
      </c>
      <c r="C18" s="56" t="s">
        <v>182</v>
      </c>
      <c r="D18" s="59">
        <v>6</v>
      </c>
      <c r="E18" s="138">
        <v>10557.31</v>
      </c>
      <c r="F18" s="76">
        <f t="shared" si="0"/>
        <v>63343.86</v>
      </c>
      <c r="G18" s="76">
        <f t="shared" si="1"/>
        <v>76012.63</v>
      </c>
    </row>
    <row r="19" spans="1:8" ht="30" x14ac:dyDescent="0.25">
      <c r="A19" s="68">
        <f t="shared" ref="A19:A29" si="3">A18+1</f>
        <v>13</v>
      </c>
      <c r="B19" s="57" t="s">
        <v>378</v>
      </c>
      <c r="C19" s="56" t="s">
        <v>207</v>
      </c>
      <c r="D19" s="59">
        <v>2</v>
      </c>
      <c r="E19" s="138">
        <v>10242.23</v>
      </c>
      <c r="F19" s="76">
        <f t="shared" si="0"/>
        <v>20484.46</v>
      </c>
      <c r="G19" s="76">
        <f t="shared" si="1"/>
        <v>24581.35</v>
      </c>
    </row>
    <row r="20" spans="1:8" ht="30" x14ac:dyDescent="0.25">
      <c r="A20" s="68">
        <f t="shared" si="3"/>
        <v>14</v>
      </c>
      <c r="B20" s="57" t="s">
        <v>379</v>
      </c>
      <c r="C20" s="56" t="s">
        <v>207</v>
      </c>
      <c r="D20" s="59">
        <v>2</v>
      </c>
      <c r="E20" s="138">
        <v>6691.94</v>
      </c>
      <c r="F20" s="76">
        <f t="shared" si="0"/>
        <v>13383.88</v>
      </c>
      <c r="G20" s="76">
        <f t="shared" si="1"/>
        <v>16060.66</v>
      </c>
    </row>
    <row r="21" spans="1:8" ht="15.75" x14ac:dyDescent="0.25">
      <c r="A21" s="68">
        <f t="shared" si="3"/>
        <v>15</v>
      </c>
      <c r="B21" s="57" t="s">
        <v>402</v>
      </c>
      <c r="C21" s="56" t="s">
        <v>207</v>
      </c>
      <c r="D21" s="59">
        <v>36</v>
      </c>
      <c r="E21" s="138">
        <v>592.5</v>
      </c>
      <c r="F21" s="76">
        <f t="shared" si="0"/>
        <v>21330</v>
      </c>
      <c r="G21" s="76">
        <f t="shared" si="1"/>
        <v>25596</v>
      </c>
    </row>
    <row r="22" spans="1:8" ht="30" x14ac:dyDescent="0.25">
      <c r="A22" s="68">
        <f t="shared" si="3"/>
        <v>16</v>
      </c>
      <c r="B22" s="57" t="s">
        <v>380</v>
      </c>
      <c r="C22" s="56" t="s">
        <v>207</v>
      </c>
      <c r="D22" s="59">
        <v>36</v>
      </c>
      <c r="E22" s="138">
        <v>210.41</v>
      </c>
      <c r="F22" s="76">
        <f t="shared" si="0"/>
        <v>7574.76</v>
      </c>
      <c r="G22" s="76">
        <f t="shared" si="1"/>
        <v>9089.7099999999991</v>
      </c>
    </row>
    <row r="23" spans="1:8" ht="45" x14ac:dyDescent="0.25">
      <c r="A23" s="68">
        <f t="shared" si="3"/>
        <v>17</v>
      </c>
      <c r="B23" s="57" t="s">
        <v>381</v>
      </c>
      <c r="C23" s="56" t="s">
        <v>207</v>
      </c>
      <c r="D23" s="59">
        <v>2</v>
      </c>
      <c r="E23" s="138">
        <v>1207.4100000000001</v>
      </c>
      <c r="F23" s="76">
        <f t="shared" si="0"/>
        <v>2414.8200000000002</v>
      </c>
      <c r="G23" s="76">
        <f t="shared" si="1"/>
        <v>2897.78</v>
      </c>
    </row>
    <row r="24" spans="1:8" ht="45" x14ac:dyDescent="0.25">
      <c r="A24" s="68">
        <f t="shared" si="3"/>
        <v>18</v>
      </c>
      <c r="B24" s="57" t="s">
        <v>382</v>
      </c>
      <c r="C24" s="56" t="s">
        <v>207</v>
      </c>
      <c r="D24" s="59">
        <v>2</v>
      </c>
      <c r="E24" s="138">
        <v>7231.84</v>
      </c>
      <c r="F24" s="76">
        <f t="shared" si="0"/>
        <v>14463.68</v>
      </c>
      <c r="G24" s="76">
        <f t="shared" si="1"/>
        <v>17356.419999999998</v>
      </c>
    </row>
    <row r="25" spans="1:8" ht="45" x14ac:dyDescent="0.25">
      <c r="A25" s="68">
        <f t="shared" si="3"/>
        <v>19</v>
      </c>
      <c r="B25" s="57" t="s">
        <v>383</v>
      </c>
      <c r="C25" s="56" t="s">
        <v>207</v>
      </c>
      <c r="D25" s="59">
        <v>1</v>
      </c>
      <c r="E25" s="138">
        <v>12816.51</v>
      </c>
      <c r="F25" s="76">
        <f t="shared" si="0"/>
        <v>12816.51</v>
      </c>
      <c r="G25" s="76">
        <f t="shared" si="1"/>
        <v>15379.81</v>
      </c>
    </row>
    <row r="26" spans="1:8" ht="15.75" x14ac:dyDescent="0.25">
      <c r="A26" s="68">
        <f t="shared" si="3"/>
        <v>20</v>
      </c>
      <c r="B26" s="57" t="s">
        <v>384</v>
      </c>
      <c r="C26" s="56" t="s">
        <v>207</v>
      </c>
      <c r="D26" s="59">
        <v>1</v>
      </c>
      <c r="E26" s="138">
        <v>3933.74</v>
      </c>
      <c r="F26" s="76">
        <f t="shared" si="0"/>
        <v>3933.74</v>
      </c>
      <c r="G26" s="76">
        <f t="shared" si="1"/>
        <v>4720.49</v>
      </c>
    </row>
    <row r="27" spans="1:8" ht="15.75" x14ac:dyDescent="0.25">
      <c r="A27" s="68">
        <f t="shared" si="3"/>
        <v>21</v>
      </c>
      <c r="B27" s="57" t="s">
        <v>385</v>
      </c>
      <c r="C27" s="56" t="s">
        <v>207</v>
      </c>
      <c r="D27" s="59">
        <v>1</v>
      </c>
      <c r="E27" s="138">
        <v>10242.219999999999</v>
      </c>
      <c r="F27" s="76">
        <f t="shared" si="0"/>
        <v>10242.219999999999</v>
      </c>
      <c r="G27" s="76">
        <f t="shared" si="1"/>
        <v>12290.66</v>
      </c>
    </row>
    <row r="28" spans="1:8" ht="30" x14ac:dyDescent="0.25">
      <c r="A28" s="68">
        <f t="shared" si="3"/>
        <v>22</v>
      </c>
      <c r="B28" s="57" t="s">
        <v>386</v>
      </c>
      <c r="C28" s="56" t="s">
        <v>207</v>
      </c>
      <c r="D28" s="59">
        <v>1</v>
      </c>
      <c r="E28" s="138">
        <v>3397.31</v>
      </c>
      <c r="F28" s="76">
        <f t="shared" si="0"/>
        <v>3397.31</v>
      </c>
      <c r="G28" s="76">
        <f t="shared" si="1"/>
        <v>4076.77</v>
      </c>
    </row>
    <row r="29" spans="1:8" ht="30" x14ac:dyDescent="0.25">
      <c r="A29" s="68">
        <f t="shared" si="3"/>
        <v>23</v>
      </c>
      <c r="B29" s="57" t="s">
        <v>387</v>
      </c>
      <c r="C29" s="56" t="s">
        <v>461</v>
      </c>
      <c r="D29" s="59">
        <v>1</v>
      </c>
      <c r="E29" s="138">
        <v>35713.949999999997</v>
      </c>
      <c r="F29" s="76">
        <f t="shared" si="0"/>
        <v>35713.949999999997</v>
      </c>
      <c r="G29" s="76">
        <f t="shared" si="1"/>
        <v>42856.74</v>
      </c>
    </row>
    <row r="30" spans="1:8" ht="15.75" x14ac:dyDescent="0.25">
      <c r="A30" s="68"/>
      <c r="B30" s="55" t="s">
        <v>388</v>
      </c>
      <c r="C30" s="56"/>
      <c r="D30" s="59"/>
      <c r="E30" s="138"/>
      <c r="F30" s="76"/>
      <c r="G30" s="76"/>
    </row>
    <row r="31" spans="1:8" ht="15.75" x14ac:dyDescent="0.25">
      <c r="A31" s="68">
        <f>A29+1</f>
        <v>24</v>
      </c>
      <c r="B31" s="57" t="s">
        <v>457</v>
      </c>
      <c r="C31" s="56" t="s">
        <v>181</v>
      </c>
      <c r="D31" s="60">
        <v>0.7</v>
      </c>
      <c r="E31" s="138">
        <v>4259.21</v>
      </c>
      <c r="F31" s="76">
        <f t="shared" si="0"/>
        <v>2981.45</v>
      </c>
      <c r="G31" s="76">
        <f t="shared" si="1"/>
        <v>3577.74</v>
      </c>
    </row>
    <row r="32" spans="1:8" ht="30" x14ac:dyDescent="0.25">
      <c r="A32" s="68">
        <f>A31+1</f>
        <v>25</v>
      </c>
      <c r="B32" s="57" t="s">
        <v>389</v>
      </c>
      <c r="C32" s="56" t="s">
        <v>181</v>
      </c>
      <c r="D32" s="62">
        <v>1.7350000000000001</v>
      </c>
      <c r="E32" s="138">
        <v>32605.8</v>
      </c>
      <c r="F32" s="76">
        <f t="shared" si="0"/>
        <v>56571.06</v>
      </c>
      <c r="G32" s="76">
        <f t="shared" si="1"/>
        <v>67885.27</v>
      </c>
      <c r="H32">
        <v>18174</v>
      </c>
    </row>
    <row r="33" spans="1:8" ht="15.75" x14ac:dyDescent="0.25">
      <c r="A33" s="68"/>
      <c r="B33" s="55" t="s">
        <v>390</v>
      </c>
      <c r="C33" s="56"/>
      <c r="D33" s="59"/>
      <c r="E33" s="138"/>
      <c r="F33" s="76"/>
      <c r="G33" s="76"/>
    </row>
    <row r="34" spans="1:8" ht="30" x14ac:dyDescent="0.25">
      <c r="A34" s="68">
        <f>A32+1</f>
        <v>26</v>
      </c>
      <c r="B34" s="57" t="s">
        <v>391</v>
      </c>
      <c r="C34" s="56" t="s">
        <v>181</v>
      </c>
      <c r="D34" s="59">
        <v>2</v>
      </c>
      <c r="E34" s="138">
        <v>26084.63</v>
      </c>
      <c r="F34" s="76">
        <f t="shared" si="0"/>
        <v>52169.26</v>
      </c>
      <c r="G34" s="76">
        <f t="shared" ref="G34:G36" si="4">ROUND(F34*1.2,2)</f>
        <v>62603.11</v>
      </c>
    </row>
    <row r="35" spans="1:8" ht="15.75" x14ac:dyDescent="0.25">
      <c r="A35" s="68"/>
      <c r="B35" s="57" t="s">
        <v>458</v>
      </c>
      <c r="C35" s="56" t="s">
        <v>219</v>
      </c>
      <c r="D35" s="60">
        <v>4.4000000000000004</v>
      </c>
      <c r="E35" s="138">
        <v>436.23</v>
      </c>
      <c r="F35" s="76">
        <f t="shared" si="0"/>
        <v>1919.41</v>
      </c>
      <c r="G35" s="76">
        <f t="shared" si="4"/>
        <v>2303.29</v>
      </c>
    </row>
    <row r="36" spans="1:8" ht="30" x14ac:dyDescent="0.25">
      <c r="A36" s="68">
        <f>A34+1</f>
        <v>27</v>
      </c>
      <c r="B36" s="57" t="s">
        <v>392</v>
      </c>
      <c r="C36" s="56" t="s">
        <v>219</v>
      </c>
      <c r="D36" s="60">
        <v>4.4000000000000004</v>
      </c>
      <c r="E36" s="138">
        <v>312.27999999999997</v>
      </c>
      <c r="F36" s="76">
        <f t="shared" si="0"/>
        <v>1374.03</v>
      </c>
      <c r="G36" s="76">
        <f t="shared" si="4"/>
        <v>1648.84</v>
      </c>
    </row>
    <row r="37" spans="1:8" ht="15.75" x14ac:dyDescent="0.25">
      <c r="A37" s="68"/>
      <c r="B37" s="55" t="s">
        <v>393</v>
      </c>
      <c r="C37" s="56"/>
      <c r="D37" s="58"/>
      <c r="E37" s="138"/>
      <c r="F37" s="76"/>
      <c r="G37" s="76"/>
    </row>
    <row r="38" spans="1:8" ht="30" x14ac:dyDescent="0.25">
      <c r="A38" s="68">
        <f>A36+1</f>
        <v>28</v>
      </c>
      <c r="B38" s="57" t="s">
        <v>394</v>
      </c>
      <c r="C38" s="56" t="s">
        <v>182</v>
      </c>
      <c r="D38" s="59">
        <v>31</v>
      </c>
      <c r="E38" s="138">
        <v>769.25</v>
      </c>
      <c r="F38" s="76">
        <f t="shared" si="0"/>
        <v>23846.75</v>
      </c>
      <c r="G38" s="76">
        <f t="shared" ref="G38:G40" si="5">ROUND(F38*1.2,2)</f>
        <v>28616.1</v>
      </c>
    </row>
    <row r="39" spans="1:8" ht="15.75" x14ac:dyDescent="0.25">
      <c r="A39" s="68">
        <f>A38+1</f>
        <v>29</v>
      </c>
      <c r="B39" s="57" t="s">
        <v>395</v>
      </c>
      <c r="C39" s="56" t="s">
        <v>219</v>
      </c>
      <c r="D39" s="58">
        <v>1.23</v>
      </c>
      <c r="E39" s="138">
        <v>433.62</v>
      </c>
      <c r="F39" s="76">
        <f t="shared" si="0"/>
        <v>533.35</v>
      </c>
      <c r="G39" s="76">
        <f t="shared" si="5"/>
        <v>640.02</v>
      </c>
    </row>
    <row r="40" spans="1:8" ht="30" x14ac:dyDescent="0.25">
      <c r="A40" s="68">
        <f>A39+1</f>
        <v>30</v>
      </c>
      <c r="B40" s="57" t="s">
        <v>396</v>
      </c>
      <c r="C40" s="56" t="s">
        <v>219</v>
      </c>
      <c r="D40" s="58">
        <v>1.23</v>
      </c>
      <c r="E40" s="138">
        <v>312.27999999999997</v>
      </c>
      <c r="F40" s="76">
        <f t="shared" si="0"/>
        <v>384.1</v>
      </c>
      <c r="G40" s="76">
        <f t="shared" si="5"/>
        <v>460.92</v>
      </c>
      <c r="H40" s="149"/>
    </row>
    <row r="41" spans="1:8" ht="28.5" customHeight="1" x14ac:dyDescent="0.25">
      <c r="A41" s="123"/>
      <c r="B41" s="246" t="s">
        <v>275</v>
      </c>
      <c r="C41" s="247"/>
      <c r="D41" s="248"/>
      <c r="E41" s="124"/>
      <c r="F41" s="125"/>
      <c r="G41" s="135"/>
    </row>
    <row r="42" spans="1:8" ht="16.5" customHeight="1" x14ac:dyDescent="0.25">
      <c r="A42" s="56"/>
      <c r="B42" s="55" t="s">
        <v>248</v>
      </c>
      <c r="C42" s="56"/>
      <c r="D42" s="137"/>
      <c r="E42" s="133"/>
      <c r="F42" s="130"/>
      <c r="G42" s="136"/>
    </row>
    <row r="43" spans="1:8" ht="30" x14ac:dyDescent="0.25">
      <c r="A43" s="56">
        <f>A40+1</f>
        <v>31</v>
      </c>
      <c r="B43" s="57" t="s">
        <v>397</v>
      </c>
      <c r="C43" s="83" t="s">
        <v>181</v>
      </c>
      <c r="D43" s="59">
        <v>759</v>
      </c>
      <c r="E43" s="138">
        <v>90.47</v>
      </c>
      <c r="F43" s="76">
        <f t="shared" ref="F43:F68" si="6">ROUND(E43*D43,2)</f>
        <v>68666.73</v>
      </c>
      <c r="G43" s="76">
        <f t="shared" ref="G43:G68" si="7">ROUND(F43*1.2,2)</f>
        <v>82400.08</v>
      </c>
      <c r="H43">
        <v>325</v>
      </c>
    </row>
    <row r="44" spans="1:8" ht="15.75" x14ac:dyDescent="0.25">
      <c r="A44" s="56">
        <f t="shared" ref="A44:A64" si="8">A43+1</f>
        <v>32</v>
      </c>
      <c r="B44" s="57" t="s">
        <v>368</v>
      </c>
      <c r="C44" s="83" t="s">
        <v>181</v>
      </c>
      <c r="D44" s="59">
        <v>23</v>
      </c>
      <c r="E44" s="138">
        <v>1860.11</v>
      </c>
      <c r="F44" s="76">
        <f t="shared" si="6"/>
        <v>42782.53</v>
      </c>
      <c r="G44" s="76">
        <f t="shared" si="7"/>
        <v>51339.040000000001</v>
      </c>
      <c r="H44">
        <v>1777</v>
      </c>
    </row>
    <row r="45" spans="1:8" ht="15.75" x14ac:dyDescent="0.25">
      <c r="A45" s="56">
        <f t="shared" si="8"/>
        <v>33</v>
      </c>
      <c r="B45" s="57" t="s">
        <v>369</v>
      </c>
      <c r="C45" s="83" t="s">
        <v>181</v>
      </c>
      <c r="D45" s="59">
        <v>39</v>
      </c>
      <c r="E45" s="138">
        <v>1155.67</v>
      </c>
      <c r="F45" s="76">
        <f t="shared" si="6"/>
        <v>45071.13</v>
      </c>
      <c r="G45" s="76">
        <f t="shared" si="7"/>
        <v>54085.36</v>
      </c>
    </row>
    <row r="46" spans="1:8" ht="15.75" x14ac:dyDescent="0.25">
      <c r="A46" s="56">
        <f t="shared" si="8"/>
        <v>34</v>
      </c>
      <c r="B46" s="57" t="s">
        <v>253</v>
      </c>
      <c r="C46" s="83" t="s">
        <v>181</v>
      </c>
      <c r="D46" s="59">
        <v>8</v>
      </c>
      <c r="E46" s="138">
        <v>1456.66</v>
      </c>
      <c r="F46" s="76">
        <f t="shared" si="6"/>
        <v>11653.28</v>
      </c>
      <c r="G46" s="76">
        <f t="shared" si="7"/>
        <v>13983.94</v>
      </c>
      <c r="H46">
        <v>1379</v>
      </c>
    </row>
    <row r="47" spans="1:8" ht="15.75" x14ac:dyDescent="0.25">
      <c r="A47" s="56">
        <f t="shared" si="8"/>
        <v>35</v>
      </c>
      <c r="B47" s="57" t="s">
        <v>370</v>
      </c>
      <c r="C47" s="83" t="s">
        <v>181</v>
      </c>
      <c r="D47" s="59">
        <v>39</v>
      </c>
      <c r="E47" s="138">
        <v>856.54</v>
      </c>
      <c r="F47" s="76">
        <f t="shared" si="6"/>
        <v>33405.06</v>
      </c>
      <c r="G47" s="76">
        <f t="shared" si="7"/>
        <v>40086.07</v>
      </c>
      <c r="H47">
        <v>1379</v>
      </c>
    </row>
    <row r="48" spans="1:8" ht="15.75" x14ac:dyDescent="0.25">
      <c r="A48" s="56">
        <f t="shared" si="8"/>
        <v>36</v>
      </c>
      <c r="B48" s="57" t="s">
        <v>250</v>
      </c>
      <c r="C48" s="83" t="s">
        <v>181</v>
      </c>
      <c r="D48" s="59">
        <v>694</v>
      </c>
      <c r="E48" s="138">
        <v>9.73</v>
      </c>
      <c r="F48" s="76">
        <f t="shared" si="6"/>
        <v>6752.62</v>
      </c>
      <c r="G48" s="76">
        <f t="shared" si="7"/>
        <v>8103.14</v>
      </c>
      <c r="H48">
        <v>125</v>
      </c>
    </row>
    <row r="49" spans="1:9" ht="15.75" x14ac:dyDescent="0.25">
      <c r="A49" s="56">
        <f t="shared" si="8"/>
        <v>37</v>
      </c>
      <c r="B49" s="57" t="s">
        <v>246</v>
      </c>
      <c r="C49" s="83" t="s">
        <v>181</v>
      </c>
      <c r="D49" s="59">
        <v>694</v>
      </c>
      <c r="E49" s="138">
        <v>197.58</v>
      </c>
      <c r="F49" s="76">
        <f t="shared" si="6"/>
        <v>137120.51999999999</v>
      </c>
      <c r="G49" s="76">
        <f t="shared" si="7"/>
        <v>164544.62</v>
      </c>
      <c r="H49">
        <v>198</v>
      </c>
    </row>
    <row r="50" spans="1:9" ht="15.75" x14ac:dyDescent="0.25">
      <c r="A50" s="56">
        <f t="shared" si="8"/>
        <v>38</v>
      </c>
      <c r="B50" s="57" t="s">
        <v>251</v>
      </c>
      <c r="C50" s="83" t="s">
        <v>181</v>
      </c>
      <c r="D50" s="59">
        <v>37</v>
      </c>
      <c r="E50" s="138">
        <v>856.54</v>
      </c>
      <c r="F50" s="76">
        <f t="shared" si="6"/>
        <v>31691.98</v>
      </c>
      <c r="G50" s="76">
        <f t="shared" si="7"/>
        <v>38030.379999999997</v>
      </c>
      <c r="H50">
        <v>899</v>
      </c>
    </row>
    <row r="51" spans="1:9" ht="30" x14ac:dyDescent="0.25">
      <c r="A51" s="56">
        <f t="shared" si="8"/>
        <v>39</v>
      </c>
      <c r="B51" s="57" t="s">
        <v>371</v>
      </c>
      <c r="C51" s="83" t="s">
        <v>219</v>
      </c>
      <c r="D51" s="60">
        <v>81.599999999999994</v>
      </c>
      <c r="E51" s="138">
        <v>67.760000000000005</v>
      </c>
      <c r="F51" s="76">
        <f t="shared" si="6"/>
        <v>5529.22</v>
      </c>
      <c r="G51" s="76">
        <f t="shared" si="7"/>
        <v>6635.06</v>
      </c>
      <c r="H51">
        <v>325</v>
      </c>
    </row>
    <row r="52" spans="1:9" ht="30" x14ac:dyDescent="0.25">
      <c r="A52" s="56">
        <f t="shared" si="8"/>
        <v>40</v>
      </c>
      <c r="B52" s="57" t="s">
        <v>372</v>
      </c>
      <c r="C52" s="56" t="s">
        <v>219</v>
      </c>
      <c r="D52" s="60">
        <v>81.599999999999994</v>
      </c>
      <c r="E52" s="138">
        <v>312.27999999999997</v>
      </c>
      <c r="F52" s="76">
        <f t="shared" si="6"/>
        <v>25482.05</v>
      </c>
      <c r="G52" s="76">
        <f t="shared" si="7"/>
        <v>30578.46</v>
      </c>
      <c r="H52">
        <v>3460</v>
      </c>
      <c r="I52" s="150" t="s">
        <v>459</v>
      </c>
    </row>
    <row r="53" spans="1:9" ht="15.75" x14ac:dyDescent="0.25">
      <c r="A53" s="56"/>
      <c r="B53" s="55" t="s">
        <v>254</v>
      </c>
      <c r="C53" s="56"/>
      <c r="D53" s="58"/>
      <c r="E53" s="138"/>
      <c r="F53" s="76"/>
      <c r="G53" s="76"/>
    </row>
    <row r="54" spans="1:9" ht="30" x14ac:dyDescent="0.25">
      <c r="A54" s="56">
        <f>A52+1</f>
        <v>41</v>
      </c>
      <c r="B54" s="57" t="s">
        <v>398</v>
      </c>
      <c r="C54" s="56" t="s">
        <v>182</v>
      </c>
      <c r="D54" s="59">
        <v>97</v>
      </c>
      <c r="E54" s="138">
        <v>1045.03</v>
      </c>
      <c r="F54" s="76">
        <f t="shared" si="6"/>
        <v>101367.91</v>
      </c>
      <c r="G54" s="76">
        <f t="shared" si="7"/>
        <v>121641.49</v>
      </c>
    </row>
    <row r="55" spans="1:9" ht="45" x14ac:dyDescent="0.25">
      <c r="A55" s="56">
        <f t="shared" si="8"/>
        <v>42</v>
      </c>
      <c r="B55" s="57" t="s">
        <v>399</v>
      </c>
      <c r="C55" s="56" t="s">
        <v>182</v>
      </c>
      <c r="D55" s="59">
        <v>6</v>
      </c>
      <c r="E55" s="138">
        <v>1960.07</v>
      </c>
      <c r="F55" s="76">
        <f t="shared" si="6"/>
        <v>11760.42</v>
      </c>
      <c r="G55" s="76">
        <f t="shared" si="7"/>
        <v>14112.5</v>
      </c>
    </row>
    <row r="56" spans="1:9" ht="30" x14ac:dyDescent="0.25">
      <c r="A56" s="56">
        <f t="shared" si="8"/>
        <v>43</v>
      </c>
      <c r="B56" s="57" t="s">
        <v>400</v>
      </c>
      <c r="C56" s="56" t="s">
        <v>207</v>
      </c>
      <c r="D56" s="59">
        <v>1</v>
      </c>
      <c r="E56" s="138">
        <v>8983.23</v>
      </c>
      <c r="F56" s="76">
        <f t="shared" si="6"/>
        <v>8983.23</v>
      </c>
      <c r="G56" s="76">
        <f t="shared" si="7"/>
        <v>10779.88</v>
      </c>
    </row>
    <row r="57" spans="1:9" ht="30" x14ac:dyDescent="0.25">
      <c r="A57" s="56">
        <f t="shared" si="8"/>
        <v>44</v>
      </c>
      <c r="B57" s="57" t="s">
        <v>401</v>
      </c>
      <c r="C57" s="56" t="s">
        <v>207</v>
      </c>
      <c r="D57" s="59">
        <v>1</v>
      </c>
      <c r="E57" s="138">
        <v>4477.97</v>
      </c>
      <c r="F57" s="76">
        <f t="shared" si="6"/>
        <v>4477.97</v>
      </c>
      <c r="G57" s="76">
        <f t="shared" si="7"/>
        <v>5373.56</v>
      </c>
    </row>
    <row r="58" spans="1:9" ht="15.75" x14ac:dyDescent="0.25">
      <c r="A58" s="56">
        <f t="shared" si="8"/>
        <v>45</v>
      </c>
      <c r="B58" s="57" t="s">
        <v>402</v>
      </c>
      <c r="C58" s="56" t="s">
        <v>207</v>
      </c>
      <c r="D58" s="59">
        <v>8</v>
      </c>
      <c r="E58" s="138">
        <v>592.5</v>
      </c>
      <c r="F58" s="76">
        <f t="shared" si="6"/>
        <v>4740</v>
      </c>
      <c r="G58" s="76">
        <f t="shared" si="7"/>
        <v>5688</v>
      </c>
    </row>
    <row r="59" spans="1:9" ht="30" x14ac:dyDescent="0.25">
      <c r="A59" s="56">
        <f t="shared" si="8"/>
        <v>46</v>
      </c>
      <c r="B59" s="57" t="s">
        <v>380</v>
      </c>
      <c r="C59" s="56" t="s">
        <v>207</v>
      </c>
      <c r="D59" s="59">
        <v>8</v>
      </c>
      <c r="E59" s="138">
        <v>210.41</v>
      </c>
      <c r="F59" s="76">
        <f t="shared" si="6"/>
        <v>1683.28</v>
      </c>
      <c r="G59" s="76">
        <f t="shared" si="7"/>
        <v>2019.94</v>
      </c>
    </row>
    <row r="60" spans="1:9" ht="45" x14ac:dyDescent="0.25">
      <c r="A60" s="56">
        <f t="shared" si="8"/>
        <v>47</v>
      </c>
      <c r="B60" s="57" t="s">
        <v>403</v>
      </c>
      <c r="C60" s="56" t="s">
        <v>207</v>
      </c>
      <c r="D60" s="59">
        <v>1</v>
      </c>
      <c r="E60" s="138">
        <v>2066.3000000000002</v>
      </c>
      <c r="F60" s="76">
        <f t="shared" si="6"/>
        <v>2066.3000000000002</v>
      </c>
      <c r="G60" s="76">
        <f t="shared" si="7"/>
        <v>2479.56</v>
      </c>
    </row>
    <row r="61" spans="1:9" ht="45" x14ac:dyDescent="0.25">
      <c r="A61" s="56">
        <f t="shared" si="8"/>
        <v>48</v>
      </c>
      <c r="B61" s="57" t="s">
        <v>404</v>
      </c>
      <c r="C61" s="56" t="s">
        <v>207</v>
      </c>
      <c r="D61" s="59">
        <v>1</v>
      </c>
      <c r="E61" s="138">
        <v>3397.31</v>
      </c>
      <c r="F61" s="76">
        <f t="shared" si="6"/>
        <v>3397.31</v>
      </c>
      <c r="G61" s="76">
        <f t="shared" si="7"/>
        <v>4076.77</v>
      </c>
    </row>
    <row r="62" spans="1:9" ht="30" x14ac:dyDescent="0.25">
      <c r="A62" s="56">
        <f t="shared" si="8"/>
        <v>49</v>
      </c>
      <c r="B62" s="57" t="s">
        <v>405</v>
      </c>
      <c r="C62" s="56" t="s">
        <v>207</v>
      </c>
      <c r="D62" s="59">
        <v>1</v>
      </c>
      <c r="E62" s="138">
        <v>3317.02</v>
      </c>
      <c r="F62" s="76">
        <f t="shared" si="6"/>
        <v>3317.02</v>
      </c>
      <c r="G62" s="76">
        <f t="shared" si="7"/>
        <v>3980.42</v>
      </c>
    </row>
    <row r="63" spans="1:9" ht="30" x14ac:dyDescent="0.25">
      <c r="A63" s="56">
        <f t="shared" si="8"/>
        <v>50</v>
      </c>
      <c r="B63" s="57" t="s">
        <v>406</v>
      </c>
      <c r="C63" s="56" t="s">
        <v>207</v>
      </c>
      <c r="D63" s="59">
        <v>1</v>
      </c>
      <c r="E63" s="138">
        <v>3397.31</v>
      </c>
      <c r="F63" s="76">
        <f t="shared" si="6"/>
        <v>3397.31</v>
      </c>
      <c r="G63" s="76">
        <f t="shared" si="7"/>
        <v>4076.77</v>
      </c>
    </row>
    <row r="64" spans="1:9" ht="30" x14ac:dyDescent="0.25">
      <c r="A64" s="56">
        <f t="shared" si="8"/>
        <v>51</v>
      </c>
      <c r="B64" s="57" t="s">
        <v>387</v>
      </c>
      <c r="C64" s="56" t="s">
        <v>461</v>
      </c>
      <c r="D64" s="59">
        <v>1</v>
      </c>
      <c r="E64" s="138">
        <v>30624.26</v>
      </c>
      <c r="F64" s="76">
        <f t="shared" si="6"/>
        <v>30624.26</v>
      </c>
      <c r="G64" s="76">
        <f t="shared" si="7"/>
        <v>36749.11</v>
      </c>
    </row>
    <row r="65" spans="1:9" ht="15.75" x14ac:dyDescent="0.25">
      <c r="A65" s="56"/>
      <c r="B65" s="55" t="s">
        <v>393</v>
      </c>
      <c r="C65" s="56"/>
      <c r="D65" s="59"/>
      <c r="E65" s="138"/>
      <c r="F65" s="76"/>
      <c r="G65" s="76"/>
    </row>
    <row r="66" spans="1:9" ht="30" x14ac:dyDescent="0.25">
      <c r="A66" s="56">
        <f>A64+1</f>
        <v>52</v>
      </c>
      <c r="B66" s="57" t="s">
        <v>407</v>
      </c>
      <c r="C66" s="56" t="s">
        <v>182</v>
      </c>
      <c r="D66" s="59">
        <v>97</v>
      </c>
      <c r="E66" s="138">
        <v>728.8</v>
      </c>
      <c r="F66" s="76">
        <f t="shared" si="6"/>
        <v>70693.600000000006</v>
      </c>
      <c r="G66" s="76">
        <f t="shared" ref="G66:G67" si="9">ROUND(F66*1.2,2)</f>
        <v>84832.320000000007</v>
      </c>
    </row>
    <row r="67" spans="1:9" ht="15.75" x14ac:dyDescent="0.25">
      <c r="A67" s="56">
        <f>A66+1</f>
        <v>53</v>
      </c>
      <c r="B67" s="57" t="s">
        <v>395</v>
      </c>
      <c r="C67" s="56" t="s">
        <v>219</v>
      </c>
      <c r="D67" s="59">
        <v>3</v>
      </c>
      <c r="E67" s="138">
        <v>433.62</v>
      </c>
      <c r="F67" s="76">
        <f t="shared" si="6"/>
        <v>1300.8599999999999</v>
      </c>
      <c r="G67" s="76">
        <f t="shared" si="9"/>
        <v>1561.03</v>
      </c>
    </row>
    <row r="68" spans="1:9" ht="30" x14ac:dyDescent="0.25">
      <c r="A68" s="56">
        <f>A67+1</f>
        <v>54</v>
      </c>
      <c r="B68" s="57" t="s">
        <v>396</v>
      </c>
      <c r="C68" s="56" t="s">
        <v>219</v>
      </c>
      <c r="D68" s="59">
        <v>3</v>
      </c>
      <c r="E68" s="138">
        <v>312.27999999999997</v>
      </c>
      <c r="F68" s="76">
        <f t="shared" si="6"/>
        <v>936.84</v>
      </c>
      <c r="G68" s="76">
        <f t="shared" si="7"/>
        <v>1124.21</v>
      </c>
    </row>
    <row r="69" spans="1:9" ht="34.5" customHeight="1" x14ac:dyDescent="0.25">
      <c r="A69" s="123"/>
      <c r="B69" s="246" t="s">
        <v>276</v>
      </c>
      <c r="C69" s="247"/>
      <c r="D69" s="248"/>
      <c r="E69" s="124"/>
      <c r="F69" s="125"/>
      <c r="G69" s="135"/>
    </row>
    <row r="70" spans="1:9" x14ac:dyDescent="0.25">
      <c r="A70" s="56"/>
      <c r="B70" s="55" t="s">
        <v>248</v>
      </c>
      <c r="C70" s="56"/>
      <c r="D70" s="137"/>
      <c r="E70" s="133"/>
      <c r="F70" s="130"/>
      <c r="G70" s="136"/>
    </row>
    <row r="71" spans="1:9" ht="30" x14ac:dyDescent="0.25">
      <c r="A71" s="56">
        <f>A68+1</f>
        <v>55</v>
      </c>
      <c r="B71" s="57" t="s">
        <v>367</v>
      </c>
      <c r="C71" s="56" t="s">
        <v>181</v>
      </c>
      <c r="D71" s="59">
        <v>1202</v>
      </c>
      <c r="E71" s="138">
        <v>90.47</v>
      </c>
      <c r="F71" s="76">
        <f t="shared" ref="F71:F96" si="10">ROUND(E71*D71,2)</f>
        <v>108744.94</v>
      </c>
      <c r="G71" s="76">
        <f t="shared" ref="G71:G88" si="11">ROUND(F71*1.2,2)</f>
        <v>130493.93</v>
      </c>
      <c r="H71">
        <v>325</v>
      </c>
    </row>
    <row r="72" spans="1:9" ht="15.75" x14ac:dyDescent="0.25">
      <c r="A72" s="56">
        <f>A71+1</f>
        <v>56</v>
      </c>
      <c r="B72" s="57" t="s">
        <v>368</v>
      </c>
      <c r="C72" s="56" t="s">
        <v>181</v>
      </c>
      <c r="D72" s="59">
        <v>36</v>
      </c>
      <c r="E72" s="138">
        <v>1860.11</v>
      </c>
      <c r="F72" s="76">
        <f t="shared" si="10"/>
        <v>66963.960000000006</v>
      </c>
      <c r="G72" s="76">
        <f t="shared" si="11"/>
        <v>80356.75</v>
      </c>
      <c r="H72">
        <v>1777</v>
      </c>
    </row>
    <row r="73" spans="1:9" ht="15.75" x14ac:dyDescent="0.25">
      <c r="A73" s="56">
        <f t="shared" ref="A73:A80" si="12">A72+1</f>
        <v>57</v>
      </c>
      <c r="B73" s="57" t="s">
        <v>369</v>
      </c>
      <c r="C73" s="56" t="s">
        <v>181</v>
      </c>
      <c r="D73" s="59">
        <v>46</v>
      </c>
      <c r="E73" s="138">
        <v>1205.9100000000001</v>
      </c>
      <c r="F73" s="76">
        <f t="shared" si="10"/>
        <v>55471.86</v>
      </c>
      <c r="G73" s="76">
        <f t="shared" si="11"/>
        <v>66566.23</v>
      </c>
    </row>
    <row r="74" spans="1:9" ht="15.75" x14ac:dyDescent="0.25">
      <c r="A74" s="56">
        <f t="shared" si="12"/>
        <v>58</v>
      </c>
      <c r="B74" s="57" t="s">
        <v>253</v>
      </c>
      <c r="C74" s="56" t="s">
        <v>181</v>
      </c>
      <c r="D74" s="59">
        <v>8</v>
      </c>
      <c r="E74" s="138">
        <v>1456.66</v>
      </c>
      <c r="F74" s="76">
        <f t="shared" si="10"/>
        <v>11653.28</v>
      </c>
      <c r="G74" s="76">
        <f t="shared" si="11"/>
        <v>13983.94</v>
      </c>
      <c r="H74">
        <v>1379</v>
      </c>
    </row>
    <row r="75" spans="1:9" ht="15.75" x14ac:dyDescent="0.25">
      <c r="A75" s="56">
        <f t="shared" si="12"/>
        <v>59</v>
      </c>
      <c r="B75" s="57" t="s">
        <v>370</v>
      </c>
      <c r="C75" s="56" t="s">
        <v>181</v>
      </c>
      <c r="D75" s="59">
        <v>48</v>
      </c>
      <c r="E75" s="138">
        <v>856.54</v>
      </c>
      <c r="F75" s="76">
        <f t="shared" si="10"/>
        <v>41113.919999999998</v>
      </c>
      <c r="G75" s="76">
        <f t="shared" si="11"/>
        <v>49336.7</v>
      </c>
      <c r="H75">
        <v>1379</v>
      </c>
    </row>
    <row r="76" spans="1:9" ht="15.75" x14ac:dyDescent="0.25">
      <c r="A76" s="56">
        <f t="shared" si="12"/>
        <v>60</v>
      </c>
      <c r="B76" s="57" t="s">
        <v>408</v>
      </c>
      <c r="C76" s="56" t="s">
        <v>181</v>
      </c>
      <c r="D76" s="59">
        <v>1116</v>
      </c>
      <c r="E76" s="138">
        <v>9.73</v>
      </c>
      <c r="F76" s="76">
        <f t="shared" si="10"/>
        <v>10858.68</v>
      </c>
      <c r="G76" s="76">
        <f t="shared" si="11"/>
        <v>13030.42</v>
      </c>
      <c r="H76">
        <v>125</v>
      </c>
    </row>
    <row r="77" spans="1:9" ht="15.75" x14ac:dyDescent="0.25">
      <c r="A77" s="56">
        <f t="shared" si="12"/>
        <v>61</v>
      </c>
      <c r="B77" s="57" t="s">
        <v>246</v>
      </c>
      <c r="C77" s="56" t="s">
        <v>181</v>
      </c>
      <c r="D77" s="59">
        <v>1116</v>
      </c>
      <c r="E77" s="138">
        <v>197.58</v>
      </c>
      <c r="F77" s="76">
        <f t="shared" si="10"/>
        <v>220499.28</v>
      </c>
      <c r="G77" s="76">
        <f t="shared" si="11"/>
        <v>264599.14</v>
      </c>
      <c r="H77">
        <v>198</v>
      </c>
    </row>
    <row r="78" spans="1:9" ht="15.75" x14ac:dyDescent="0.25">
      <c r="A78" s="56">
        <f t="shared" si="12"/>
        <v>62</v>
      </c>
      <c r="B78" s="57" t="s">
        <v>409</v>
      </c>
      <c r="C78" s="56" t="s">
        <v>181</v>
      </c>
      <c r="D78" s="59">
        <v>59</v>
      </c>
      <c r="E78" s="138">
        <v>856.54</v>
      </c>
      <c r="F78" s="76">
        <f t="shared" si="10"/>
        <v>50535.86</v>
      </c>
      <c r="G78" s="76">
        <f t="shared" si="11"/>
        <v>60643.03</v>
      </c>
      <c r="H78">
        <v>899</v>
      </c>
    </row>
    <row r="79" spans="1:9" ht="30" x14ac:dyDescent="0.25">
      <c r="A79" s="56">
        <f t="shared" si="12"/>
        <v>63</v>
      </c>
      <c r="B79" s="57" t="s">
        <v>410</v>
      </c>
      <c r="C79" s="56" t="s">
        <v>219</v>
      </c>
      <c r="D79" s="60">
        <v>100.8</v>
      </c>
      <c r="E79" s="138">
        <v>67.760000000000005</v>
      </c>
      <c r="F79" s="76">
        <f t="shared" si="10"/>
        <v>6830.21</v>
      </c>
      <c r="G79" s="76">
        <f t="shared" si="11"/>
        <v>8196.25</v>
      </c>
      <c r="H79">
        <v>325</v>
      </c>
    </row>
    <row r="80" spans="1:9" ht="30" x14ac:dyDescent="0.25">
      <c r="A80" s="56">
        <f t="shared" si="12"/>
        <v>64</v>
      </c>
      <c r="B80" s="57" t="s">
        <v>372</v>
      </c>
      <c r="C80" s="56" t="s">
        <v>219</v>
      </c>
      <c r="D80" s="60">
        <v>100.8</v>
      </c>
      <c r="E80" s="138">
        <v>312.27999999999997</v>
      </c>
      <c r="F80" s="76">
        <f t="shared" si="10"/>
        <v>31477.82</v>
      </c>
      <c r="G80" s="76">
        <f t="shared" si="11"/>
        <v>37773.379999999997</v>
      </c>
      <c r="H80">
        <v>3460</v>
      </c>
      <c r="I80" s="150" t="s">
        <v>459</v>
      </c>
    </row>
    <row r="81" spans="1:7" ht="15.75" x14ac:dyDescent="0.25">
      <c r="A81" s="56"/>
      <c r="B81" s="55" t="s">
        <v>254</v>
      </c>
      <c r="C81" s="56"/>
      <c r="D81" s="58"/>
      <c r="E81" s="138"/>
      <c r="F81" s="76"/>
      <c r="G81" s="76"/>
    </row>
    <row r="82" spans="1:7" ht="30" x14ac:dyDescent="0.25">
      <c r="A82" s="56">
        <f>A80+1</f>
        <v>65</v>
      </c>
      <c r="B82" s="57" t="s">
        <v>411</v>
      </c>
      <c r="C82" s="56" t="s">
        <v>182</v>
      </c>
      <c r="D82" s="59">
        <v>82</v>
      </c>
      <c r="E82" s="138">
        <v>1494.21</v>
      </c>
      <c r="F82" s="76">
        <f t="shared" si="10"/>
        <v>122525.22</v>
      </c>
      <c r="G82" s="76">
        <f t="shared" si="11"/>
        <v>147030.26</v>
      </c>
    </row>
    <row r="83" spans="1:7" ht="30" x14ac:dyDescent="0.25">
      <c r="A83" s="56">
        <f>A82+1</f>
        <v>66</v>
      </c>
      <c r="B83" s="57" t="s">
        <v>412</v>
      </c>
      <c r="C83" s="56" t="s">
        <v>182</v>
      </c>
      <c r="D83" s="59">
        <v>41</v>
      </c>
      <c r="E83" s="138">
        <v>2559.31</v>
      </c>
      <c r="F83" s="76">
        <f t="shared" si="10"/>
        <v>104931.71</v>
      </c>
      <c r="G83" s="76">
        <f t="shared" si="11"/>
        <v>125918.05</v>
      </c>
    </row>
    <row r="84" spans="1:7" ht="15.75" x14ac:dyDescent="0.25">
      <c r="A84" s="56">
        <f t="shared" ref="A84:A92" si="13">A83+1</f>
        <v>67</v>
      </c>
      <c r="B84" s="57" t="s">
        <v>413</v>
      </c>
      <c r="C84" s="56"/>
      <c r="D84" s="59">
        <v>1</v>
      </c>
      <c r="E84" s="138">
        <v>1504.77</v>
      </c>
      <c r="F84" s="76">
        <f t="shared" si="10"/>
        <v>1504.77</v>
      </c>
      <c r="G84" s="76">
        <f t="shared" si="11"/>
        <v>1805.72</v>
      </c>
    </row>
    <row r="85" spans="1:7" ht="30" x14ac:dyDescent="0.25">
      <c r="A85" s="56">
        <f t="shared" si="13"/>
        <v>68</v>
      </c>
      <c r="B85" s="57" t="s">
        <v>414</v>
      </c>
      <c r="C85" s="56" t="s">
        <v>207</v>
      </c>
      <c r="D85" s="59">
        <v>2</v>
      </c>
      <c r="E85" s="138">
        <v>7253.94</v>
      </c>
      <c r="F85" s="76">
        <f t="shared" si="10"/>
        <v>14507.88</v>
      </c>
      <c r="G85" s="76">
        <f t="shared" si="11"/>
        <v>17409.46</v>
      </c>
    </row>
    <row r="86" spans="1:7" ht="30" x14ac:dyDescent="0.25">
      <c r="A86" s="56">
        <f t="shared" si="13"/>
        <v>69</v>
      </c>
      <c r="B86" s="57" t="s">
        <v>415</v>
      </c>
      <c r="C86" s="56" t="s">
        <v>207</v>
      </c>
      <c r="D86" s="59">
        <v>2</v>
      </c>
      <c r="E86" s="138">
        <v>6691.94</v>
      </c>
      <c r="F86" s="76">
        <f t="shared" si="10"/>
        <v>13383.88</v>
      </c>
      <c r="G86" s="76">
        <f t="shared" si="11"/>
        <v>16060.66</v>
      </c>
    </row>
    <row r="87" spans="1:7" ht="15.75" x14ac:dyDescent="0.25">
      <c r="A87" s="56">
        <f t="shared" si="13"/>
        <v>70</v>
      </c>
      <c r="B87" s="57" t="s">
        <v>402</v>
      </c>
      <c r="C87" s="56" t="s">
        <v>207</v>
      </c>
      <c r="D87" s="59">
        <v>24</v>
      </c>
      <c r="E87" s="138">
        <v>592.5</v>
      </c>
      <c r="F87" s="76">
        <f t="shared" si="10"/>
        <v>14220</v>
      </c>
      <c r="G87" s="76">
        <f t="shared" si="11"/>
        <v>17064</v>
      </c>
    </row>
    <row r="88" spans="1:7" ht="30" x14ac:dyDescent="0.25">
      <c r="A88" s="56">
        <f t="shared" si="13"/>
        <v>71</v>
      </c>
      <c r="B88" s="57" t="s">
        <v>380</v>
      </c>
      <c r="C88" s="56" t="s">
        <v>207</v>
      </c>
      <c r="D88" s="59">
        <v>24</v>
      </c>
      <c r="E88" s="138">
        <v>210.41</v>
      </c>
      <c r="F88" s="76">
        <f t="shared" si="10"/>
        <v>5049.84</v>
      </c>
      <c r="G88" s="76">
        <f t="shared" si="11"/>
        <v>6059.81</v>
      </c>
    </row>
    <row r="89" spans="1:7" ht="45" x14ac:dyDescent="0.25">
      <c r="A89" s="56">
        <f t="shared" si="13"/>
        <v>72</v>
      </c>
      <c r="B89" s="57" t="s">
        <v>416</v>
      </c>
      <c r="C89" s="56" t="s">
        <v>207</v>
      </c>
      <c r="D89" s="59">
        <v>2</v>
      </c>
      <c r="E89" s="138">
        <v>2752.92</v>
      </c>
      <c r="F89" s="76">
        <f t="shared" si="10"/>
        <v>5505.84</v>
      </c>
      <c r="G89" s="76">
        <f t="shared" ref="G89:G96" si="14">ROUND(F89*1.2,2)</f>
        <v>6607.01</v>
      </c>
    </row>
    <row r="90" spans="1:7" ht="45" x14ac:dyDescent="0.25">
      <c r="A90" s="56">
        <f t="shared" si="13"/>
        <v>73</v>
      </c>
      <c r="B90" s="57" t="s">
        <v>417</v>
      </c>
      <c r="C90" s="56" t="s">
        <v>207</v>
      </c>
      <c r="D90" s="59">
        <v>2</v>
      </c>
      <c r="E90" s="138">
        <v>5356.92</v>
      </c>
      <c r="F90" s="76">
        <f t="shared" si="10"/>
        <v>10713.84</v>
      </c>
      <c r="G90" s="76">
        <f t="shared" si="14"/>
        <v>12856.61</v>
      </c>
    </row>
    <row r="91" spans="1:7" ht="30" x14ac:dyDescent="0.25">
      <c r="A91" s="56">
        <f t="shared" si="13"/>
        <v>74</v>
      </c>
      <c r="B91" s="57" t="s">
        <v>418</v>
      </c>
      <c r="C91" s="56" t="s">
        <v>207</v>
      </c>
      <c r="D91" s="59">
        <v>6</v>
      </c>
      <c r="E91" s="138">
        <v>3397.3</v>
      </c>
      <c r="F91" s="76">
        <f t="shared" si="10"/>
        <v>20383.8</v>
      </c>
      <c r="G91" s="76">
        <f t="shared" si="14"/>
        <v>24460.560000000001</v>
      </c>
    </row>
    <row r="92" spans="1:7" ht="30" x14ac:dyDescent="0.25">
      <c r="A92" s="56">
        <f t="shared" si="13"/>
        <v>75</v>
      </c>
      <c r="B92" s="57" t="s">
        <v>387</v>
      </c>
      <c r="C92" s="56" t="s">
        <v>461</v>
      </c>
      <c r="D92" s="59">
        <v>1</v>
      </c>
      <c r="E92" s="138">
        <v>42094.04</v>
      </c>
      <c r="F92" s="76">
        <f t="shared" si="10"/>
        <v>42094.04</v>
      </c>
      <c r="G92" s="76">
        <f t="shared" si="14"/>
        <v>50512.85</v>
      </c>
    </row>
    <row r="93" spans="1:7" ht="15.75" x14ac:dyDescent="0.25">
      <c r="A93" s="56"/>
      <c r="B93" s="55" t="s">
        <v>393</v>
      </c>
      <c r="C93" s="56"/>
      <c r="D93" s="59"/>
      <c r="E93" s="138"/>
      <c r="F93" s="76"/>
      <c r="G93" s="76"/>
    </row>
    <row r="94" spans="1:7" ht="23.25" customHeight="1" x14ac:dyDescent="0.25">
      <c r="A94" s="56">
        <f>A92+1</f>
        <v>76</v>
      </c>
      <c r="B94" s="57" t="s">
        <v>419</v>
      </c>
      <c r="C94" s="56" t="s">
        <v>182</v>
      </c>
      <c r="D94" s="59">
        <v>85</v>
      </c>
      <c r="E94" s="138">
        <v>915.99</v>
      </c>
      <c r="F94" s="76">
        <f t="shared" si="10"/>
        <v>77859.149999999994</v>
      </c>
      <c r="G94" s="76">
        <f t="shared" si="14"/>
        <v>93430.98</v>
      </c>
    </row>
    <row r="95" spans="1:7" ht="15.75" x14ac:dyDescent="0.25">
      <c r="A95" s="56">
        <f>A94+1</f>
        <v>77</v>
      </c>
      <c r="B95" s="57" t="s">
        <v>395</v>
      </c>
      <c r="C95" s="56" t="s">
        <v>219</v>
      </c>
      <c r="D95" s="59">
        <v>4</v>
      </c>
      <c r="E95" s="138">
        <v>433.62</v>
      </c>
      <c r="F95" s="76">
        <f t="shared" si="10"/>
        <v>1734.48</v>
      </c>
      <c r="G95" s="76">
        <f t="shared" si="14"/>
        <v>2081.38</v>
      </c>
    </row>
    <row r="96" spans="1:7" ht="30" x14ac:dyDescent="0.25">
      <c r="A96" s="56">
        <f>A95+1</f>
        <v>78</v>
      </c>
      <c r="B96" s="57" t="s">
        <v>420</v>
      </c>
      <c r="C96" s="56" t="s">
        <v>219</v>
      </c>
      <c r="D96" s="59">
        <v>4</v>
      </c>
      <c r="E96" s="138">
        <v>312.27999999999997</v>
      </c>
      <c r="F96" s="76">
        <f t="shared" si="10"/>
        <v>1249.1199999999999</v>
      </c>
      <c r="G96" s="76">
        <f t="shared" si="14"/>
        <v>1498.94</v>
      </c>
    </row>
    <row r="97" spans="1:9" ht="32.25" customHeight="1" x14ac:dyDescent="0.25">
      <c r="A97" s="123"/>
      <c r="B97" s="246" t="s">
        <v>277</v>
      </c>
      <c r="C97" s="247"/>
      <c r="D97" s="248"/>
      <c r="E97" s="124"/>
      <c r="F97" s="125"/>
      <c r="G97" s="135"/>
    </row>
    <row r="98" spans="1:9" x14ac:dyDescent="0.25">
      <c r="A98" s="56"/>
      <c r="B98" s="55" t="s">
        <v>248</v>
      </c>
      <c r="C98" s="56"/>
      <c r="D98" s="59"/>
      <c r="E98" s="133"/>
      <c r="F98" s="130"/>
      <c r="G98" s="136"/>
    </row>
    <row r="99" spans="1:9" ht="30" x14ac:dyDescent="0.25">
      <c r="A99" s="56">
        <f>A96+1</f>
        <v>79</v>
      </c>
      <c r="B99" s="57" t="s">
        <v>367</v>
      </c>
      <c r="C99" s="56" t="s">
        <v>181</v>
      </c>
      <c r="D99" s="59">
        <v>1328</v>
      </c>
      <c r="E99" s="138">
        <v>90.47</v>
      </c>
      <c r="F99" s="76">
        <f t="shared" ref="F99:F120" si="15">ROUND(E99*D99,2)</f>
        <v>120144.16</v>
      </c>
      <c r="G99" s="76">
        <f t="shared" ref="G99:G120" si="16">ROUND(F99*1.2,2)</f>
        <v>144172.99</v>
      </c>
      <c r="H99">
        <v>325</v>
      </c>
    </row>
    <row r="100" spans="1:9" ht="15.75" x14ac:dyDescent="0.25">
      <c r="A100" s="56">
        <f>A99+1</f>
        <v>80</v>
      </c>
      <c r="B100" s="57" t="s">
        <v>368</v>
      </c>
      <c r="C100" s="56" t="s">
        <v>181</v>
      </c>
      <c r="D100" s="59">
        <v>40</v>
      </c>
      <c r="E100" s="138">
        <v>1860.11</v>
      </c>
      <c r="F100" s="76">
        <f t="shared" si="15"/>
        <v>74404.399999999994</v>
      </c>
      <c r="G100" s="76">
        <f t="shared" si="16"/>
        <v>89285.28</v>
      </c>
      <c r="H100">
        <v>1777</v>
      </c>
    </row>
    <row r="101" spans="1:9" ht="15.75" x14ac:dyDescent="0.25">
      <c r="A101" s="56">
        <f t="shared" ref="A101:A109" si="17">A100+1</f>
        <v>81</v>
      </c>
      <c r="B101" s="57" t="s">
        <v>369</v>
      </c>
      <c r="C101" s="56" t="s">
        <v>181</v>
      </c>
      <c r="D101" s="59">
        <v>15</v>
      </c>
      <c r="E101" s="138">
        <v>1155.67</v>
      </c>
      <c r="F101" s="76">
        <f t="shared" si="15"/>
        <v>17335.05</v>
      </c>
      <c r="G101" s="76">
        <f t="shared" si="16"/>
        <v>20802.060000000001</v>
      </c>
    </row>
    <row r="102" spans="1:9" ht="15.75" x14ac:dyDescent="0.25">
      <c r="A102" s="56">
        <f t="shared" si="17"/>
        <v>82</v>
      </c>
      <c r="B102" s="57" t="s">
        <v>253</v>
      </c>
      <c r="C102" s="56" t="s">
        <v>181</v>
      </c>
      <c r="D102" s="59">
        <v>4</v>
      </c>
      <c r="E102" s="138">
        <v>1456.66</v>
      </c>
      <c r="F102" s="76">
        <f t="shared" si="15"/>
        <v>5826.64</v>
      </c>
      <c r="G102" s="76">
        <f t="shared" si="16"/>
        <v>6991.97</v>
      </c>
      <c r="H102">
        <v>1379</v>
      </c>
    </row>
    <row r="103" spans="1:9" ht="15.75" x14ac:dyDescent="0.25">
      <c r="A103" s="56">
        <f t="shared" si="17"/>
        <v>83</v>
      </c>
      <c r="B103" s="57" t="s">
        <v>370</v>
      </c>
      <c r="C103" s="56" t="s">
        <v>181</v>
      </c>
      <c r="D103" s="59">
        <v>15</v>
      </c>
      <c r="E103" s="138">
        <v>856.54</v>
      </c>
      <c r="F103" s="76">
        <f t="shared" si="15"/>
        <v>12848.1</v>
      </c>
      <c r="G103" s="76">
        <f t="shared" si="16"/>
        <v>15417.72</v>
      </c>
      <c r="H103">
        <v>1379</v>
      </c>
    </row>
    <row r="104" spans="1:9" ht="15.75" x14ac:dyDescent="0.25">
      <c r="A104" s="56">
        <f t="shared" si="17"/>
        <v>84</v>
      </c>
      <c r="B104" s="57" t="s">
        <v>408</v>
      </c>
      <c r="C104" s="56" t="s">
        <v>181</v>
      </c>
      <c r="D104" s="59">
        <v>1280</v>
      </c>
      <c r="E104" s="138">
        <v>9.73</v>
      </c>
      <c r="F104" s="76">
        <f t="shared" si="15"/>
        <v>12454.4</v>
      </c>
      <c r="G104" s="76">
        <f t="shared" si="16"/>
        <v>14945.28</v>
      </c>
      <c r="H104">
        <v>125</v>
      </c>
    </row>
    <row r="105" spans="1:9" ht="15.75" x14ac:dyDescent="0.25">
      <c r="A105" s="56">
        <f t="shared" si="17"/>
        <v>85</v>
      </c>
      <c r="B105" s="57" t="s">
        <v>246</v>
      </c>
      <c r="C105" s="56" t="s">
        <v>181</v>
      </c>
      <c r="D105" s="59">
        <v>1280</v>
      </c>
      <c r="E105" s="138">
        <v>197.58</v>
      </c>
      <c r="F105" s="76">
        <f t="shared" si="15"/>
        <v>252902.39999999999</v>
      </c>
      <c r="G105" s="76">
        <f t="shared" si="16"/>
        <v>303482.88</v>
      </c>
      <c r="H105">
        <v>198</v>
      </c>
    </row>
    <row r="106" spans="1:9" ht="15.75" x14ac:dyDescent="0.25">
      <c r="A106" s="56">
        <f t="shared" si="17"/>
        <v>86</v>
      </c>
      <c r="B106" s="57" t="s">
        <v>409</v>
      </c>
      <c r="C106" s="56" t="s">
        <v>181</v>
      </c>
      <c r="D106" s="59">
        <v>67</v>
      </c>
      <c r="E106" s="138">
        <v>856.54</v>
      </c>
      <c r="F106" s="76">
        <f t="shared" si="15"/>
        <v>57388.18</v>
      </c>
      <c r="G106" s="76">
        <f t="shared" si="16"/>
        <v>68865.820000000007</v>
      </c>
      <c r="H106">
        <v>899</v>
      </c>
    </row>
    <row r="107" spans="1:9" ht="30" x14ac:dyDescent="0.25">
      <c r="A107" s="56">
        <f t="shared" si="17"/>
        <v>87</v>
      </c>
      <c r="B107" s="57" t="s">
        <v>410</v>
      </c>
      <c r="C107" s="56" t="s">
        <v>219</v>
      </c>
      <c r="D107" s="60">
        <v>33.6</v>
      </c>
      <c r="E107" s="138">
        <v>67.760000000000005</v>
      </c>
      <c r="F107" s="76">
        <f t="shared" si="15"/>
        <v>2276.7399999999998</v>
      </c>
      <c r="G107" s="76">
        <f t="shared" si="16"/>
        <v>2732.09</v>
      </c>
      <c r="H107">
        <v>325</v>
      </c>
    </row>
    <row r="108" spans="1:9" ht="30" x14ac:dyDescent="0.25">
      <c r="A108" s="56">
        <f t="shared" si="17"/>
        <v>88</v>
      </c>
      <c r="B108" s="57" t="s">
        <v>372</v>
      </c>
      <c r="C108" s="56" t="s">
        <v>219</v>
      </c>
      <c r="D108" s="60">
        <v>33.6</v>
      </c>
      <c r="E108" s="138">
        <v>312.27999999999997</v>
      </c>
      <c r="F108" s="76">
        <f t="shared" si="15"/>
        <v>10492.61</v>
      </c>
      <c r="G108" s="76">
        <f t="shared" si="16"/>
        <v>12591.13</v>
      </c>
      <c r="H108">
        <v>3460</v>
      </c>
      <c r="I108" s="150" t="s">
        <v>459</v>
      </c>
    </row>
    <row r="109" spans="1:9" ht="30" x14ac:dyDescent="0.25">
      <c r="A109" s="56">
        <f t="shared" si="17"/>
        <v>89</v>
      </c>
      <c r="B109" s="57" t="s">
        <v>421</v>
      </c>
      <c r="C109" s="56" t="s">
        <v>235</v>
      </c>
      <c r="D109" s="59">
        <v>127</v>
      </c>
      <c r="E109" s="138">
        <v>306.77</v>
      </c>
      <c r="F109" s="76">
        <f t="shared" si="15"/>
        <v>38959.79</v>
      </c>
      <c r="G109" s="76">
        <f t="shared" si="16"/>
        <v>46751.75</v>
      </c>
    </row>
    <row r="110" spans="1:9" ht="21.75" customHeight="1" x14ac:dyDescent="0.25">
      <c r="A110" s="56"/>
      <c r="B110" s="55" t="s">
        <v>254</v>
      </c>
      <c r="C110" s="56"/>
      <c r="D110" s="59"/>
      <c r="E110" s="138"/>
      <c r="F110" s="76"/>
      <c r="G110" s="76"/>
    </row>
    <row r="111" spans="1:9" ht="30" x14ac:dyDescent="0.25">
      <c r="A111" s="56">
        <f>A109+1</f>
        <v>90</v>
      </c>
      <c r="B111" s="57" t="s">
        <v>422</v>
      </c>
      <c r="C111" s="56" t="s">
        <v>182</v>
      </c>
      <c r="D111" s="59">
        <v>42</v>
      </c>
      <c r="E111" s="138">
        <v>1045.03</v>
      </c>
      <c r="F111" s="76">
        <f t="shared" si="15"/>
        <v>43891.26</v>
      </c>
      <c r="G111" s="76">
        <f t="shared" si="16"/>
        <v>52669.51</v>
      </c>
    </row>
    <row r="112" spans="1:9" ht="45" x14ac:dyDescent="0.25">
      <c r="A112" s="56">
        <f>A111+1</f>
        <v>91</v>
      </c>
      <c r="B112" s="57" t="s">
        <v>423</v>
      </c>
      <c r="C112" s="56" t="s">
        <v>182</v>
      </c>
      <c r="D112" s="59">
        <v>6</v>
      </c>
      <c r="E112" s="138">
        <v>1960.07</v>
      </c>
      <c r="F112" s="76">
        <f t="shared" si="15"/>
        <v>11760.42</v>
      </c>
      <c r="G112" s="76">
        <f t="shared" si="16"/>
        <v>14112.5</v>
      </c>
    </row>
    <row r="113" spans="1:8" ht="45" x14ac:dyDescent="0.25">
      <c r="A113" s="56">
        <f t="shared" ref="A113:A116" si="18">A112+1</f>
        <v>92</v>
      </c>
      <c r="B113" s="57" t="s">
        <v>424</v>
      </c>
      <c r="C113" s="56" t="s">
        <v>207</v>
      </c>
      <c r="D113" s="59">
        <v>2</v>
      </c>
      <c r="E113" s="138">
        <v>1871.48</v>
      </c>
      <c r="F113" s="76">
        <f t="shared" si="15"/>
        <v>3742.96</v>
      </c>
      <c r="G113" s="76">
        <f t="shared" si="16"/>
        <v>4491.55</v>
      </c>
    </row>
    <row r="114" spans="1:8" ht="45" x14ac:dyDescent="0.25">
      <c r="A114" s="56">
        <f t="shared" si="18"/>
        <v>93</v>
      </c>
      <c r="B114" s="57" t="s">
        <v>425</v>
      </c>
      <c r="C114" s="56" t="s">
        <v>207</v>
      </c>
      <c r="D114" s="59">
        <v>2</v>
      </c>
      <c r="E114" s="138">
        <v>6085.16</v>
      </c>
      <c r="F114" s="76">
        <f t="shared" si="15"/>
        <v>12170.32</v>
      </c>
      <c r="G114" s="76">
        <f t="shared" si="16"/>
        <v>14604.38</v>
      </c>
    </row>
    <row r="115" spans="1:8" ht="30" x14ac:dyDescent="0.25">
      <c r="A115" s="56">
        <f t="shared" si="18"/>
        <v>94</v>
      </c>
      <c r="B115" s="57" t="s">
        <v>386</v>
      </c>
      <c r="C115" s="56" t="s">
        <v>207</v>
      </c>
      <c r="D115" s="59">
        <v>1</v>
      </c>
      <c r="E115" s="138">
        <v>3397.31</v>
      </c>
      <c r="F115" s="76">
        <f t="shared" si="15"/>
        <v>3397.31</v>
      </c>
      <c r="G115" s="76">
        <f t="shared" si="16"/>
        <v>4076.77</v>
      </c>
    </row>
    <row r="116" spans="1:8" ht="30" customHeight="1" x14ac:dyDescent="0.25">
      <c r="A116" s="56">
        <f t="shared" si="18"/>
        <v>95</v>
      </c>
      <c r="B116" s="57" t="s">
        <v>387</v>
      </c>
      <c r="C116" s="56" t="s">
        <v>461</v>
      </c>
      <c r="D116" s="59">
        <v>1</v>
      </c>
      <c r="E116" s="138">
        <v>30624.26</v>
      </c>
      <c r="F116" s="76">
        <f t="shared" si="15"/>
        <v>30624.26</v>
      </c>
      <c r="G116" s="76">
        <f t="shared" si="16"/>
        <v>36749.11</v>
      </c>
    </row>
    <row r="117" spans="1:8" ht="22.5" customHeight="1" x14ac:dyDescent="0.25">
      <c r="A117" s="56"/>
      <c r="B117" s="55" t="s">
        <v>393</v>
      </c>
      <c r="C117" s="56"/>
      <c r="D117" s="59"/>
      <c r="E117" s="138"/>
      <c r="F117" s="76"/>
      <c r="G117" s="76"/>
    </row>
    <row r="118" spans="1:8" ht="15.75" x14ac:dyDescent="0.25">
      <c r="A118" s="56">
        <f>A116+1</f>
        <v>96</v>
      </c>
      <c r="B118" s="57" t="s">
        <v>426</v>
      </c>
      <c r="C118" s="56" t="s">
        <v>182</v>
      </c>
      <c r="D118" s="59">
        <v>42</v>
      </c>
      <c r="E118" s="138">
        <v>728.05</v>
      </c>
      <c r="F118" s="76">
        <f t="shared" si="15"/>
        <v>30578.1</v>
      </c>
      <c r="G118" s="76">
        <f t="shared" si="16"/>
        <v>36693.72</v>
      </c>
    </row>
    <row r="119" spans="1:8" ht="15.75" x14ac:dyDescent="0.25">
      <c r="A119" s="56">
        <f>A118+1</f>
        <v>97</v>
      </c>
      <c r="B119" s="57" t="s">
        <v>428</v>
      </c>
      <c r="C119" s="56" t="s">
        <v>219</v>
      </c>
      <c r="D119" s="60">
        <v>0.6</v>
      </c>
      <c r="E119" s="138">
        <v>436.17</v>
      </c>
      <c r="F119" s="76">
        <f t="shared" si="15"/>
        <v>261.7</v>
      </c>
      <c r="G119" s="76">
        <f t="shared" si="16"/>
        <v>314.04000000000002</v>
      </c>
    </row>
    <row r="120" spans="1:8" ht="30" x14ac:dyDescent="0.25">
      <c r="A120" s="56">
        <f>A119+1</f>
        <v>98</v>
      </c>
      <c r="B120" s="57" t="s">
        <v>427</v>
      </c>
      <c r="C120" s="56" t="s">
        <v>219</v>
      </c>
      <c r="D120" s="60">
        <v>0.6</v>
      </c>
      <c r="E120" s="138">
        <v>312.27999999999997</v>
      </c>
      <c r="F120" s="76">
        <f t="shared" si="15"/>
        <v>187.37</v>
      </c>
      <c r="G120" s="76">
        <f t="shared" si="16"/>
        <v>224.84</v>
      </c>
    </row>
    <row r="121" spans="1:8" ht="33.75" customHeight="1" x14ac:dyDescent="0.25">
      <c r="A121" s="123"/>
      <c r="B121" s="246" t="s">
        <v>278</v>
      </c>
      <c r="C121" s="247"/>
      <c r="D121" s="248"/>
      <c r="E121" s="124"/>
      <c r="F121" s="125"/>
      <c r="G121" s="135"/>
    </row>
    <row r="122" spans="1:8" x14ac:dyDescent="0.25">
      <c r="A122" s="56"/>
      <c r="B122" s="55" t="s">
        <v>248</v>
      </c>
      <c r="C122" s="56"/>
      <c r="D122" s="59"/>
      <c r="E122" s="133"/>
      <c r="F122" s="130"/>
      <c r="G122" s="136"/>
    </row>
    <row r="123" spans="1:8" ht="30" x14ac:dyDescent="0.25">
      <c r="A123" s="56">
        <f>A120+1</f>
        <v>99</v>
      </c>
      <c r="B123" s="57" t="s">
        <v>367</v>
      </c>
      <c r="C123" s="56" t="s">
        <v>181</v>
      </c>
      <c r="D123" s="59">
        <v>835</v>
      </c>
      <c r="E123" s="138">
        <v>90.47</v>
      </c>
      <c r="F123" s="76">
        <f t="shared" ref="F123:F139" si="19">ROUND(E123*D123,2)</f>
        <v>75542.45</v>
      </c>
      <c r="G123" s="76">
        <f t="shared" ref="G123:G139" si="20">ROUND(F123*1.2,2)</f>
        <v>90650.94</v>
      </c>
      <c r="H123">
        <v>325</v>
      </c>
    </row>
    <row r="124" spans="1:8" ht="15.75" x14ac:dyDescent="0.25">
      <c r="A124" s="56">
        <f>A123+1</f>
        <v>100</v>
      </c>
      <c r="B124" s="57" t="s">
        <v>368</v>
      </c>
      <c r="C124" s="56" t="s">
        <v>181</v>
      </c>
      <c r="D124" s="59">
        <v>25</v>
      </c>
      <c r="E124" s="138">
        <v>1860.11</v>
      </c>
      <c r="F124" s="76">
        <f t="shared" si="19"/>
        <v>46502.75</v>
      </c>
      <c r="G124" s="76">
        <f t="shared" si="20"/>
        <v>55803.3</v>
      </c>
      <c r="H124">
        <v>1777</v>
      </c>
    </row>
    <row r="125" spans="1:8" ht="15.75" x14ac:dyDescent="0.25">
      <c r="A125" s="56">
        <f>A124+1</f>
        <v>101</v>
      </c>
      <c r="B125" s="57" t="s">
        <v>369</v>
      </c>
      <c r="C125" s="56" t="s">
        <v>181</v>
      </c>
      <c r="D125" s="59">
        <v>9</v>
      </c>
      <c r="E125" s="138">
        <v>1155.67</v>
      </c>
      <c r="F125" s="76">
        <f t="shared" si="19"/>
        <v>10401.030000000001</v>
      </c>
      <c r="G125" s="76">
        <f t="shared" si="20"/>
        <v>12481.24</v>
      </c>
    </row>
    <row r="126" spans="1:8" ht="15.75" x14ac:dyDescent="0.25">
      <c r="A126" s="56">
        <f t="shared" ref="A126:A132" si="21">A125+1</f>
        <v>102</v>
      </c>
      <c r="B126" s="57" t="s">
        <v>253</v>
      </c>
      <c r="C126" s="56" t="s">
        <v>181</v>
      </c>
      <c r="D126" s="59">
        <v>2</v>
      </c>
      <c r="E126" s="138">
        <v>1456.66</v>
      </c>
      <c r="F126" s="76">
        <f t="shared" si="19"/>
        <v>2913.32</v>
      </c>
      <c r="G126" s="76">
        <f t="shared" si="20"/>
        <v>3495.98</v>
      </c>
      <c r="H126">
        <v>1379</v>
      </c>
    </row>
    <row r="127" spans="1:8" ht="15.75" x14ac:dyDescent="0.25">
      <c r="A127" s="56">
        <f t="shared" si="21"/>
        <v>103</v>
      </c>
      <c r="B127" s="57" t="s">
        <v>370</v>
      </c>
      <c r="C127" s="56" t="s">
        <v>181</v>
      </c>
      <c r="D127" s="59">
        <v>9</v>
      </c>
      <c r="E127" s="138">
        <v>856.54</v>
      </c>
      <c r="F127" s="76">
        <f t="shared" si="19"/>
        <v>7708.86</v>
      </c>
      <c r="G127" s="76">
        <f t="shared" si="20"/>
        <v>9250.6299999999992</v>
      </c>
      <c r="H127">
        <v>1379</v>
      </c>
    </row>
    <row r="128" spans="1:8" ht="15.75" x14ac:dyDescent="0.25">
      <c r="A128" s="56">
        <f t="shared" si="21"/>
        <v>104</v>
      </c>
      <c r="B128" s="57" t="s">
        <v>408</v>
      </c>
      <c r="C128" s="56" t="s">
        <v>181</v>
      </c>
      <c r="D128" s="59">
        <v>805</v>
      </c>
      <c r="E128" s="138">
        <v>9.73</v>
      </c>
      <c r="F128" s="76">
        <f t="shared" si="19"/>
        <v>7832.65</v>
      </c>
      <c r="G128" s="76">
        <f t="shared" si="20"/>
        <v>9399.18</v>
      </c>
      <c r="H128">
        <v>125</v>
      </c>
    </row>
    <row r="129" spans="1:9" ht="15.75" x14ac:dyDescent="0.25">
      <c r="A129" s="56">
        <f t="shared" si="21"/>
        <v>105</v>
      </c>
      <c r="B129" s="57" t="s">
        <v>246</v>
      </c>
      <c r="C129" s="56" t="s">
        <v>181</v>
      </c>
      <c r="D129" s="59">
        <v>805</v>
      </c>
      <c r="E129" s="138">
        <v>197.58</v>
      </c>
      <c r="F129" s="76">
        <f t="shared" si="19"/>
        <v>159051.9</v>
      </c>
      <c r="G129" s="76">
        <f t="shared" si="20"/>
        <v>190862.28</v>
      </c>
      <c r="H129">
        <v>198</v>
      </c>
    </row>
    <row r="130" spans="1:9" ht="15.75" x14ac:dyDescent="0.25">
      <c r="A130" s="56">
        <f t="shared" si="21"/>
        <v>106</v>
      </c>
      <c r="B130" s="57" t="s">
        <v>409</v>
      </c>
      <c r="C130" s="56" t="s">
        <v>181</v>
      </c>
      <c r="D130" s="59">
        <v>42</v>
      </c>
      <c r="E130" s="138">
        <v>856.54</v>
      </c>
      <c r="F130" s="76">
        <f t="shared" si="19"/>
        <v>35974.68</v>
      </c>
      <c r="G130" s="76">
        <f t="shared" si="20"/>
        <v>43169.62</v>
      </c>
      <c r="H130">
        <v>899</v>
      </c>
    </row>
    <row r="131" spans="1:9" ht="30" x14ac:dyDescent="0.25">
      <c r="A131" s="56">
        <f t="shared" si="21"/>
        <v>107</v>
      </c>
      <c r="B131" s="57" t="s">
        <v>410</v>
      </c>
      <c r="C131" s="56" t="s">
        <v>219</v>
      </c>
      <c r="D131" s="60">
        <v>20.8</v>
      </c>
      <c r="E131" s="138">
        <v>67.760000000000005</v>
      </c>
      <c r="F131" s="76">
        <f t="shared" si="19"/>
        <v>1409.41</v>
      </c>
      <c r="G131" s="76">
        <f t="shared" si="20"/>
        <v>1691.29</v>
      </c>
      <c r="H131">
        <v>325</v>
      </c>
    </row>
    <row r="132" spans="1:9" ht="30" x14ac:dyDescent="0.25">
      <c r="A132" s="56">
        <f t="shared" si="21"/>
        <v>108</v>
      </c>
      <c r="B132" s="57" t="s">
        <v>372</v>
      </c>
      <c r="C132" s="56" t="s">
        <v>219</v>
      </c>
      <c r="D132" s="60">
        <v>20.8</v>
      </c>
      <c r="E132" s="138">
        <v>312.27999999999997</v>
      </c>
      <c r="F132" s="76">
        <f t="shared" si="19"/>
        <v>6495.42</v>
      </c>
      <c r="G132" s="76">
        <f t="shared" si="20"/>
        <v>7794.5</v>
      </c>
      <c r="H132">
        <v>3460</v>
      </c>
      <c r="I132" s="150" t="s">
        <v>459</v>
      </c>
    </row>
    <row r="133" spans="1:9" ht="22.5" customHeight="1" x14ac:dyDescent="0.25">
      <c r="A133" s="56"/>
      <c r="B133" s="55" t="s">
        <v>254</v>
      </c>
      <c r="C133" s="56"/>
      <c r="D133" s="60"/>
      <c r="E133" s="138"/>
      <c r="F133" s="76"/>
      <c r="G133" s="76"/>
    </row>
    <row r="134" spans="1:9" ht="30" x14ac:dyDescent="0.25">
      <c r="A134" s="56">
        <f>A132+1</f>
        <v>109</v>
      </c>
      <c r="B134" s="57" t="s">
        <v>422</v>
      </c>
      <c r="C134" s="56" t="s">
        <v>182</v>
      </c>
      <c r="D134" s="59">
        <v>23</v>
      </c>
      <c r="E134" s="138">
        <v>1045.03</v>
      </c>
      <c r="F134" s="76">
        <f t="shared" si="19"/>
        <v>24035.69</v>
      </c>
      <c r="G134" s="76">
        <f t="shared" si="20"/>
        <v>28842.83</v>
      </c>
    </row>
    <row r="135" spans="1:9" ht="45" x14ac:dyDescent="0.25">
      <c r="A135" s="56">
        <f>A134+1</f>
        <v>110</v>
      </c>
      <c r="B135" s="57" t="s">
        <v>429</v>
      </c>
      <c r="C135" s="56" t="s">
        <v>182</v>
      </c>
      <c r="D135" s="59">
        <v>6</v>
      </c>
      <c r="E135" s="138">
        <v>1960.07</v>
      </c>
      <c r="F135" s="76">
        <f t="shared" si="19"/>
        <v>11760.42</v>
      </c>
      <c r="G135" s="76">
        <f t="shared" si="20"/>
        <v>14112.5</v>
      </c>
    </row>
    <row r="136" spans="1:9" ht="45" x14ac:dyDescent="0.25">
      <c r="A136" s="56">
        <f t="shared" ref="A136:A139" si="22">A135+1</f>
        <v>111</v>
      </c>
      <c r="B136" s="57" t="s">
        <v>424</v>
      </c>
      <c r="C136" s="56" t="s">
        <v>207</v>
      </c>
      <c r="D136" s="59">
        <v>4</v>
      </c>
      <c r="E136" s="138">
        <v>1871.49</v>
      </c>
      <c r="F136" s="76">
        <f t="shared" si="19"/>
        <v>7485.96</v>
      </c>
      <c r="G136" s="76">
        <f t="shared" si="20"/>
        <v>8983.15</v>
      </c>
    </row>
    <row r="137" spans="1:9" ht="45" x14ac:dyDescent="0.25">
      <c r="A137" s="56">
        <f t="shared" si="22"/>
        <v>112</v>
      </c>
      <c r="B137" s="57" t="s">
        <v>425</v>
      </c>
      <c r="C137" s="56" t="s">
        <v>207</v>
      </c>
      <c r="D137" s="59">
        <v>4</v>
      </c>
      <c r="E137" s="138">
        <v>6085.15</v>
      </c>
      <c r="F137" s="76">
        <f t="shared" si="19"/>
        <v>24340.6</v>
      </c>
      <c r="G137" s="76">
        <f t="shared" si="20"/>
        <v>29208.720000000001</v>
      </c>
    </row>
    <row r="138" spans="1:9" ht="30" x14ac:dyDescent="0.25">
      <c r="A138" s="56">
        <f t="shared" si="22"/>
        <v>113</v>
      </c>
      <c r="B138" s="57" t="s">
        <v>386</v>
      </c>
      <c r="C138" s="56" t="s">
        <v>207</v>
      </c>
      <c r="D138" s="59">
        <v>1</v>
      </c>
      <c r="E138" s="138">
        <v>3397.31</v>
      </c>
      <c r="F138" s="76">
        <f t="shared" si="19"/>
        <v>3397.31</v>
      </c>
      <c r="G138" s="76">
        <f t="shared" si="20"/>
        <v>4076.77</v>
      </c>
    </row>
    <row r="139" spans="1:9" ht="30" x14ac:dyDescent="0.25">
      <c r="A139" s="56">
        <f t="shared" si="22"/>
        <v>114</v>
      </c>
      <c r="B139" s="57" t="s">
        <v>387</v>
      </c>
      <c r="C139" s="56" t="s">
        <v>461</v>
      </c>
      <c r="D139" s="59">
        <v>1</v>
      </c>
      <c r="E139" s="138">
        <v>30624.26</v>
      </c>
      <c r="F139" s="76">
        <f t="shared" si="19"/>
        <v>30624.26</v>
      </c>
      <c r="G139" s="76">
        <f t="shared" si="20"/>
        <v>36749.11</v>
      </c>
    </row>
    <row r="140" spans="1:9" ht="34.5" customHeight="1" x14ac:dyDescent="0.25">
      <c r="A140" s="123"/>
      <c r="B140" s="246" t="s">
        <v>279</v>
      </c>
      <c r="C140" s="247"/>
      <c r="D140" s="248"/>
      <c r="E140" s="124"/>
      <c r="F140" s="125"/>
      <c r="G140" s="135"/>
    </row>
    <row r="141" spans="1:9" ht="25.5" customHeight="1" x14ac:dyDescent="0.25">
      <c r="A141" s="56"/>
      <c r="B141" s="55" t="s">
        <v>248</v>
      </c>
      <c r="C141" s="56"/>
      <c r="D141" s="59"/>
      <c r="E141" s="69"/>
      <c r="F141" s="130"/>
      <c r="G141" s="136"/>
    </row>
    <row r="142" spans="1:9" ht="30" x14ac:dyDescent="0.25">
      <c r="A142" s="56">
        <f>A139+1</f>
        <v>115</v>
      </c>
      <c r="B142" s="57" t="s">
        <v>367</v>
      </c>
      <c r="C142" s="56" t="s">
        <v>181</v>
      </c>
      <c r="D142" s="59">
        <v>845</v>
      </c>
      <c r="E142" s="138">
        <v>90.47</v>
      </c>
      <c r="F142" s="76">
        <f t="shared" ref="F142:F162" si="23">ROUND(E142*D142,2)</f>
        <v>76447.149999999994</v>
      </c>
      <c r="G142" s="76">
        <f t="shared" ref="G142:G162" si="24">ROUND(F142*1.2,2)</f>
        <v>91736.58</v>
      </c>
      <c r="H142">
        <v>325</v>
      </c>
    </row>
    <row r="143" spans="1:9" ht="15.75" x14ac:dyDescent="0.25">
      <c r="A143" s="56">
        <f>A142+1</f>
        <v>116</v>
      </c>
      <c r="B143" s="57" t="s">
        <v>368</v>
      </c>
      <c r="C143" s="56" t="s">
        <v>181</v>
      </c>
      <c r="D143" s="59">
        <v>25</v>
      </c>
      <c r="E143" s="138">
        <v>1860.11</v>
      </c>
      <c r="F143" s="76">
        <f t="shared" si="23"/>
        <v>46502.75</v>
      </c>
      <c r="G143" s="76">
        <f t="shared" si="24"/>
        <v>55803.3</v>
      </c>
      <c r="H143">
        <v>1777</v>
      </c>
    </row>
    <row r="144" spans="1:9" ht="15.75" x14ac:dyDescent="0.25">
      <c r="A144" s="56">
        <f>A143+1</f>
        <v>117</v>
      </c>
      <c r="B144" s="57" t="s">
        <v>369</v>
      </c>
      <c r="C144" s="56" t="s">
        <v>181</v>
      </c>
      <c r="D144" s="59">
        <v>37</v>
      </c>
      <c r="E144" s="138">
        <v>1155.67</v>
      </c>
      <c r="F144" s="76">
        <f t="shared" si="23"/>
        <v>42759.79</v>
      </c>
      <c r="G144" s="76">
        <f t="shared" si="24"/>
        <v>51311.75</v>
      </c>
    </row>
    <row r="145" spans="1:9" ht="15.75" x14ac:dyDescent="0.25">
      <c r="A145" s="56">
        <f t="shared" ref="A145:A151" si="25">A144+1</f>
        <v>118</v>
      </c>
      <c r="B145" s="57" t="s">
        <v>253</v>
      </c>
      <c r="C145" s="56" t="s">
        <v>181</v>
      </c>
      <c r="D145" s="59">
        <v>5</v>
      </c>
      <c r="E145" s="138">
        <v>1456.65</v>
      </c>
      <c r="F145" s="76">
        <f t="shared" si="23"/>
        <v>7283.25</v>
      </c>
      <c r="G145" s="76">
        <f t="shared" si="24"/>
        <v>8739.9</v>
      </c>
      <c r="H145">
        <v>1379</v>
      </c>
    </row>
    <row r="146" spans="1:9" ht="15.75" x14ac:dyDescent="0.25">
      <c r="A146" s="56">
        <f t="shared" si="25"/>
        <v>119</v>
      </c>
      <c r="B146" s="57" t="s">
        <v>370</v>
      </c>
      <c r="C146" s="56" t="s">
        <v>181</v>
      </c>
      <c r="D146" s="59">
        <v>37</v>
      </c>
      <c r="E146" s="138">
        <v>856.54</v>
      </c>
      <c r="F146" s="76">
        <f t="shared" si="23"/>
        <v>31691.98</v>
      </c>
      <c r="G146" s="76">
        <f t="shared" si="24"/>
        <v>38030.379999999997</v>
      </c>
      <c r="H146">
        <v>1379</v>
      </c>
    </row>
    <row r="147" spans="1:9" ht="15.75" x14ac:dyDescent="0.25">
      <c r="A147" s="56">
        <f t="shared" si="25"/>
        <v>120</v>
      </c>
      <c r="B147" s="57" t="s">
        <v>408</v>
      </c>
      <c r="C147" s="56" t="s">
        <v>181</v>
      </c>
      <c r="D147" s="59">
        <v>761</v>
      </c>
      <c r="E147" s="138">
        <v>9.73</v>
      </c>
      <c r="F147" s="76">
        <f t="shared" si="23"/>
        <v>7404.53</v>
      </c>
      <c r="G147" s="76">
        <f t="shared" si="24"/>
        <v>8885.44</v>
      </c>
      <c r="H147">
        <v>125</v>
      </c>
    </row>
    <row r="148" spans="1:9" ht="15.75" x14ac:dyDescent="0.25">
      <c r="A148" s="56">
        <f t="shared" si="25"/>
        <v>121</v>
      </c>
      <c r="B148" s="57" t="s">
        <v>246</v>
      </c>
      <c r="C148" s="56" t="s">
        <v>181</v>
      </c>
      <c r="D148" s="59">
        <v>761</v>
      </c>
      <c r="E148" s="138">
        <v>197.58</v>
      </c>
      <c r="F148" s="76">
        <f t="shared" si="23"/>
        <v>150358.38</v>
      </c>
      <c r="G148" s="76">
        <f t="shared" si="24"/>
        <v>180430.06</v>
      </c>
      <c r="H148">
        <v>198</v>
      </c>
    </row>
    <row r="149" spans="1:9" ht="15.75" x14ac:dyDescent="0.25">
      <c r="A149" s="56">
        <f t="shared" si="25"/>
        <v>122</v>
      </c>
      <c r="B149" s="57" t="s">
        <v>409</v>
      </c>
      <c r="C149" s="56" t="s">
        <v>181</v>
      </c>
      <c r="D149" s="59">
        <v>40</v>
      </c>
      <c r="E149" s="138">
        <v>856.54</v>
      </c>
      <c r="F149" s="76">
        <f t="shared" si="23"/>
        <v>34261.599999999999</v>
      </c>
      <c r="G149" s="76">
        <f t="shared" si="24"/>
        <v>41113.919999999998</v>
      </c>
      <c r="H149">
        <v>899</v>
      </c>
    </row>
    <row r="150" spans="1:9" ht="30" x14ac:dyDescent="0.25">
      <c r="A150" s="56">
        <f t="shared" si="25"/>
        <v>123</v>
      </c>
      <c r="B150" s="57" t="s">
        <v>410</v>
      </c>
      <c r="C150" s="56" t="s">
        <v>219</v>
      </c>
      <c r="D150" s="60">
        <v>110.4</v>
      </c>
      <c r="E150" s="138">
        <v>67.760000000000005</v>
      </c>
      <c r="F150" s="76">
        <f t="shared" si="23"/>
        <v>7480.7</v>
      </c>
      <c r="G150" s="76">
        <f t="shared" si="24"/>
        <v>8976.84</v>
      </c>
      <c r="H150">
        <v>325</v>
      </c>
    </row>
    <row r="151" spans="1:9" ht="30" x14ac:dyDescent="0.25">
      <c r="A151" s="56">
        <f t="shared" si="25"/>
        <v>124</v>
      </c>
      <c r="B151" s="57" t="s">
        <v>372</v>
      </c>
      <c r="C151" s="56" t="s">
        <v>219</v>
      </c>
      <c r="D151" s="60">
        <v>110.4</v>
      </c>
      <c r="E151" s="138">
        <v>312.27999999999997</v>
      </c>
      <c r="F151" s="76">
        <f t="shared" si="23"/>
        <v>34475.71</v>
      </c>
      <c r="G151" s="76">
        <f t="shared" si="24"/>
        <v>41370.85</v>
      </c>
      <c r="H151">
        <v>3460</v>
      </c>
      <c r="I151" s="150" t="s">
        <v>459</v>
      </c>
    </row>
    <row r="152" spans="1:9" ht="22.5" customHeight="1" x14ac:dyDescent="0.25">
      <c r="A152" s="56"/>
      <c r="B152" s="55" t="s">
        <v>254</v>
      </c>
      <c r="C152" s="56"/>
      <c r="D152" s="59"/>
      <c r="E152" s="138"/>
      <c r="F152" s="76"/>
      <c r="G152" s="76"/>
    </row>
    <row r="153" spans="1:9" ht="30" x14ac:dyDescent="0.25">
      <c r="A153" s="56">
        <f>A151+1</f>
        <v>125</v>
      </c>
      <c r="B153" s="57" t="s">
        <v>430</v>
      </c>
      <c r="C153" s="56" t="s">
        <v>182</v>
      </c>
      <c r="D153" s="59">
        <v>31</v>
      </c>
      <c r="E153" s="138">
        <v>4746.51</v>
      </c>
      <c r="F153" s="76">
        <f t="shared" si="23"/>
        <v>147141.81</v>
      </c>
      <c r="G153" s="76">
        <f t="shared" si="24"/>
        <v>176570.17</v>
      </c>
    </row>
    <row r="154" spans="1:9" ht="45" x14ac:dyDescent="0.25">
      <c r="A154" s="56">
        <f t="shared" ref="A154:A162" si="26">A153+1</f>
        <v>126</v>
      </c>
      <c r="B154" s="57" t="s">
        <v>431</v>
      </c>
      <c r="C154" s="56" t="s">
        <v>182</v>
      </c>
      <c r="D154" s="59">
        <v>6</v>
      </c>
      <c r="E154" s="138">
        <v>8366.0300000000007</v>
      </c>
      <c r="F154" s="76">
        <f t="shared" si="23"/>
        <v>50196.18</v>
      </c>
      <c r="G154" s="76">
        <f t="shared" si="24"/>
        <v>60235.42</v>
      </c>
    </row>
    <row r="155" spans="1:9" ht="45" x14ac:dyDescent="0.25">
      <c r="A155" s="56">
        <f t="shared" si="26"/>
        <v>127</v>
      </c>
      <c r="B155" s="57" t="s">
        <v>432</v>
      </c>
      <c r="C155" s="56" t="s">
        <v>207</v>
      </c>
      <c r="D155" s="59">
        <v>2</v>
      </c>
      <c r="E155" s="138">
        <v>8222.4699999999993</v>
      </c>
      <c r="F155" s="76">
        <f t="shared" si="23"/>
        <v>16444.939999999999</v>
      </c>
      <c r="G155" s="76">
        <f t="shared" si="24"/>
        <v>19733.93</v>
      </c>
    </row>
    <row r="156" spans="1:9" ht="45" x14ac:dyDescent="0.25">
      <c r="A156" s="56">
        <f t="shared" si="26"/>
        <v>128</v>
      </c>
      <c r="B156" s="57" t="s">
        <v>433</v>
      </c>
      <c r="C156" s="56" t="s">
        <v>207</v>
      </c>
      <c r="D156" s="59">
        <v>2</v>
      </c>
      <c r="E156" s="138">
        <v>19742.93</v>
      </c>
      <c r="F156" s="76">
        <f t="shared" si="23"/>
        <v>39485.86</v>
      </c>
      <c r="G156" s="76">
        <f t="shared" si="24"/>
        <v>47383.03</v>
      </c>
    </row>
    <row r="157" spans="1:9" ht="30" x14ac:dyDescent="0.25">
      <c r="A157" s="56">
        <f t="shared" si="26"/>
        <v>129</v>
      </c>
      <c r="B157" s="57" t="s">
        <v>434</v>
      </c>
      <c r="C157" s="56" t="s">
        <v>207</v>
      </c>
      <c r="D157" s="59">
        <v>1</v>
      </c>
      <c r="E157" s="138">
        <v>17698.82</v>
      </c>
      <c r="F157" s="76">
        <f t="shared" si="23"/>
        <v>17698.82</v>
      </c>
      <c r="G157" s="76">
        <f t="shared" si="24"/>
        <v>21238.58</v>
      </c>
    </row>
    <row r="158" spans="1:9" ht="30" x14ac:dyDescent="0.25">
      <c r="A158" s="56">
        <f t="shared" si="26"/>
        <v>130</v>
      </c>
      <c r="B158" s="57" t="s">
        <v>387</v>
      </c>
      <c r="C158" s="56" t="s">
        <v>461</v>
      </c>
      <c r="D158" s="59">
        <v>1</v>
      </c>
      <c r="E158" s="138">
        <v>124950.66</v>
      </c>
      <c r="F158" s="76">
        <f t="shared" si="23"/>
        <v>124950.66</v>
      </c>
      <c r="G158" s="76">
        <f t="shared" si="24"/>
        <v>149940.79</v>
      </c>
    </row>
    <row r="159" spans="1:9" ht="23.25" customHeight="1" x14ac:dyDescent="0.25">
      <c r="A159" s="56"/>
      <c r="B159" s="55" t="s">
        <v>393</v>
      </c>
      <c r="C159" s="56"/>
      <c r="D159" s="59"/>
      <c r="E159" s="138"/>
      <c r="F159" s="76"/>
      <c r="G159" s="76"/>
    </row>
    <row r="160" spans="1:9" ht="15.75" x14ac:dyDescent="0.25">
      <c r="A160" s="56">
        <f>A158+1</f>
        <v>131</v>
      </c>
      <c r="B160" s="57" t="s">
        <v>435</v>
      </c>
      <c r="C160" s="56" t="s">
        <v>182</v>
      </c>
      <c r="D160" s="59">
        <v>31</v>
      </c>
      <c r="E160" s="138">
        <v>2354.06</v>
      </c>
      <c r="F160" s="76">
        <f t="shared" si="23"/>
        <v>72975.86</v>
      </c>
      <c r="G160" s="76">
        <f t="shared" si="24"/>
        <v>87571.03</v>
      </c>
    </row>
    <row r="161" spans="1:9" ht="15.75" x14ac:dyDescent="0.25">
      <c r="A161" s="56">
        <f t="shared" si="26"/>
        <v>132</v>
      </c>
      <c r="B161" s="57" t="s">
        <v>436</v>
      </c>
      <c r="C161" s="56" t="s">
        <v>219</v>
      </c>
      <c r="D161" s="59">
        <v>31</v>
      </c>
      <c r="E161" s="138">
        <v>436.17</v>
      </c>
      <c r="F161" s="76">
        <f t="shared" si="23"/>
        <v>13521.27</v>
      </c>
      <c r="G161" s="76">
        <f t="shared" si="24"/>
        <v>16225.52</v>
      </c>
    </row>
    <row r="162" spans="1:9" ht="30" x14ac:dyDescent="0.25">
      <c r="A162" s="56">
        <f t="shared" si="26"/>
        <v>133</v>
      </c>
      <c r="B162" s="64" t="s">
        <v>420</v>
      </c>
      <c r="C162" s="56" t="s">
        <v>219</v>
      </c>
      <c r="D162" s="59">
        <v>31</v>
      </c>
      <c r="E162" s="138">
        <v>312.27999999999997</v>
      </c>
      <c r="F162" s="76">
        <f t="shared" si="23"/>
        <v>9680.68</v>
      </c>
      <c r="G162" s="76">
        <f t="shared" si="24"/>
        <v>11616.82</v>
      </c>
    </row>
    <row r="163" spans="1:9" ht="32.25" customHeight="1" x14ac:dyDescent="0.25">
      <c r="A163" s="123"/>
      <c r="B163" s="246" t="s">
        <v>280</v>
      </c>
      <c r="C163" s="247"/>
      <c r="D163" s="248"/>
      <c r="E163" s="124"/>
      <c r="F163" s="125"/>
      <c r="G163" s="135"/>
    </row>
    <row r="164" spans="1:9" x14ac:dyDescent="0.25">
      <c r="A164" s="56"/>
      <c r="B164" s="55" t="s">
        <v>248</v>
      </c>
      <c r="C164" s="56"/>
      <c r="D164" s="59"/>
      <c r="E164" s="133"/>
      <c r="F164" s="130"/>
      <c r="G164" s="136"/>
    </row>
    <row r="165" spans="1:9" ht="30" x14ac:dyDescent="0.25">
      <c r="A165" s="56">
        <f>A162+1</f>
        <v>134</v>
      </c>
      <c r="B165" s="57" t="s">
        <v>367</v>
      </c>
      <c r="C165" s="56" t="s">
        <v>181</v>
      </c>
      <c r="D165" s="59">
        <v>177</v>
      </c>
      <c r="E165" s="138">
        <v>90.47</v>
      </c>
      <c r="F165" s="76">
        <f t="shared" ref="F165:F185" si="27">ROUND(E165*D165,2)</f>
        <v>16013.19</v>
      </c>
      <c r="G165" s="76">
        <f t="shared" ref="G165:G185" si="28">ROUND(F165*1.2,2)</f>
        <v>19215.830000000002</v>
      </c>
      <c r="H165">
        <v>325</v>
      </c>
    </row>
    <row r="166" spans="1:9" ht="15.75" x14ac:dyDescent="0.25">
      <c r="A166" s="56">
        <f>A165+1</f>
        <v>135</v>
      </c>
      <c r="B166" s="57" t="s">
        <v>368</v>
      </c>
      <c r="C166" s="56" t="s">
        <v>181</v>
      </c>
      <c r="D166" s="59">
        <v>5</v>
      </c>
      <c r="E166" s="138">
        <v>1860.11</v>
      </c>
      <c r="F166" s="76">
        <f t="shared" si="27"/>
        <v>9300.5499999999993</v>
      </c>
      <c r="G166" s="76">
        <f t="shared" si="28"/>
        <v>11160.66</v>
      </c>
      <c r="H166">
        <v>1777</v>
      </c>
    </row>
    <row r="167" spans="1:9" ht="15.75" x14ac:dyDescent="0.25">
      <c r="A167" s="56">
        <f t="shared" ref="A167:A174" si="29">A166+1</f>
        <v>136</v>
      </c>
      <c r="B167" s="57" t="s">
        <v>369</v>
      </c>
      <c r="C167" s="56" t="s">
        <v>181</v>
      </c>
      <c r="D167" s="59">
        <v>23</v>
      </c>
      <c r="E167" s="138">
        <v>1155.67</v>
      </c>
      <c r="F167" s="76">
        <f t="shared" si="27"/>
        <v>26580.41</v>
      </c>
      <c r="G167" s="76">
        <f t="shared" si="28"/>
        <v>31896.49</v>
      </c>
    </row>
    <row r="168" spans="1:9" ht="15.75" x14ac:dyDescent="0.25">
      <c r="A168" s="56">
        <f t="shared" si="29"/>
        <v>137</v>
      </c>
      <c r="B168" s="57" t="s">
        <v>253</v>
      </c>
      <c r="C168" s="56" t="s">
        <v>181</v>
      </c>
      <c r="D168" s="59">
        <v>3</v>
      </c>
      <c r="E168" s="138">
        <v>1456.66</v>
      </c>
      <c r="F168" s="76">
        <f t="shared" si="27"/>
        <v>4369.9799999999996</v>
      </c>
      <c r="G168" s="76">
        <f t="shared" si="28"/>
        <v>5243.98</v>
      </c>
      <c r="H168">
        <v>1379</v>
      </c>
    </row>
    <row r="169" spans="1:9" ht="15.75" x14ac:dyDescent="0.25">
      <c r="A169" s="56">
        <f t="shared" si="29"/>
        <v>138</v>
      </c>
      <c r="B169" s="57" t="s">
        <v>370</v>
      </c>
      <c r="C169" s="56" t="s">
        <v>181</v>
      </c>
      <c r="D169" s="60">
        <v>23</v>
      </c>
      <c r="E169" s="138">
        <v>856.54</v>
      </c>
      <c r="F169" s="76">
        <f t="shared" si="27"/>
        <v>19700.419999999998</v>
      </c>
      <c r="G169" s="76">
        <f t="shared" si="28"/>
        <v>23640.5</v>
      </c>
      <c r="H169">
        <v>1379</v>
      </c>
    </row>
    <row r="170" spans="1:9" ht="15.75" x14ac:dyDescent="0.25">
      <c r="A170" s="56">
        <f t="shared" si="29"/>
        <v>139</v>
      </c>
      <c r="B170" s="57" t="s">
        <v>408</v>
      </c>
      <c r="C170" s="56" t="s">
        <v>181</v>
      </c>
      <c r="D170" s="59">
        <v>138</v>
      </c>
      <c r="E170" s="138">
        <v>9.73</v>
      </c>
      <c r="F170" s="76">
        <f t="shared" si="27"/>
        <v>1342.74</v>
      </c>
      <c r="G170" s="76">
        <f t="shared" si="28"/>
        <v>1611.29</v>
      </c>
      <c r="H170">
        <v>125</v>
      </c>
    </row>
    <row r="171" spans="1:9" ht="15.75" x14ac:dyDescent="0.25">
      <c r="A171" s="56">
        <f t="shared" si="29"/>
        <v>140</v>
      </c>
      <c r="B171" s="57" t="s">
        <v>246</v>
      </c>
      <c r="C171" s="56" t="s">
        <v>181</v>
      </c>
      <c r="D171" s="59">
        <v>138</v>
      </c>
      <c r="E171" s="138">
        <v>197.58</v>
      </c>
      <c r="F171" s="76">
        <f t="shared" si="27"/>
        <v>27266.04</v>
      </c>
      <c r="G171" s="76">
        <f t="shared" si="28"/>
        <v>32719.25</v>
      </c>
      <c r="H171">
        <v>198</v>
      </c>
    </row>
    <row r="172" spans="1:9" ht="15.75" x14ac:dyDescent="0.25">
      <c r="A172" s="56">
        <f t="shared" si="29"/>
        <v>141</v>
      </c>
      <c r="B172" s="57" t="s">
        <v>409</v>
      </c>
      <c r="C172" s="56" t="s">
        <v>181</v>
      </c>
      <c r="D172" s="59">
        <v>7</v>
      </c>
      <c r="E172" s="138">
        <v>856.54</v>
      </c>
      <c r="F172" s="76">
        <f t="shared" si="27"/>
        <v>5995.78</v>
      </c>
      <c r="G172" s="76">
        <f t="shared" si="28"/>
        <v>7194.94</v>
      </c>
      <c r="H172">
        <v>899</v>
      </c>
    </row>
    <row r="173" spans="1:9" ht="30" x14ac:dyDescent="0.25">
      <c r="A173" s="56">
        <f t="shared" si="29"/>
        <v>142</v>
      </c>
      <c r="B173" s="57" t="s">
        <v>410</v>
      </c>
      <c r="C173" s="56" t="s">
        <v>219</v>
      </c>
      <c r="D173" s="60">
        <v>59.2</v>
      </c>
      <c r="E173" s="138">
        <v>67.760000000000005</v>
      </c>
      <c r="F173" s="76">
        <f t="shared" si="27"/>
        <v>4011.39</v>
      </c>
      <c r="G173" s="76">
        <f t="shared" si="28"/>
        <v>4813.67</v>
      </c>
      <c r="H173">
        <v>325</v>
      </c>
    </row>
    <row r="174" spans="1:9" ht="30" x14ac:dyDescent="0.25">
      <c r="A174" s="56">
        <f t="shared" si="29"/>
        <v>143</v>
      </c>
      <c r="B174" s="57" t="s">
        <v>372</v>
      </c>
      <c r="C174" s="56" t="s">
        <v>219</v>
      </c>
      <c r="D174" s="60">
        <v>59.2</v>
      </c>
      <c r="E174" s="138">
        <v>312.27999999999997</v>
      </c>
      <c r="F174" s="76">
        <f t="shared" si="27"/>
        <v>18486.98</v>
      </c>
      <c r="G174" s="76">
        <f t="shared" si="28"/>
        <v>22184.38</v>
      </c>
      <c r="H174">
        <v>3460</v>
      </c>
      <c r="I174" s="150" t="s">
        <v>459</v>
      </c>
    </row>
    <row r="175" spans="1:9" ht="26.25" customHeight="1" x14ac:dyDescent="0.25">
      <c r="A175" s="56"/>
      <c r="B175" s="55" t="s">
        <v>254</v>
      </c>
      <c r="C175" s="56"/>
      <c r="D175" s="59"/>
      <c r="E175" s="138"/>
      <c r="F175" s="76"/>
      <c r="G175" s="76"/>
    </row>
    <row r="176" spans="1:9" ht="30" x14ac:dyDescent="0.25">
      <c r="A176" s="56">
        <f>A174+1</f>
        <v>144</v>
      </c>
      <c r="B176" s="57" t="s">
        <v>437</v>
      </c>
      <c r="C176" s="56" t="s">
        <v>182</v>
      </c>
      <c r="D176" s="59">
        <v>31</v>
      </c>
      <c r="E176" s="138">
        <v>2864.48</v>
      </c>
      <c r="F176" s="76">
        <f t="shared" si="27"/>
        <v>88798.88</v>
      </c>
      <c r="G176" s="76">
        <f t="shared" si="28"/>
        <v>106558.66</v>
      </c>
    </row>
    <row r="177" spans="1:8" ht="45" x14ac:dyDescent="0.25">
      <c r="A177" s="56">
        <f>A176+1</f>
        <v>145</v>
      </c>
      <c r="B177" s="57" t="s">
        <v>438</v>
      </c>
      <c r="C177" s="56" t="s">
        <v>182</v>
      </c>
      <c r="D177" s="59">
        <v>6</v>
      </c>
      <c r="E177" s="138">
        <v>4021.61</v>
      </c>
      <c r="F177" s="76">
        <f t="shared" si="27"/>
        <v>24129.66</v>
      </c>
      <c r="G177" s="76">
        <f t="shared" si="28"/>
        <v>28955.59</v>
      </c>
    </row>
    <row r="178" spans="1:8" ht="45" x14ac:dyDescent="0.25">
      <c r="A178" s="56">
        <f t="shared" ref="A178:A181" si="30">A177+1</f>
        <v>146</v>
      </c>
      <c r="B178" s="57" t="s">
        <v>439</v>
      </c>
      <c r="C178" s="56" t="s">
        <v>207</v>
      </c>
      <c r="D178" s="59">
        <v>2</v>
      </c>
      <c r="E178" s="138">
        <v>5203.95</v>
      </c>
      <c r="F178" s="76">
        <f t="shared" si="27"/>
        <v>10407.9</v>
      </c>
      <c r="G178" s="76">
        <f t="shared" si="28"/>
        <v>12489.48</v>
      </c>
    </row>
    <row r="179" spans="1:8" ht="45" x14ac:dyDescent="0.25">
      <c r="A179" s="56">
        <f t="shared" si="30"/>
        <v>147</v>
      </c>
      <c r="B179" s="57" t="s">
        <v>440</v>
      </c>
      <c r="C179" s="56" t="s">
        <v>207</v>
      </c>
      <c r="D179" s="59">
        <v>2</v>
      </c>
      <c r="E179" s="138">
        <v>12511.09</v>
      </c>
      <c r="F179" s="76">
        <f t="shared" si="27"/>
        <v>25022.18</v>
      </c>
      <c r="G179" s="76">
        <f t="shared" si="28"/>
        <v>30026.62</v>
      </c>
    </row>
    <row r="180" spans="1:8" ht="30" x14ac:dyDescent="0.25">
      <c r="A180" s="56">
        <f t="shared" si="30"/>
        <v>148</v>
      </c>
      <c r="B180" s="57" t="s">
        <v>386</v>
      </c>
      <c r="C180" s="56" t="s">
        <v>207</v>
      </c>
      <c r="D180" s="60">
        <v>1</v>
      </c>
      <c r="E180" s="138">
        <v>9227.06</v>
      </c>
      <c r="F180" s="76">
        <f t="shared" si="27"/>
        <v>9227.06</v>
      </c>
      <c r="G180" s="76">
        <f t="shared" si="28"/>
        <v>11072.47</v>
      </c>
    </row>
    <row r="181" spans="1:8" ht="30" x14ac:dyDescent="0.25">
      <c r="A181" s="56">
        <f t="shared" si="30"/>
        <v>149</v>
      </c>
      <c r="B181" s="57" t="s">
        <v>387</v>
      </c>
      <c r="C181" s="56" t="s">
        <v>461</v>
      </c>
      <c r="D181" s="59">
        <v>1</v>
      </c>
      <c r="E181" s="138">
        <v>70121.429999999993</v>
      </c>
      <c r="F181" s="76">
        <f t="shared" si="27"/>
        <v>70121.429999999993</v>
      </c>
      <c r="G181" s="76">
        <f t="shared" si="28"/>
        <v>84145.72</v>
      </c>
    </row>
    <row r="182" spans="1:8" ht="21.75" customHeight="1" x14ac:dyDescent="0.25">
      <c r="A182" s="56"/>
      <c r="B182" s="55" t="s">
        <v>393</v>
      </c>
      <c r="C182" s="56"/>
      <c r="D182" s="59"/>
      <c r="E182" s="138"/>
      <c r="F182" s="76"/>
      <c r="G182" s="76"/>
    </row>
    <row r="183" spans="1:8" ht="15.75" x14ac:dyDescent="0.25">
      <c r="A183" s="56">
        <f>A181+1</f>
        <v>150</v>
      </c>
      <c r="B183" s="57" t="s">
        <v>441</v>
      </c>
      <c r="C183" s="56" t="s">
        <v>182</v>
      </c>
      <c r="D183" s="59">
        <v>31</v>
      </c>
      <c r="E183" s="138">
        <v>1334.42</v>
      </c>
      <c r="F183" s="76">
        <f t="shared" si="27"/>
        <v>41367.019999999997</v>
      </c>
      <c r="G183" s="76">
        <f t="shared" si="28"/>
        <v>49640.42</v>
      </c>
    </row>
    <row r="184" spans="1:8" ht="15.75" x14ac:dyDescent="0.25">
      <c r="A184" s="56">
        <f>A183+1</f>
        <v>151</v>
      </c>
      <c r="B184" s="57" t="s">
        <v>436</v>
      </c>
      <c r="C184" s="56" t="s">
        <v>219</v>
      </c>
      <c r="D184" s="59">
        <v>14</v>
      </c>
      <c r="E184" s="138">
        <v>436.17</v>
      </c>
      <c r="F184" s="76">
        <f t="shared" si="27"/>
        <v>6106.38</v>
      </c>
      <c r="G184" s="76">
        <f t="shared" si="28"/>
        <v>7327.66</v>
      </c>
    </row>
    <row r="185" spans="1:8" ht="30" x14ac:dyDescent="0.25">
      <c r="A185" s="56">
        <f>A184+1</f>
        <v>152</v>
      </c>
      <c r="B185" s="57" t="s">
        <v>427</v>
      </c>
      <c r="C185" s="56" t="s">
        <v>219</v>
      </c>
      <c r="D185" s="59">
        <v>14</v>
      </c>
      <c r="E185" s="138">
        <v>312.27999999999997</v>
      </c>
      <c r="F185" s="76">
        <f t="shared" si="27"/>
        <v>4371.92</v>
      </c>
      <c r="G185" s="76">
        <f t="shared" si="28"/>
        <v>5246.3</v>
      </c>
    </row>
    <row r="186" spans="1:8" ht="29.25" customHeight="1" x14ac:dyDescent="0.25">
      <c r="A186" s="123"/>
      <c r="B186" s="246" t="s">
        <v>281</v>
      </c>
      <c r="C186" s="247"/>
      <c r="D186" s="248"/>
      <c r="E186" s="124"/>
      <c r="F186" s="125"/>
      <c r="G186" s="135"/>
    </row>
    <row r="187" spans="1:8" x14ac:dyDescent="0.25">
      <c r="A187" s="56"/>
      <c r="B187" s="55" t="s">
        <v>248</v>
      </c>
      <c r="C187" s="56"/>
      <c r="D187" s="59"/>
      <c r="E187" s="133"/>
      <c r="F187" s="130"/>
      <c r="G187" s="136"/>
    </row>
    <row r="188" spans="1:8" ht="30" x14ac:dyDescent="0.25">
      <c r="A188" s="56">
        <f>A185+1</f>
        <v>153</v>
      </c>
      <c r="B188" s="57" t="s">
        <v>367</v>
      </c>
      <c r="C188" s="56" t="s">
        <v>181</v>
      </c>
      <c r="D188" s="59">
        <v>595</v>
      </c>
      <c r="E188" s="138">
        <v>90.47</v>
      </c>
      <c r="F188" s="76">
        <f t="shared" ref="F188:F208" si="31">ROUND(E188*D188,2)</f>
        <v>53829.65</v>
      </c>
      <c r="G188" s="76">
        <f t="shared" ref="G188" si="32">ROUND(F188*1.2,2)</f>
        <v>64595.58</v>
      </c>
      <c r="H188">
        <v>325</v>
      </c>
    </row>
    <row r="189" spans="1:8" ht="15.75" x14ac:dyDescent="0.25">
      <c r="A189" s="56">
        <f>A188+1</f>
        <v>154</v>
      </c>
      <c r="B189" s="57" t="s">
        <v>368</v>
      </c>
      <c r="C189" s="56" t="s">
        <v>181</v>
      </c>
      <c r="D189" s="59">
        <v>18</v>
      </c>
      <c r="E189" s="138">
        <v>1860.11</v>
      </c>
      <c r="F189" s="76">
        <f t="shared" si="31"/>
        <v>33481.980000000003</v>
      </c>
      <c r="G189" s="76">
        <f t="shared" ref="G189:G197" si="33">ROUND(F189*1.2,2)</f>
        <v>40178.379999999997</v>
      </c>
      <c r="H189">
        <v>1777</v>
      </c>
    </row>
    <row r="190" spans="1:8" ht="15.75" x14ac:dyDescent="0.25">
      <c r="A190" s="56">
        <f t="shared" ref="A190:A197" si="34">A189+1</f>
        <v>155</v>
      </c>
      <c r="B190" s="57" t="s">
        <v>369</v>
      </c>
      <c r="C190" s="56" t="s">
        <v>181</v>
      </c>
      <c r="D190" s="59">
        <v>13</v>
      </c>
      <c r="E190" s="138">
        <v>1155.67</v>
      </c>
      <c r="F190" s="76">
        <f t="shared" si="31"/>
        <v>15023.71</v>
      </c>
      <c r="G190" s="76">
        <f t="shared" si="33"/>
        <v>18028.45</v>
      </c>
    </row>
    <row r="191" spans="1:8" ht="15.75" x14ac:dyDescent="0.25">
      <c r="A191" s="56">
        <f t="shared" si="34"/>
        <v>156</v>
      </c>
      <c r="B191" s="57" t="s">
        <v>253</v>
      </c>
      <c r="C191" s="56" t="s">
        <v>181</v>
      </c>
      <c r="D191" s="59">
        <v>2</v>
      </c>
      <c r="E191" s="138">
        <v>1456.66</v>
      </c>
      <c r="F191" s="76">
        <f t="shared" si="31"/>
        <v>2913.32</v>
      </c>
      <c r="G191" s="76">
        <f t="shared" si="33"/>
        <v>3495.98</v>
      </c>
      <c r="H191">
        <v>1379</v>
      </c>
    </row>
    <row r="192" spans="1:8" ht="15.75" x14ac:dyDescent="0.25">
      <c r="A192" s="56">
        <f t="shared" si="34"/>
        <v>157</v>
      </c>
      <c r="B192" s="57" t="s">
        <v>370</v>
      </c>
      <c r="C192" s="56" t="s">
        <v>181</v>
      </c>
      <c r="D192" s="59">
        <v>13</v>
      </c>
      <c r="E192" s="138">
        <v>856.54</v>
      </c>
      <c r="F192" s="76">
        <f t="shared" si="31"/>
        <v>11135.02</v>
      </c>
      <c r="G192" s="76">
        <f t="shared" si="33"/>
        <v>13362.02</v>
      </c>
      <c r="H192">
        <v>1379</v>
      </c>
    </row>
    <row r="193" spans="1:9" ht="15.75" x14ac:dyDescent="0.25">
      <c r="A193" s="56">
        <f t="shared" si="34"/>
        <v>158</v>
      </c>
      <c r="B193" s="57" t="s">
        <v>408</v>
      </c>
      <c r="C193" s="56" t="s">
        <v>181</v>
      </c>
      <c r="D193" s="60">
        <v>560.5</v>
      </c>
      <c r="E193" s="138">
        <v>9.73</v>
      </c>
      <c r="F193" s="76">
        <f t="shared" si="31"/>
        <v>5453.67</v>
      </c>
      <c r="G193" s="76">
        <f t="shared" si="33"/>
        <v>6544.4</v>
      </c>
      <c r="H193">
        <v>125</v>
      </c>
    </row>
    <row r="194" spans="1:9" ht="15.75" x14ac:dyDescent="0.25">
      <c r="A194" s="56">
        <f t="shared" si="34"/>
        <v>159</v>
      </c>
      <c r="B194" s="57" t="s">
        <v>246</v>
      </c>
      <c r="C194" s="56" t="s">
        <v>181</v>
      </c>
      <c r="D194" s="60">
        <v>560.5</v>
      </c>
      <c r="E194" s="138">
        <v>197.58</v>
      </c>
      <c r="F194" s="76">
        <f t="shared" si="31"/>
        <v>110743.59</v>
      </c>
      <c r="G194" s="76">
        <f t="shared" si="33"/>
        <v>132892.31</v>
      </c>
      <c r="H194">
        <v>198</v>
      </c>
    </row>
    <row r="195" spans="1:9" ht="15.75" x14ac:dyDescent="0.25">
      <c r="A195" s="56">
        <f t="shared" si="34"/>
        <v>160</v>
      </c>
      <c r="B195" s="57" t="s">
        <v>409</v>
      </c>
      <c r="C195" s="56" t="s">
        <v>181</v>
      </c>
      <c r="D195" s="60">
        <v>29.5</v>
      </c>
      <c r="E195" s="138">
        <v>856.54</v>
      </c>
      <c r="F195" s="76">
        <f t="shared" si="31"/>
        <v>25267.93</v>
      </c>
      <c r="G195" s="76">
        <f t="shared" si="33"/>
        <v>30321.52</v>
      </c>
      <c r="H195">
        <v>899</v>
      </c>
    </row>
    <row r="196" spans="1:9" ht="30" x14ac:dyDescent="0.25">
      <c r="A196" s="56">
        <f t="shared" si="34"/>
        <v>161</v>
      </c>
      <c r="B196" s="57" t="s">
        <v>410</v>
      </c>
      <c r="C196" s="56" t="s">
        <v>219</v>
      </c>
      <c r="D196" s="60">
        <v>36.799999999999997</v>
      </c>
      <c r="E196" s="138">
        <v>67.760000000000005</v>
      </c>
      <c r="F196" s="76">
        <f t="shared" si="31"/>
        <v>2493.5700000000002</v>
      </c>
      <c r="G196" s="76">
        <f t="shared" si="33"/>
        <v>2992.28</v>
      </c>
      <c r="H196">
        <v>325</v>
      </c>
    </row>
    <row r="197" spans="1:9" ht="30" x14ac:dyDescent="0.25">
      <c r="A197" s="56">
        <f t="shared" si="34"/>
        <v>162</v>
      </c>
      <c r="B197" s="57" t="s">
        <v>372</v>
      </c>
      <c r="C197" s="56" t="s">
        <v>219</v>
      </c>
      <c r="D197" s="60">
        <v>36.799999999999997</v>
      </c>
      <c r="E197" s="138">
        <v>312.27999999999997</v>
      </c>
      <c r="F197" s="76">
        <f t="shared" si="31"/>
        <v>11491.9</v>
      </c>
      <c r="G197" s="76">
        <f t="shared" si="33"/>
        <v>13790.28</v>
      </c>
      <c r="H197">
        <v>3460</v>
      </c>
      <c r="I197" s="150" t="s">
        <v>459</v>
      </c>
    </row>
    <row r="198" spans="1:9" ht="23.25" customHeight="1" x14ac:dyDescent="0.25">
      <c r="A198" s="56"/>
      <c r="B198" s="55" t="s">
        <v>254</v>
      </c>
      <c r="C198" s="56"/>
      <c r="D198" s="58"/>
      <c r="E198" s="138"/>
      <c r="F198" s="76"/>
      <c r="G198" s="76"/>
    </row>
    <row r="199" spans="1:9" ht="30" x14ac:dyDescent="0.25">
      <c r="A199" s="56">
        <f>A197+1</f>
        <v>163</v>
      </c>
      <c r="B199" s="57" t="s">
        <v>437</v>
      </c>
      <c r="C199" s="56" t="s">
        <v>182</v>
      </c>
      <c r="D199" s="59">
        <v>21</v>
      </c>
      <c r="E199" s="138">
        <v>2864.48</v>
      </c>
      <c r="F199" s="76">
        <f t="shared" si="31"/>
        <v>60154.080000000002</v>
      </c>
      <c r="G199" s="76">
        <f t="shared" ref="G199:G208" si="35">ROUND(F199*1.2,2)</f>
        <v>72184.899999999994</v>
      </c>
    </row>
    <row r="200" spans="1:9" ht="45" x14ac:dyDescent="0.25">
      <c r="A200" s="56">
        <f>A199+1</f>
        <v>164</v>
      </c>
      <c r="B200" s="57" t="s">
        <v>438</v>
      </c>
      <c r="C200" s="56" t="s">
        <v>182</v>
      </c>
      <c r="D200" s="59">
        <v>6</v>
      </c>
      <c r="E200" s="138">
        <v>4021.61</v>
      </c>
      <c r="F200" s="76">
        <f t="shared" si="31"/>
        <v>24129.66</v>
      </c>
      <c r="G200" s="76">
        <f t="shared" si="35"/>
        <v>28955.59</v>
      </c>
    </row>
    <row r="201" spans="1:9" ht="45" x14ac:dyDescent="0.25">
      <c r="A201" s="56">
        <f t="shared" ref="A201:A204" si="36">A200+1</f>
        <v>165</v>
      </c>
      <c r="B201" s="57" t="s">
        <v>439</v>
      </c>
      <c r="C201" s="56" t="s">
        <v>207</v>
      </c>
      <c r="D201" s="59">
        <v>2</v>
      </c>
      <c r="E201" s="138">
        <v>5203.95</v>
      </c>
      <c r="F201" s="76">
        <f t="shared" si="31"/>
        <v>10407.9</v>
      </c>
      <c r="G201" s="76">
        <f t="shared" si="35"/>
        <v>12489.48</v>
      </c>
    </row>
    <row r="202" spans="1:9" ht="45" x14ac:dyDescent="0.25">
      <c r="A202" s="56">
        <f t="shared" si="36"/>
        <v>166</v>
      </c>
      <c r="B202" s="57" t="s">
        <v>440</v>
      </c>
      <c r="C202" s="56" t="s">
        <v>207</v>
      </c>
      <c r="D202" s="59">
        <v>2</v>
      </c>
      <c r="E202" s="138">
        <v>12511.09</v>
      </c>
      <c r="F202" s="76">
        <f t="shared" si="31"/>
        <v>25022.18</v>
      </c>
      <c r="G202" s="76">
        <f t="shared" si="35"/>
        <v>30026.62</v>
      </c>
    </row>
    <row r="203" spans="1:9" ht="30" x14ac:dyDescent="0.25">
      <c r="A203" s="56">
        <f t="shared" si="36"/>
        <v>167</v>
      </c>
      <c r="B203" s="57" t="s">
        <v>386</v>
      </c>
      <c r="C203" s="56" t="s">
        <v>207</v>
      </c>
      <c r="D203" s="59">
        <v>1</v>
      </c>
      <c r="E203" s="138">
        <v>9227.06</v>
      </c>
      <c r="F203" s="76">
        <f t="shared" si="31"/>
        <v>9227.06</v>
      </c>
      <c r="G203" s="76">
        <f t="shared" si="35"/>
        <v>11072.47</v>
      </c>
    </row>
    <row r="204" spans="1:9" ht="22.5" customHeight="1" x14ac:dyDescent="0.25">
      <c r="A204" s="56">
        <f t="shared" si="36"/>
        <v>168</v>
      </c>
      <c r="B204" s="57" t="s">
        <v>387</v>
      </c>
      <c r="C204" s="56" t="s">
        <v>461</v>
      </c>
      <c r="D204" s="59">
        <v>1</v>
      </c>
      <c r="E204" s="138">
        <v>70121.429999999993</v>
      </c>
      <c r="F204" s="76">
        <f t="shared" si="31"/>
        <v>70121.429999999993</v>
      </c>
      <c r="G204" s="76">
        <f t="shared" si="35"/>
        <v>84145.72</v>
      </c>
    </row>
    <row r="205" spans="1:9" ht="23.25" customHeight="1" x14ac:dyDescent="0.25">
      <c r="A205" s="56"/>
      <c r="B205" s="55" t="s">
        <v>393</v>
      </c>
      <c r="C205" s="56"/>
      <c r="D205" s="59"/>
      <c r="E205" s="138"/>
      <c r="F205" s="76"/>
      <c r="G205" s="76"/>
    </row>
    <row r="206" spans="1:9" ht="19.5" customHeight="1" x14ac:dyDescent="0.25">
      <c r="A206" s="56">
        <f>A204+1</f>
        <v>169</v>
      </c>
      <c r="B206" s="57" t="s">
        <v>441</v>
      </c>
      <c r="C206" s="56" t="s">
        <v>182</v>
      </c>
      <c r="D206" s="59">
        <v>21</v>
      </c>
      <c r="E206" s="138">
        <v>1334.42</v>
      </c>
      <c r="F206" s="76">
        <f t="shared" si="31"/>
        <v>28022.82</v>
      </c>
      <c r="G206" s="76">
        <f t="shared" si="35"/>
        <v>33627.379999999997</v>
      </c>
    </row>
    <row r="207" spans="1:9" ht="19.5" customHeight="1" x14ac:dyDescent="0.25">
      <c r="A207" s="56">
        <f>A206+1</f>
        <v>170</v>
      </c>
      <c r="B207" s="57" t="s">
        <v>436</v>
      </c>
      <c r="C207" s="56" t="s">
        <v>219</v>
      </c>
      <c r="D207" s="59">
        <v>8</v>
      </c>
      <c r="E207" s="138">
        <v>436.17</v>
      </c>
      <c r="F207" s="76">
        <f t="shared" si="31"/>
        <v>3489.36</v>
      </c>
      <c r="G207" s="76">
        <f t="shared" si="35"/>
        <v>4187.2299999999996</v>
      </c>
    </row>
    <row r="208" spans="1:9" ht="30" x14ac:dyDescent="0.25">
      <c r="A208" s="56">
        <f>A207+1</f>
        <v>171</v>
      </c>
      <c r="B208" s="57" t="s">
        <v>427</v>
      </c>
      <c r="C208" s="56" t="s">
        <v>219</v>
      </c>
      <c r="D208" s="59">
        <v>8</v>
      </c>
      <c r="E208" s="138">
        <v>312.27999999999997</v>
      </c>
      <c r="F208" s="76">
        <f t="shared" si="31"/>
        <v>2498.2399999999998</v>
      </c>
      <c r="G208" s="76">
        <f t="shared" si="35"/>
        <v>2997.89</v>
      </c>
    </row>
    <row r="209" spans="1:9" ht="29.25" customHeight="1" x14ac:dyDescent="0.25">
      <c r="A209" s="123"/>
      <c r="B209" s="246" t="s">
        <v>282</v>
      </c>
      <c r="C209" s="247"/>
      <c r="D209" s="248"/>
      <c r="E209" s="124"/>
      <c r="F209" s="125"/>
      <c r="G209" s="135"/>
    </row>
    <row r="210" spans="1:9" x14ac:dyDescent="0.25">
      <c r="A210" s="56"/>
      <c r="B210" s="55" t="s">
        <v>248</v>
      </c>
      <c r="C210" s="56"/>
      <c r="D210" s="58"/>
      <c r="E210" s="133"/>
      <c r="F210" s="130"/>
      <c r="G210" s="136"/>
    </row>
    <row r="211" spans="1:9" ht="30" x14ac:dyDescent="0.25">
      <c r="A211" s="56">
        <f>A208+1</f>
        <v>172</v>
      </c>
      <c r="B211" s="57" t="s">
        <v>367</v>
      </c>
      <c r="C211" s="56" t="s">
        <v>181</v>
      </c>
      <c r="D211" s="59">
        <v>1779</v>
      </c>
      <c r="E211" s="138">
        <v>90.47</v>
      </c>
      <c r="F211" s="76">
        <f t="shared" ref="F211:F231" si="37">ROUND(E211*D211,2)</f>
        <v>160946.13</v>
      </c>
      <c r="G211" s="76">
        <f t="shared" ref="G211:G220" si="38">ROUND(F211*1.2,2)</f>
        <v>193135.35999999999</v>
      </c>
      <c r="H211">
        <v>325</v>
      </c>
    </row>
    <row r="212" spans="1:9" ht="15.75" x14ac:dyDescent="0.25">
      <c r="A212" s="56">
        <f>A211+1</f>
        <v>173</v>
      </c>
      <c r="B212" s="57" t="s">
        <v>368</v>
      </c>
      <c r="C212" s="56" t="s">
        <v>181</v>
      </c>
      <c r="D212" s="59">
        <v>53</v>
      </c>
      <c r="E212" s="138">
        <v>1860.11</v>
      </c>
      <c r="F212" s="76">
        <f t="shared" si="37"/>
        <v>98585.83</v>
      </c>
      <c r="G212" s="76">
        <f t="shared" si="38"/>
        <v>118303</v>
      </c>
      <c r="H212">
        <v>1777</v>
      </c>
    </row>
    <row r="213" spans="1:9" ht="15.75" x14ac:dyDescent="0.25">
      <c r="A213" s="56">
        <f t="shared" ref="A213:A220" si="39">A212+1</f>
        <v>174</v>
      </c>
      <c r="B213" s="57" t="s">
        <v>369</v>
      </c>
      <c r="C213" s="56" t="s">
        <v>181</v>
      </c>
      <c r="D213" s="59">
        <v>40</v>
      </c>
      <c r="E213" s="138">
        <v>1155.67</v>
      </c>
      <c r="F213" s="76">
        <f t="shared" si="37"/>
        <v>46226.8</v>
      </c>
      <c r="G213" s="76">
        <f t="shared" si="38"/>
        <v>55472.160000000003</v>
      </c>
    </row>
    <row r="214" spans="1:9" ht="15.75" x14ac:dyDescent="0.25">
      <c r="A214" s="56">
        <f t="shared" si="39"/>
        <v>175</v>
      </c>
      <c r="B214" s="57" t="s">
        <v>253</v>
      </c>
      <c r="C214" s="56" t="s">
        <v>181</v>
      </c>
      <c r="D214" s="59">
        <v>6</v>
      </c>
      <c r="E214" s="138">
        <v>1456.65</v>
      </c>
      <c r="F214" s="76">
        <f t="shared" si="37"/>
        <v>8739.9</v>
      </c>
      <c r="G214" s="76">
        <f t="shared" si="38"/>
        <v>10487.88</v>
      </c>
      <c r="H214">
        <v>1379</v>
      </c>
    </row>
    <row r="215" spans="1:9" ht="15.75" x14ac:dyDescent="0.25">
      <c r="A215" s="56">
        <f t="shared" si="39"/>
        <v>176</v>
      </c>
      <c r="B215" s="57" t="s">
        <v>370</v>
      </c>
      <c r="C215" s="56" t="s">
        <v>181</v>
      </c>
      <c r="D215" s="59">
        <v>40</v>
      </c>
      <c r="E215" s="138">
        <v>856.54</v>
      </c>
      <c r="F215" s="76">
        <f t="shared" si="37"/>
        <v>34261.599999999999</v>
      </c>
      <c r="G215" s="76">
        <f t="shared" si="38"/>
        <v>41113.919999999998</v>
      </c>
      <c r="H215">
        <v>1379</v>
      </c>
    </row>
    <row r="216" spans="1:9" ht="15.75" x14ac:dyDescent="0.25">
      <c r="A216" s="56">
        <f t="shared" si="39"/>
        <v>177</v>
      </c>
      <c r="B216" s="57" t="s">
        <v>408</v>
      </c>
      <c r="C216" s="56" t="s">
        <v>181</v>
      </c>
      <c r="D216" s="60">
        <v>1681.5</v>
      </c>
      <c r="E216" s="138">
        <v>9.73</v>
      </c>
      <c r="F216" s="76">
        <f t="shared" si="37"/>
        <v>16361</v>
      </c>
      <c r="G216" s="76">
        <f t="shared" si="38"/>
        <v>19633.2</v>
      </c>
      <c r="H216">
        <v>125</v>
      </c>
    </row>
    <row r="217" spans="1:9" ht="15.75" x14ac:dyDescent="0.25">
      <c r="A217" s="56">
        <f t="shared" si="39"/>
        <v>178</v>
      </c>
      <c r="B217" s="57" t="s">
        <v>246</v>
      </c>
      <c r="C217" s="56" t="s">
        <v>181</v>
      </c>
      <c r="D217" s="60">
        <v>1681.5</v>
      </c>
      <c r="E217" s="138">
        <v>197.58</v>
      </c>
      <c r="F217" s="76">
        <f t="shared" si="37"/>
        <v>332230.77</v>
      </c>
      <c r="G217" s="76">
        <f t="shared" si="38"/>
        <v>398676.92</v>
      </c>
      <c r="H217">
        <v>198</v>
      </c>
    </row>
    <row r="218" spans="1:9" ht="15.75" x14ac:dyDescent="0.25">
      <c r="A218" s="56">
        <f t="shared" si="39"/>
        <v>179</v>
      </c>
      <c r="B218" s="57" t="s">
        <v>409</v>
      </c>
      <c r="C218" s="56" t="s">
        <v>181</v>
      </c>
      <c r="D218" s="58">
        <v>88.5</v>
      </c>
      <c r="E218" s="138">
        <v>856.54</v>
      </c>
      <c r="F218" s="76">
        <f t="shared" si="37"/>
        <v>75803.789999999994</v>
      </c>
      <c r="G218" s="76">
        <f t="shared" si="38"/>
        <v>90964.55</v>
      </c>
      <c r="H218">
        <v>899</v>
      </c>
    </row>
    <row r="219" spans="1:9" ht="30" x14ac:dyDescent="0.25">
      <c r="A219" s="56">
        <f t="shared" si="39"/>
        <v>180</v>
      </c>
      <c r="B219" s="57" t="s">
        <v>410</v>
      </c>
      <c r="C219" s="56" t="s">
        <v>219</v>
      </c>
      <c r="D219" s="60">
        <v>99.2</v>
      </c>
      <c r="E219" s="138">
        <v>67.760000000000005</v>
      </c>
      <c r="F219" s="76">
        <f t="shared" si="37"/>
        <v>6721.79</v>
      </c>
      <c r="G219" s="76">
        <f t="shared" ref="G219" si="40">ROUND(F219*1.2,2)</f>
        <v>8066.15</v>
      </c>
      <c r="H219">
        <v>325</v>
      </c>
    </row>
    <row r="220" spans="1:9" ht="30" x14ac:dyDescent="0.25">
      <c r="A220" s="56">
        <f t="shared" si="39"/>
        <v>181</v>
      </c>
      <c r="B220" s="57" t="s">
        <v>372</v>
      </c>
      <c r="C220" s="56" t="s">
        <v>219</v>
      </c>
      <c r="D220" s="60">
        <v>99.2</v>
      </c>
      <c r="E220" s="138">
        <v>312.27999999999997</v>
      </c>
      <c r="F220" s="76">
        <f t="shared" si="37"/>
        <v>30978.18</v>
      </c>
      <c r="G220" s="76">
        <f t="shared" si="38"/>
        <v>37173.82</v>
      </c>
      <c r="H220">
        <v>3460</v>
      </c>
      <c r="I220" s="150" t="s">
        <v>459</v>
      </c>
    </row>
    <row r="221" spans="1:9" ht="15.75" x14ac:dyDescent="0.25">
      <c r="A221" s="56"/>
      <c r="B221" s="55" t="s">
        <v>254</v>
      </c>
      <c r="C221" s="56"/>
      <c r="D221" s="58"/>
      <c r="E221" s="138"/>
      <c r="F221" s="76"/>
      <c r="G221" s="76"/>
    </row>
    <row r="222" spans="1:9" ht="30" x14ac:dyDescent="0.25">
      <c r="A222" s="56">
        <f>A220+1</f>
        <v>182</v>
      </c>
      <c r="B222" s="57" t="s">
        <v>437</v>
      </c>
      <c r="C222" s="56" t="s">
        <v>182</v>
      </c>
      <c r="D222" s="59">
        <v>49</v>
      </c>
      <c r="E222" s="138">
        <v>2864.48</v>
      </c>
      <c r="F222" s="76">
        <f t="shared" si="37"/>
        <v>140359.51999999999</v>
      </c>
      <c r="G222" s="76">
        <f t="shared" ref="G222:G227" si="41">ROUND(F222*1.2,2)</f>
        <v>168431.42</v>
      </c>
    </row>
    <row r="223" spans="1:9" ht="45" x14ac:dyDescent="0.25">
      <c r="A223" s="56">
        <f>A222+1</f>
        <v>183</v>
      </c>
      <c r="B223" s="57" t="s">
        <v>438</v>
      </c>
      <c r="C223" s="56" t="s">
        <v>182</v>
      </c>
      <c r="D223" s="59">
        <v>6</v>
      </c>
      <c r="E223" s="138">
        <v>4021.61</v>
      </c>
      <c r="F223" s="76">
        <f t="shared" si="37"/>
        <v>24129.66</v>
      </c>
      <c r="G223" s="76">
        <f t="shared" si="41"/>
        <v>28955.59</v>
      </c>
    </row>
    <row r="224" spans="1:9" ht="45" x14ac:dyDescent="0.25">
      <c r="A224" s="56">
        <f t="shared" ref="A224:A227" si="42">A223+1</f>
        <v>184</v>
      </c>
      <c r="B224" s="57" t="s">
        <v>439</v>
      </c>
      <c r="C224" s="56" t="s">
        <v>207</v>
      </c>
      <c r="D224" s="59">
        <v>2</v>
      </c>
      <c r="E224" s="138">
        <v>5203.95</v>
      </c>
      <c r="F224" s="76">
        <f t="shared" si="37"/>
        <v>10407.9</v>
      </c>
      <c r="G224" s="76">
        <f t="shared" si="41"/>
        <v>12489.48</v>
      </c>
    </row>
    <row r="225" spans="1:9" ht="45" x14ac:dyDescent="0.25">
      <c r="A225" s="56">
        <f t="shared" si="42"/>
        <v>185</v>
      </c>
      <c r="B225" s="57" t="s">
        <v>440</v>
      </c>
      <c r="C225" s="56" t="s">
        <v>207</v>
      </c>
      <c r="D225" s="59">
        <v>2</v>
      </c>
      <c r="E225" s="138">
        <v>12511.09</v>
      </c>
      <c r="F225" s="76">
        <f t="shared" si="37"/>
        <v>25022.18</v>
      </c>
      <c r="G225" s="76">
        <f t="shared" si="41"/>
        <v>30026.62</v>
      </c>
    </row>
    <row r="226" spans="1:9" ht="30" x14ac:dyDescent="0.25">
      <c r="A226" s="56">
        <f t="shared" si="42"/>
        <v>186</v>
      </c>
      <c r="B226" s="57" t="s">
        <v>386</v>
      </c>
      <c r="C226" s="56" t="s">
        <v>207</v>
      </c>
      <c r="D226" s="59">
        <v>1</v>
      </c>
      <c r="E226" s="138">
        <v>9227.06</v>
      </c>
      <c r="F226" s="76">
        <f t="shared" si="37"/>
        <v>9227.06</v>
      </c>
      <c r="G226" s="76">
        <f t="shared" si="41"/>
        <v>11072.47</v>
      </c>
    </row>
    <row r="227" spans="1:9" ht="30" x14ac:dyDescent="0.25">
      <c r="A227" s="56">
        <f t="shared" si="42"/>
        <v>187</v>
      </c>
      <c r="B227" s="57" t="s">
        <v>387</v>
      </c>
      <c r="C227" s="56" t="s">
        <v>461</v>
      </c>
      <c r="D227" s="59">
        <v>1</v>
      </c>
      <c r="E227" s="138">
        <v>70121.429999999993</v>
      </c>
      <c r="F227" s="76">
        <f t="shared" si="37"/>
        <v>70121.429999999993</v>
      </c>
      <c r="G227" s="76">
        <f t="shared" si="41"/>
        <v>84145.72</v>
      </c>
    </row>
    <row r="228" spans="1:9" ht="15.75" x14ac:dyDescent="0.25">
      <c r="A228" s="56"/>
      <c r="B228" s="55" t="s">
        <v>393</v>
      </c>
      <c r="C228" s="56"/>
      <c r="D228" s="58"/>
      <c r="E228" s="138"/>
      <c r="F228" s="76"/>
      <c r="G228" s="76"/>
    </row>
    <row r="229" spans="1:9" ht="15.75" x14ac:dyDescent="0.25">
      <c r="A229" s="56">
        <f>A227+1</f>
        <v>188</v>
      </c>
      <c r="B229" s="57" t="s">
        <v>441</v>
      </c>
      <c r="C229" s="56" t="s">
        <v>182</v>
      </c>
      <c r="D229" s="59">
        <v>49</v>
      </c>
      <c r="E229" s="138">
        <v>1334.42</v>
      </c>
      <c r="F229" s="76">
        <f t="shared" si="37"/>
        <v>65386.58</v>
      </c>
      <c r="G229" s="76">
        <f t="shared" ref="G229:G231" si="43">ROUND(F229*1.2,2)</f>
        <v>78463.899999999994</v>
      </c>
    </row>
    <row r="230" spans="1:9" ht="15.75" x14ac:dyDescent="0.25">
      <c r="A230" s="56">
        <f>A229+1</f>
        <v>189</v>
      </c>
      <c r="B230" s="57" t="s">
        <v>436</v>
      </c>
      <c r="C230" s="56" t="s">
        <v>219</v>
      </c>
      <c r="D230" s="60">
        <v>18.7</v>
      </c>
      <c r="E230" s="138">
        <v>412.84</v>
      </c>
      <c r="F230" s="76">
        <f t="shared" si="37"/>
        <v>7720.11</v>
      </c>
      <c r="G230" s="76">
        <f t="shared" si="43"/>
        <v>9264.1299999999992</v>
      </c>
    </row>
    <row r="231" spans="1:9" ht="30" x14ac:dyDescent="0.25">
      <c r="A231" s="56">
        <f>A230+1</f>
        <v>190</v>
      </c>
      <c r="B231" s="57" t="s">
        <v>427</v>
      </c>
      <c r="C231" s="56" t="s">
        <v>219</v>
      </c>
      <c r="D231" s="60">
        <v>18.7</v>
      </c>
      <c r="E231" s="138">
        <v>312.27999999999997</v>
      </c>
      <c r="F231" s="76">
        <f t="shared" si="37"/>
        <v>5839.64</v>
      </c>
      <c r="G231" s="76">
        <f t="shared" si="43"/>
        <v>7007.57</v>
      </c>
    </row>
    <row r="232" spans="1:9" ht="23.25" customHeight="1" x14ac:dyDescent="0.25">
      <c r="A232" s="123"/>
      <c r="B232" s="246" t="s">
        <v>283</v>
      </c>
      <c r="C232" s="247"/>
      <c r="D232" s="248"/>
      <c r="E232" s="124"/>
      <c r="F232" s="125"/>
      <c r="G232" s="135"/>
    </row>
    <row r="233" spans="1:9" ht="22.5" customHeight="1" x14ac:dyDescent="0.25">
      <c r="A233" s="56"/>
      <c r="B233" s="55" t="s">
        <v>248</v>
      </c>
      <c r="C233" s="56"/>
      <c r="D233" s="58"/>
      <c r="E233" s="133"/>
      <c r="F233" s="130"/>
      <c r="G233" s="136"/>
    </row>
    <row r="234" spans="1:9" ht="15.75" x14ac:dyDescent="0.25">
      <c r="A234" s="56">
        <f>A231+1</f>
        <v>191</v>
      </c>
      <c r="B234" s="57" t="s">
        <v>247</v>
      </c>
      <c r="C234" s="56" t="s">
        <v>181</v>
      </c>
      <c r="D234" s="60">
        <v>10.8</v>
      </c>
      <c r="E234" s="138">
        <v>1550.1</v>
      </c>
      <c r="F234" s="76">
        <f t="shared" ref="F234:F237" si="44">ROUND(E234*D234,2)</f>
        <v>16741.080000000002</v>
      </c>
      <c r="G234" s="76">
        <f t="shared" ref="G234:G250" si="45">ROUND(F234*1.2,2)</f>
        <v>20089.3</v>
      </c>
      <c r="H234">
        <v>1777</v>
      </c>
    </row>
    <row r="235" spans="1:9" ht="15.75" x14ac:dyDescent="0.25">
      <c r="A235" s="56">
        <f>A234+1</f>
        <v>192</v>
      </c>
      <c r="B235" s="57" t="s">
        <v>442</v>
      </c>
      <c r="C235" s="56" t="s">
        <v>181</v>
      </c>
      <c r="D235" s="60">
        <v>6.7</v>
      </c>
      <c r="E235" s="138">
        <v>856.54</v>
      </c>
      <c r="F235" s="76">
        <f t="shared" si="44"/>
        <v>5738.82</v>
      </c>
      <c r="G235" s="76">
        <f t="shared" si="45"/>
        <v>6886.58</v>
      </c>
      <c r="H235">
        <v>899</v>
      </c>
    </row>
    <row r="236" spans="1:9" ht="15.75" x14ac:dyDescent="0.25">
      <c r="A236" s="56">
        <f t="shared" ref="A236:A237" si="46">A235+1</f>
        <v>193</v>
      </c>
      <c r="B236" s="57" t="s">
        <v>443</v>
      </c>
      <c r="C236" s="56" t="s">
        <v>181</v>
      </c>
      <c r="D236" s="60">
        <v>4.0999999999999996</v>
      </c>
      <c r="E236" s="138">
        <v>518.38</v>
      </c>
      <c r="F236" s="76">
        <f t="shared" si="44"/>
        <v>2125.36</v>
      </c>
      <c r="G236" s="76">
        <f t="shared" si="45"/>
        <v>2550.4299999999998</v>
      </c>
      <c r="H236">
        <v>325</v>
      </c>
    </row>
    <row r="237" spans="1:9" ht="15.75" x14ac:dyDescent="0.25">
      <c r="A237" s="56">
        <f t="shared" si="46"/>
        <v>194</v>
      </c>
      <c r="B237" s="57" t="s">
        <v>444</v>
      </c>
      <c r="C237" s="56" t="s">
        <v>219</v>
      </c>
      <c r="D237" s="58">
        <v>7.18</v>
      </c>
      <c r="E237" s="138">
        <v>312.27999999999997</v>
      </c>
      <c r="F237" s="76">
        <f t="shared" si="44"/>
        <v>2242.17</v>
      </c>
      <c r="G237" s="76">
        <f t="shared" si="45"/>
        <v>2690.6</v>
      </c>
      <c r="H237">
        <v>3460</v>
      </c>
      <c r="I237" s="150" t="s">
        <v>459</v>
      </c>
    </row>
    <row r="238" spans="1:9" ht="18.75" customHeight="1" x14ac:dyDescent="0.25">
      <c r="A238" s="56"/>
      <c r="B238" s="55" t="s">
        <v>445</v>
      </c>
      <c r="C238" s="56"/>
      <c r="D238" s="59"/>
      <c r="E238" s="138"/>
      <c r="F238" s="76"/>
      <c r="G238" s="76"/>
    </row>
    <row r="239" spans="1:9" ht="15.75" x14ac:dyDescent="0.25">
      <c r="A239" s="56">
        <f>A237+1</f>
        <v>195</v>
      </c>
      <c r="B239" s="57" t="s">
        <v>256</v>
      </c>
      <c r="C239" s="56" t="s">
        <v>182</v>
      </c>
      <c r="D239" s="59">
        <v>40</v>
      </c>
      <c r="E239" s="138">
        <v>162.32</v>
      </c>
      <c r="F239" s="76">
        <f t="shared" ref="F239:F245" si="47">ROUND(E239*D239,2)</f>
        <v>6492.8</v>
      </c>
      <c r="G239" s="76">
        <f t="shared" si="45"/>
        <v>7791.36</v>
      </c>
    </row>
    <row r="240" spans="1:9" ht="15.75" x14ac:dyDescent="0.25">
      <c r="A240" s="56">
        <f>A239+1</f>
        <v>196</v>
      </c>
      <c r="B240" s="57" t="s">
        <v>446</v>
      </c>
      <c r="C240" s="56" t="s">
        <v>207</v>
      </c>
      <c r="D240" s="59">
        <v>2</v>
      </c>
      <c r="E240" s="138">
        <v>1976.06</v>
      </c>
      <c r="F240" s="76">
        <f t="shared" si="47"/>
        <v>3952.12</v>
      </c>
      <c r="G240" s="76">
        <f t="shared" si="45"/>
        <v>4742.54</v>
      </c>
    </row>
    <row r="241" spans="1:8" ht="15.75" x14ac:dyDescent="0.25">
      <c r="A241" s="56">
        <f>A240+1</f>
        <v>197</v>
      </c>
      <c r="B241" s="57" t="s">
        <v>447</v>
      </c>
      <c r="C241" s="56" t="s">
        <v>182</v>
      </c>
      <c r="D241" s="59">
        <f>60+180</f>
        <v>240</v>
      </c>
      <c r="E241" s="138">
        <v>64.27</v>
      </c>
      <c r="F241" s="76">
        <f t="shared" si="47"/>
        <v>15424.8</v>
      </c>
      <c r="G241" s="76">
        <f t="shared" si="45"/>
        <v>18509.759999999998</v>
      </c>
    </row>
    <row r="242" spans="1:8" ht="15.75" x14ac:dyDescent="0.25">
      <c r="A242" s="56">
        <f t="shared" ref="A242:A245" si="48">A241+1</f>
        <v>198</v>
      </c>
      <c r="B242" s="57" t="s">
        <v>448</v>
      </c>
      <c r="C242" s="56" t="s">
        <v>182</v>
      </c>
      <c r="D242" s="59">
        <v>240</v>
      </c>
      <c r="E242" s="138">
        <v>151.6</v>
      </c>
      <c r="F242" s="76">
        <f t="shared" si="47"/>
        <v>36384</v>
      </c>
      <c r="G242" s="76">
        <f t="shared" si="45"/>
        <v>43660.800000000003</v>
      </c>
    </row>
    <row r="243" spans="1:8" ht="15.75" x14ac:dyDescent="0.25">
      <c r="A243" s="56">
        <f t="shared" si="48"/>
        <v>199</v>
      </c>
      <c r="B243" s="57" t="s">
        <v>449</v>
      </c>
      <c r="C243" s="56" t="s">
        <v>182</v>
      </c>
      <c r="D243" s="59">
        <v>40</v>
      </c>
      <c r="E243" s="138">
        <v>327.23</v>
      </c>
      <c r="F243" s="76">
        <f t="shared" si="47"/>
        <v>13089.2</v>
      </c>
      <c r="G243" s="76">
        <f t="shared" si="45"/>
        <v>15707.04</v>
      </c>
    </row>
    <row r="244" spans="1:8" ht="15.75" x14ac:dyDescent="0.25">
      <c r="A244" s="56">
        <f t="shared" si="48"/>
        <v>200</v>
      </c>
      <c r="B244" s="57" t="s">
        <v>450</v>
      </c>
      <c r="C244" s="56" t="s">
        <v>207</v>
      </c>
      <c r="D244" s="59">
        <v>4</v>
      </c>
      <c r="E244" s="138">
        <v>8752.73</v>
      </c>
      <c r="F244" s="76">
        <f t="shared" si="47"/>
        <v>35010.92</v>
      </c>
      <c r="G244" s="76">
        <f t="shared" si="45"/>
        <v>42013.1</v>
      </c>
    </row>
    <row r="245" spans="1:8" ht="15.75" x14ac:dyDescent="0.25">
      <c r="A245" s="56">
        <f t="shared" si="48"/>
        <v>201</v>
      </c>
      <c r="B245" s="57" t="s">
        <v>451</v>
      </c>
      <c r="C245" s="56" t="s">
        <v>182</v>
      </c>
      <c r="D245" s="59">
        <v>40</v>
      </c>
      <c r="E245" s="138">
        <v>18.45</v>
      </c>
      <c r="F245" s="76">
        <f t="shared" si="47"/>
        <v>738</v>
      </c>
      <c r="G245" s="76">
        <f t="shared" si="45"/>
        <v>885.6</v>
      </c>
    </row>
    <row r="246" spans="1:8" ht="21.75" customHeight="1" x14ac:dyDescent="0.25">
      <c r="A246" s="56"/>
      <c r="B246" s="55" t="s">
        <v>452</v>
      </c>
      <c r="C246" s="56"/>
      <c r="D246" s="58"/>
      <c r="E246" s="138"/>
      <c r="F246" s="76"/>
      <c r="G246" s="76"/>
    </row>
    <row r="247" spans="1:8" ht="30" x14ac:dyDescent="0.25">
      <c r="A247" s="56">
        <f>A245+1</f>
        <v>202</v>
      </c>
      <c r="B247" s="57" t="s">
        <v>453</v>
      </c>
      <c r="C247" s="56" t="s">
        <v>462</v>
      </c>
      <c r="D247" s="59">
        <v>4</v>
      </c>
      <c r="E247" s="138">
        <v>6257.28</v>
      </c>
      <c r="F247" s="76">
        <f t="shared" ref="F247:F250" si="49">ROUND(E247*D247,2)</f>
        <v>25029.119999999999</v>
      </c>
      <c r="G247" s="76">
        <f t="shared" si="45"/>
        <v>30034.94</v>
      </c>
    </row>
    <row r="248" spans="1:8" ht="30" x14ac:dyDescent="0.25">
      <c r="A248" s="56">
        <f>A247+1</f>
        <v>203</v>
      </c>
      <c r="B248" s="57" t="s">
        <v>454</v>
      </c>
      <c r="C248" s="56" t="s">
        <v>462</v>
      </c>
      <c r="D248" s="59">
        <v>4</v>
      </c>
      <c r="E248" s="138">
        <v>6257.28</v>
      </c>
      <c r="F248" s="76">
        <f t="shared" si="49"/>
        <v>25029.119999999999</v>
      </c>
      <c r="G248" s="76">
        <f t="shared" si="45"/>
        <v>30034.94</v>
      </c>
    </row>
    <row r="249" spans="1:8" ht="30" x14ac:dyDescent="0.25">
      <c r="A249" s="56">
        <f t="shared" ref="A249:A250" si="50">A248+1</f>
        <v>204</v>
      </c>
      <c r="B249" s="57" t="s">
        <v>455</v>
      </c>
      <c r="C249" s="56" t="s">
        <v>462</v>
      </c>
      <c r="D249" s="59">
        <v>4</v>
      </c>
      <c r="E249" s="138">
        <v>6257.28</v>
      </c>
      <c r="F249" s="76">
        <f t="shared" si="49"/>
        <v>25029.119999999999</v>
      </c>
      <c r="G249" s="76">
        <f t="shared" si="45"/>
        <v>30034.94</v>
      </c>
    </row>
    <row r="250" spans="1:8" ht="30" x14ac:dyDescent="0.25">
      <c r="A250" s="56">
        <f t="shared" si="50"/>
        <v>205</v>
      </c>
      <c r="B250" s="57" t="s">
        <v>456</v>
      </c>
      <c r="C250" s="56" t="s">
        <v>463</v>
      </c>
      <c r="D250" s="59">
        <v>3</v>
      </c>
      <c r="E250" s="138">
        <v>2329.08</v>
      </c>
      <c r="F250" s="76">
        <f t="shared" si="49"/>
        <v>6987.24</v>
      </c>
      <c r="G250" s="76">
        <f t="shared" si="45"/>
        <v>8384.69</v>
      </c>
    </row>
    <row r="251" spans="1:8" x14ac:dyDescent="0.25">
      <c r="A251" s="134"/>
      <c r="B251" s="249" t="s">
        <v>269</v>
      </c>
      <c r="C251" s="250"/>
      <c r="D251" s="250"/>
      <c r="E251" s="251"/>
      <c r="F251" s="127">
        <f>SUM(F6:F250)</f>
        <v>6681041.8199999994</v>
      </c>
      <c r="G251" s="127">
        <f>SUM(G6:G250)</f>
        <v>8017250.1500000004</v>
      </c>
    </row>
    <row r="252" spans="1:8" x14ac:dyDescent="0.25">
      <c r="A252" s="222" t="s">
        <v>270</v>
      </c>
      <c r="B252" s="223"/>
      <c r="C252" s="223"/>
      <c r="D252" s="223"/>
      <c r="E252" s="224"/>
      <c r="F252" s="152">
        <f>ROUND(F251*0.03,2)</f>
        <v>200431.25</v>
      </c>
      <c r="G252" s="152">
        <f>ROUND(G251*0.03,2)</f>
        <v>240517.5</v>
      </c>
      <c r="H252" s="51"/>
    </row>
    <row r="253" spans="1:8" x14ac:dyDescent="0.25">
      <c r="A253" s="222" t="s">
        <v>271</v>
      </c>
      <c r="B253" s="223"/>
      <c r="C253" s="223"/>
      <c r="D253" s="223"/>
      <c r="E253" s="224"/>
      <c r="F253" s="152">
        <f>F251+F252</f>
        <v>6881473.0699999994</v>
      </c>
      <c r="G253" s="152">
        <f>G251+G252</f>
        <v>8257767.6500000004</v>
      </c>
      <c r="H253" s="51"/>
    </row>
  </sheetData>
  <mergeCells count="18">
    <mergeCell ref="B140:D140"/>
    <mergeCell ref="B163:D163"/>
    <mergeCell ref="B41:D41"/>
    <mergeCell ref="B4:D4"/>
    <mergeCell ref="B69:D69"/>
    <mergeCell ref="B97:D97"/>
    <mergeCell ref="B121:D121"/>
    <mergeCell ref="A1:A2"/>
    <mergeCell ref="B1:B2"/>
    <mergeCell ref="C1:C2"/>
    <mergeCell ref="D1:D2"/>
    <mergeCell ref="E1:G1"/>
    <mergeCell ref="B186:D186"/>
    <mergeCell ref="B209:D209"/>
    <mergeCell ref="B232:D232"/>
    <mergeCell ref="A252:E252"/>
    <mergeCell ref="A253:E253"/>
    <mergeCell ref="B251:E251"/>
  </mergeCells>
  <pageMargins left="0.7" right="0.7" top="0.75" bottom="0.75" header="0.3" footer="0.3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/>
  <dimension ref="A1:H109"/>
  <sheetViews>
    <sheetView view="pageBreakPreview" topLeftCell="A41" zoomScale="80" zoomScaleNormal="100" zoomScaleSheetLayoutView="80" workbookViewId="0">
      <selection activeCell="G110" sqref="G110"/>
    </sheetView>
  </sheetViews>
  <sheetFormatPr defaultRowHeight="15" x14ac:dyDescent="0.25"/>
  <cols>
    <col min="1" max="1" width="7.42578125" customWidth="1"/>
    <col min="2" max="2" width="64" customWidth="1"/>
    <col min="4" max="4" width="9.28515625" bestFit="1" customWidth="1"/>
    <col min="5" max="5" width="14.140625" bestFit="1" customWidth="1"/>
    <col min="6" max="6" width="17.42578125" customWidth="1"/>
    <col min="7" max="7" width="17.28515625" customWidth="1"/>
    <col min="8" max="8" width="12.7109375" customWidth="1"/>
  </cols>
  <sheetData>
    <row r="1" spans="1:7" ht="19.5" customHeight="1" x14ac:dyDescent="0.25">
      <c r="A1" s="242" t="s">
        <v>213</v>
      </c>
      <c r="B1" s="245" t="s">
        <v>188</v>
      </c>
      <c r="C1" s="242" t="s">
        <v>260</v>
      </c>
      <c r="D1" s="242" t="s">
        <v>189</v>
      </c>
      <c r="E1" s="244" t="s">
        <v>258</v>
      </c>
      <c r="F1" s="244"/>
      <c r="G1" s="244"/>
    </row>
    <row r="2" spans="1:7" s="53" customFormat="1" ht="28.5" x14ac:dyDescent="0.25">
      <c r="A2" s="242"/>
      <c r="B2" s="245"/>
      <c r="C2" s="242"/>
      <c r="D2" s="242"/>
      <c r="E2" s="72" t="s">
        <v>259</v>
      </c>
      <c r="F2" s="80" t="s">
        <v>184</v>
      </c>
      <c r="G2" s="80" t="s">
        <v>185</v>
      </c>
    </row>
    <row r="3" spans="1:7" ht="13.5" customHeight="1" x14ac:dyDescent="0.25">
      <c r="A3" s="119">
        <v>1</v>
      </c>
      <c r="B3" s="120">
        <v>2</v>
      </c>
      <c r="C3" s="120">
        <v>3</v>
      </c>
      <c r="D3" s="120">
        <v>4</v>
      </c>
      <c r="E3" s="120">
        <v>5</v>
      </c>
      <c r="F3" s="120">
        <v>6</v>
      </c>
      <c r="G3" s="120">
        <v>7</v>
      </c>
    </row>
    <row r="4" spans="1:7" ht="19.5" customHeight="1" x14ac:dyDescent="0.25">
      <c r="A4" s="123"/>
      <c r="B4" s="220" t="s">
        <v>274</v>
      </c>
      <c r="C4" s="221"/>
      <c r="D4" s="253"/>
      <c r="E4" s="125"/>
      <c r="F4" s="126"/>
      <c r="G4" s="97"/>
    </row>
    <row r="5" spans="1:7" x14ac:dyDescent="0.25">
      <c r="A5" s="68">
        <v>1</v>
      </c>
      <c r="B5" s="57" t="s">
        <v>223</v>
      </c>
      <c r="C5" s="56" t="s">
        <v>181</v>
      </c>
      <c r="D5" s="60">
        <v>14.3</v>
      </c>
      <c r="E5" s="76">
        <v>1320</v>
      </c>
      <c r="F5" s="76">
        <f>ROUND(E5*D5,2)</f>
        <v>18876</v>
      </c>
      <c r="G5" s="76">
        <f>ROUND(F5*1.2,2)</f>
        <v>22651.200000000001</v>
      </c>
    </row>
    <row r="6" spans="1:7" ht="30" x14ac:dyDescent="0.25">
      <c r="A6" s="68">
        <f>A5+1</f>
        <v>2</v>
      </c>
      <c r="B6" s="57" t="s">
        <v>284</v>
      </c>
      <c r="C6" s="56" t="s">
        <v>182</v>
      </c>
      <c r="D6" s="59">
        <v>31</v>
      </c>
      <c r="E6" s="76">
        <v>2640</v>
      </c>
      <c r="F6" s="76">
        <f t="shared" ref="F6:F31" si="0">ROUND(E6*D6,2)</f>
        <v>81840</v>
      </c>
      <c r="G6" s="76">
        <f t="shared" ref="G6:G31" si="1">ROUND(F6*1.2,2)</f>
        <v>98208</v>
      </c>
    </row>
    <row r="7" spans="1:7" x14ac:dyDescent="0.25">
      <c r="A7" s="68">
        <f>A6+1</f>
        <v>3</v>
      </c>
      <c r="B7" s="57" t="s">
        <v>285</v>
      </c>
      <c r="C7" s="56" t="s">
        <v>182</v>
      </c>
      <c r="D7" s="59">
        <v>6</v>
      </c>
      <c r="E7" s="76">
        <v>9680</v>
      </c>
      <c r="F7" s="76">
        <f t="shared" si="0"/>
        <v>58080</v>
      </c>
      <c r="G7" s="76">
        <f t="shared" si="1"/>
        <v>69696</v>
      </c>
    </row>
    <row r="8" spans="1:7" x14ac:dyDescent="0.25">
      <c r="A8" s="68">
        <f t="shared" ref="A8:A31" si="2">A7+1</f>
        <v>4</v>
      </c>
      <c r="B8" s="57" t="s">
        <v>286</v>
      </c>
      <c r="C8" s="56" t="s">
        <v>207</v>
      </c>
      <c r="D8" s="59">
        <v>2</v>
      </c>
      <c r="E8" s="76">
        <v>3300</v>
      </c>
      <c r="F8" s="76">
        <f t="shared" si="0"/>
        <v>6600</v>
      </c>
      <c r="G8" s="76">
        <f t="shared" si="1"/>
        <v>7920</v>
      </c>
    </row>
    <row r="9" spans="1:7" x14ac:dyDescent="0.25">
      <c r="A9" s="68">
        <f t="shared" si="2"/>
        <v>5</v>
      </c>
      <c r="B9" s="57" t="s">
        <v>287</v>
      </c>
      <c r="C9" s="56" t="s">
        <v>207</v>
      </c>
      <c r="D9" s="59">
        <v>2</v>
      </c>
      <c r="E9" s="76">
        <v>3410</v>
      </c>
      <c r="F9" s="76">
        <f t="shared" si="0"/>
        <v>6820</v>
      </c>
      <c r="G9" s="76">
        <f t="shared" si="1"/>
        <v>8184</v>
      </c>
    </row>
    <row r="10" spans="1:7" ht="30" x14ac:dyDescent="0.25">
      <c r="A10" s="68">
        <f t="shared" si="2"/>
        <v>6</v>
      </c>
      <c r="B10" s="57" t="s">
        <v>288</v>
      </c>
      <c r="C10" s="56" t="s">
        <v>207</v>
      </c>
      <c r="D10" s="59">
        <v>2</v>
      </c>
      <c r="E10" s="76">
        <v>3740</v>
      </c>
      <c r="F10" s="76">
        <f t="shared" si="0"/>
        <v>7480</v>
      </c>
      <c r="G10" s="76">
        <f t="shared" si="1"/>
        <v>8976</v>
      </c>
    </row>
    <row r="11" spans="1:7" x14ac:dyDescent="0.25">
      <c r="A11" s="68">
        <f t="shared" si="2"/>
        <v>7</v>
      </c>
      <c r="B11" s="57" t="s">
        <v>289</v>
      </c>
      <c r="C11" s="56" t="s">
        <v>220</v>
      </c>
      <c r="D11" s="62">
        <v>8.7479999999999993</v>
      </c>
      <c r="E11" s="76">
        <v>127</v>
      </c>
      <c r="F11" s="76">
        <f t="shared" si="0"/>
        <v>1111</v>
      </c>
      <c r="G11" s="76">
        <f t="shared" si="1"/>
        <v>1333.2</v>
      </c>
    </row>
    <row r="12" spans="1:7" x14ac:dyDescent="0.25">
      <c r="A12" s="68">
        <f t="shared" si="2"/>
        <v>8</v>
      </c>
      <c r="B12" s="57" t="s">
        <v>290</v>
      </c>
      <c r="C12" s="56" t="s">
        <v>220</v>
      </c>
      <c r="D12" s="62">
        <v>2.556</v>
      </c>
      <c r="E12" s="76">
        <v>147</v>
      </c>
      <c r="F12" s="76">
        <f t="shared" si="0"/>
        <v>375.73</v>
      </c>
      <c r="G12" s="76">
        <f t="shared" si="1"/>
        <v>450.88</v>
      </c>
    </row>
    <row r="13" spans="1:7" x14ac:dyDescent="0.25">
      <c r="A13" s="68">
        <f t="shared" si="2"/>
        <v>9</v>
      </c>
      <c r="B13" s="57" t="s">
        <v>291</v>
      </c>
      <c r="C13" s="56" t="s">
        <v>220</v>
      </c>
      <c r="D13" s="63">
        <v>1.2347999999999999</v>
      </c>
      <c r="E13" s="76">
        <v>197</v>
      </c>
      <c r="F13" s="76">
        <f t="shared" si="0"/>
        <v>243.26</v>
      </c>
      <c r="G13" s="76">
        <f t="shared" si="1"/>
        <v>291.91000000000003</v>
      </c>
    </row>
    <row r="14" spans="1:7" ht="30" x14ac:dyDescent="0.25">
      <c r="A14" s="68">
        <f t="shared" si="2"/>
        <v>10</v>
      </c>
      <c r="B14" s="57" t="s">
        <v>292</v>
      </c>
      <c r="C14" s="56" t="s">
        <v>207</v>
      </c>
      <c r="D14" s="59">
        <v>2</v>
      </c>
      <c r="E14" s="76">
        <v>3699</v>
      </c>
      <c r="F14" s="76">
        <f t="shared" si="0"/>
        <v>7398</v>
      </c>
      <c r="G14" s="76">
        <f t="shared" si="1"/>
        <v>8877.6</v>
      </c>
    </row>
    <row r="15" spans="1:7" x14ac:dyDescent="0.25">
      <c r="A15" s="68">
        <f t="shared" si="2"/>
        <v>11</v>
      </c>
      <c r="B15" s="57" t="s">
        <v>293</v>
      </c>
      <c r="C15" s="56" t="s">
        <v>207</v>
      </c>
      <c r="D15" s="59">
        <v>1</v>
      </c>
      <c r="E15" s="76">
        <v>18150</v>
      </c>
      <c r="F15" s="76">
        <f t="shared" si="0"/>
        <v>18150</v>
      </c>
      <c r="G15" s="76">
        <f t="shared" si="1"/>
        <v>21780</v>
      </c>
    </row>
    <row r="16" spans="1:7" ht="30" x14ac:dyDescent="0.25">
      <c r="A16" s="68">
        <f t="shared" si="2"/>
        <v>12</v>
      </c>
      <c r="B16" s="57" t="s">
        <v>294</v>
      </c>
      <c r="C16" s="56" t="s">
        <v>207</v>
      </c>
      <c r="D16" s="59">
        <v>3</v>
      </c>
      <c r="E16" s="76">
        <v>61</v>
      </c>
      <c r="F16" s="76">
        <f t="shared" si="0"/>
        <v>183</v>
      </c>
      <c r="G16" s="76">
        <f t="shared" si="1"/>
        <v>219.6</v>
      </c>
    </row>
    <row r="17" spans="1:8" x14ac:dyDescent="0.25">
      <c r="A17" s="68">
        <f t="shared" si="2"/>
        <v>13</v>
      </c>
      <c r="B17" s="57" t="s">
        <v>295</v>
      </c>
      <c r="C17" s="56" t="s">
        <v>207</v>
      </c>
      <c r="D17" s="59">
        <v>1</v>
      </c>
      <c r="E17" s="76">
        <v>10450</v>
      </c>
      <c r="F17" s="76">
        <f t="shared" si="0"/>
        <v>10450</v>
      </c>
      <c r="G17" s="76">
        <f t="shared" si="1"/>
        <v>12540</v>
      </c>
    </row>
    <row r="18" spans="1:8" x14ac:dyDescent="0.25">
      <c r="A18" s="68">
        <f t="shared" si="2"/>
        <v>14</v>
      </c>
      <c r="B18" s="57" t="s">
        <v>296</v>
      </c>
      <c r="C18" s="56" t="s">
        <v>207</v>
      </c>
      <c r="D18" s="59">
        <v>1</v>
      </c>
      <c r="E18" s="76">
        <v>3410</v>
      </c>
      <c r="F18" s="76">
        <f t="shared" si="0"/>
        <v>3410</v>
      </c>
      <c r="G18" s="76">
        <f t="shared" si="1"/>
        <v>4092</v>
      </c>
    </row>
    <row r="19" spans="1:8" x14ac:dyDescent="0.25">
      <c r="A19" s="68">
        <f t="shared" si="2"/>
        <v>15</v>
      </c>
      <c r="B19" s="57" t="s">
        <v>297</v>
      </c>
      <c r="C19" s="61" t="s">
        <v>181</v>
      </c>
      <c r="D19" s="59">
        <v>1</v>
      </c>
      <c r="E19" s="76">
        <v>3850</v>
      </c>
      <c r="F19" s="76">
        <f t="shared" si="0"/>
        <v>3850</v>
      </c>
      <c r="G19" s="76">
        <f t="shared" si="1"/>
        <v>4620</v>
      </c>
    </row>
    <row r="20" spans="1:8" x14ac:dyDescent="0.25">
      <c r="A20" s="68">
        <f t="shared" si="2"/>
        <v>16</v>
      </c>
      <c r="B20" s="57" t="s">
        <v>298</v>
      </c>
      <c r="C20" s="61" t="s">
        <v>207</v>
      </c>
      <c r="D20" s="65" t="s">
        <v>299</v>
      </c>
      <c r="E20" s="76">
        <v>4565</v>
      </c>
      <c r="F20" s="76">
        <f t="shared" si="0"/>
        <v>4565</v>
      </c>
      <c r="G20" s="76">
        <f t="shared" si="1"/>
        <v>5478</v>
      </c>
    </row>
    <row r="21" spans="1:8" x14ac:dyDescent="0.25">
      <c r="A21" s="68">
        <f t="shared" si="2"/>
        <v>17</v>
      </c>
      <c r="B21" s="57" t="s">
        <v>300</v>
      </c>
      <c r="C21" s="61" t="s">
        <v>207</v>
      </c>
      <c r="D21" s="65" t="s">
        <v>299</v>
      </c>
      <c r="E21" s="76">
        <v>4290</v>
      </c>
      <c r="F21" s="76">
        <f t="shared" si="0"/>
        <v>4290</v>
      </c>
      <c r="G21" s="76">
        <f t="shared" si="1"/>
        <v>5148</v>
      </c>
    </row>
    <row r="22" spans="1:8" x14ac:dyDescent="0.25">
      <c r="A22" s="68">
        <f t="shared" si="2"/>
        <v>18</v>
      </c>
      <c r="B22" s="57" t="s">
        <v>301</v>
      </c>
      <c r="C22" s="61" t="s">
        <v>207</v>
      </c>
      <c r="D22" s="65" t="s">
        <v>302</v>
      </c>
      <c r="E22" s="76">
        <v>5060</v>
      </c>
      <c r="F22" s="76">
        <f t="shared" si="0"/>
        <v>10120</v>
      </c>
      <c r="G22" s="76">
        <f t="shared" si="1"/>
        <v>12144</v>
      </c>
    </row>
    <row r="23" spans="1:8" x14ac:dyDescent="0.25">
      <c r="A23" s="68">
        <f t="shared" si="2"/>
        <v>19</v>
      </c>
      <c r="B23" s="57" t="s">
        <v>303</v>
      </c>
      <c r="C23" s="61" t="s">
        <v>207</v>
      </c>
      <c r="D23" s="65" t="s">
        <v>299</v>
      </c>
      <c r="E23" s="76">
        <v>4070.0000000000005</v>
      </c>
      <c r="F23" s="76">
        <f t="shared" si="0"/>
        <v>4070</v>
      </c>
      <c r="G23" s="76">
        <f t="shared" si="1"/>
        <v>4884</v>
      </c>
    </row>
    <row r="24" spans="1:8" x14ac:dyDescent="0.25">
      <c r="A24" s="68">
        <f t="shared" si="2"/>
        <v>20</v>
      </c>
      <c r="B24" s="57" t="s">
        <v>304</v>
      </c>
      <c r="C24" s="61" t="s">
        <v>207</v>
      </c>
      <c r="D24" s="65" t="s">
        <v>299</v>
      </c>
      <c r="E24" s="76">
        <v>6199</v>
      </c>
      <c r="F24" s="76">
        <f t="shared" si="0"/>
        <v>6199</v>
      </c>
      <c r="G24" s="76">
        <f t="shared" si="1"/>
        <v>7438.8</v>
      </c>
    </row>
    <row r="25" spans="1:8" x14ac:dyDescent="0.25">
      <c r="A25" s="68">
        <f t="shared" si="2"/>
        <v>21</v>
      </c>
      <c r="B25" s="57" t="s">
        <v>305</v>
      </c>
      <c r="C25" s="61" t="s">
        <v>207</v>
      </c>
      <c r="D25" s="65" t="s">
        <v>299</v>
      </c>
      <c r="E25" s="76">
        <v>15180</v>
      </c>
      <c r="F25" s="76">
        <f t="shared" si="0"/>
        <v>15180</v>
      </c>
      <c r="G25" s="76">
        <f t="shared" si="1"/>
        <v>18216</v>
      </c>
    </row>
    <row r="26" spans="1:8" x14ac:dyDescent="0.25">
      <c r="A26" s="68">
        <f t="shared" si="2"/>
        <v>22</v>
      </c>
      <c r="B26" s="57" t="s">
        <v>306</v>
      </c>
      <c r="C26" s="61" t="s">
        <v>220</v>
      </c>
      <c r="D26" s="65" t="s">
        <v>307</v>
      </c>
      <c r="E26" s="76">
        <v>702</v>
      </c>
      <c r="F26" s="76">
        <f t="shared" si="0"/>
        <v>16146</v>
      </c>
      <c r="G26" s="76">
        <f t="shared" si="1"/>
        <v>19375.2</v>
      </c>
    </row>
    <row r="27" spans="1:8" x14ac:dyDescent="0.25">
      <c r="A27" s="68">
        <f t="shared" si="2"/>
        <v>23</v>
      </c>
      <c r="B27" s="57" t="s">
        <v>308</v>
      </c>
      <c r="C27" s="61" t="s">
        <v>182</v>
      </c>
      <c r="D27" s="145">
        <f>6*0.245</f>
        <v>1.47</v>
      </c>
      <c r="E27" s="76">
        <v>319</v>
      </c>
      <c r="F27" s="76">
        <f t="shared" si="0"/>
        <v>468.93</v>
      </c>
      <c r="G27" s="76">
        <f t="shared" si="1"/>
        <v>562.72</v>
      </c>
    </row>
    <row r="28" spans="1:8" x14ac:dyDescent="0.25">
      <c r="A28" s="68">
        <f t="shared" si="2"/>
        <v>24</v>
      </c>
      <c r="B28" s="57" t="s">
        <v>309</v>
      </c>
      <c r="C28" s="61" t="s">
        <v>220</v>
      </c>
      <c r="D28" s="145">
        <f>0.3*6*3.1</f>
        <v>5.5799999999999992</v>
      </c>
      <c r="E28" s="76">
        <v>95</v>
      </c>
      <c r="F28" s="76">
        <f t="shared" si="0"/>
        <v>530.1</v>
      </c>
      <c r="G28" s="76">
        <f t="shared" si="1"/>
        <v>636.12</v>
      </c>
    </row>
    <row r="29" spans="1:8" x14ac:dyDescent="0.25">
      <c r="A29" s="68">
        <f t="shared" si="2"/>
        <v>25</v>
      </c>
      <c r="B29" s="57" t="s">
        <v>310</v>
      </c>
      <c r="C29" s="61" t="s">
        <v>220</v>
      </c>
      <c r="D29" s="65" t="s">
        <v>311</v>
      </c>
      <c r="E29" s="76">
        <v>250</v>
      </c>
      <c r="F29" s="76">
        <f t="shared" si="0"/>
        <v>1250</v>
      </c>
      <c r="G29" s="76">
        <f t="shared" si="1"/>
        <v>1500</v>
      </c>
    </row>
    <row r="30" spans="1:8" x14ac:dyDescent="0.25">
      <c r="A30" s="68">
        <f t="shared" si="2"/>
        <v>26</v>
      </c>
      <c r="B30" s="57" t="s">
        <v>222</v>
      </c>
      <c r="C30" s="61" t="s">
        <v>220</v>
      </c>
      <c r="D30" s="65" t="s">
        <v>312</v>
      </c>
      <c r="E30" s="76">
        <v>312</v>
      </c>
      <c r="F30" s="76">
        <f t="shared" si="0"/>
        <v>10608</v>
      </c>
      <c r="G30" s="76">
        <f t="shared" si="1"/>
        <v>12729.6</v>
      </c>
    </row>
    <row r="31" spans="1:8" x14ac:dyDescent="0.25">
      <c r="A31" s="68">
        <f t="shared" si="2"/>
        <v>27</v>
      </c>
      <c r="B31" s="57" t="s">
        <v>313</v>
      </c>
      <c r="C31" s="61" t="s">
        <v>181</v>
      </c>
      <c r="D31" s="65" t="s">
        <v>314</v>
      </c>
      <c r="E31" s="76">
        <v>1368</v>
      </c>
      <c r="F31" s="76">
        <f t="shared" si="0"/>
        <v>957.6</v>
      </c>
      <c r="G31" s="76">
        <f t="shared" si="1"/>
        <v>1149.1199999999999</v>
      </c>
      <c r="H31" s="149"/>
    </row>
    <row r="32" spans="1:8" ht="21.75" customHeight="1" x14ac:dyDescent="0.25">
      <c r="A32" s="123"/>
      <c r="B32" s="246" t="s">
        <v>275</v>
      </c>
      <c r="C32" s="247"/>
      <c r="D32" s="247"/>
      <c r="E32" s="125"/>
      <c r="F32" s="126"/>
      <c r="G32" s="97"/>
    </row>
    <row r="33" spans="1:8" x14ac:dyDescent="0.25">
      <c r="A33" s="56">
        <f>A31+1</f>
        <v>28</v>
      </c>
      <c r="B33" s="57" t="s">
        <v>223</v>
      </c>
      <c r="C33" s="56" t="s">
        <v>181</v>
      </c>
      <c r="D33" s="59">
        <v>47</v>
      </c>
      <c r="E33" s="76">
        <v>1320</v>
      </c>
      <c r="F33" s="76">
        <f t="shared" ref="F33:F45" si="3">ROUND(E33*D33,2)</f>
        <v>62040</v>
      </c>
      <c r="G33" s="76">
        <f t="shared" ref="G33:G45" si="4">ROUND(F33*1.2,2)</f>
        <v>74448</v>
      </c>
    </row>
    <row r="34" spans="1:8" ht="30" x14ac:dyDescent="0.25">
      <c r="A34" s="56">
        <f t="shared" ref="A34:A45" si="5">A33+1</f>
        <v>29</v>
      </c>
      <c r="B34" s="57" t="s">
        <v>315</v>
      </c>
      <c r="C34" s="61" t="s">
        <v>182</v>
      </c>
      <c r="D34" s="65" t="s">
        <v>316</v>
      </c>
      <c r="E34" s="76">
        <v>1430</v>
      </c>
      <c r="F34" s="76">
        <f t="shared" si="3"/>
        <v>138710</v>
      </c>
      <c r="G34" s="76">
        <f t="shared" si="4"/>
        <v>166452</v>
      </c>
    </row>
    <row r="35" spans="1:8" x14ac:dyDescent="0.25">
      <c r="A35" s="56">
        <f t="shared" si="5"/>
        <v>30</v>
      </c>
      <c r="B35" s="57" t="s">
        <v>317</v>
      </c>
      <c r="C35" s="61" t="s">
        <v>182</v>
      </c>
      <c r="D35" s="65" t="s">
        <v>318</v>
      </c>
      <c r="E35" s="76">
        <v>8140</v>
      </c>
      <c r="F35" s="76">
        <f t="shared" si="3"/>
        <v>48840</v>
      </c>
      <c r="G35" s="76">
        <f t="shared" si="4"/>
        <v>58608</v>
      </c>
    </row>
    <row r="36" spans="1:8" x14ac:dyDescent="0.25">
      <c r="A36" s="56">
        <f t="shared" si="5"/>
        <v>31</v>
      </c>
      <c r="B36" s="57" t="s">
        <v>319</v>
      </c>
      <c r="C36" s="61" t="s">
        <v>178</v>
      </c>
      <c r="D36" s="65" t="s">
        <v>302</v>
      </c>
      <c r="E36" s="76">
        <v>2090</v>
      </c>
      <c r="F36" s="76">
        <f t="shared" si="3"/>
        <v>4180</v>
      </c>
      <c r="G36" s="76">
        <f t="shared" si="4"/>
        <v>5016</v>
      </c>
    </row>
    <row r="37" spans="1:8" x14ac:dyDescent="0.25">
      <c r="A37" s="56">
        <f t="shared" si="5"/>
        <v>32</v>
      </c>
      <c r="B37" s="57" t="s">
        <v>320</v>
      </c>
      <c r="C37" s="61" t="s">
        <v>178</v>
      </c>
      <c r="D37" s="65">
        <v>1</v>
      </c>
      <c r="E37" s="76">
        <v>4840</v>
      </c>
      <c r="F37" s="76">
        <f t="shared" si="3"/>
        <v>4840</v>
      </c>
      <c r="G37" s="76">
        <f t="shared" si="4"/>
        <v>5808</v>
      </c>
    </row>
    <row r="38" spans="1:8" ht="30" x14ac:dyDescent="0.25">
      <c r="A38" s="56">
        <f t="shared" si="5"/>
        <v>33</v>
      </c>
      <c r="B38" s="57" t="s">
        <v>321</v>
      </c>
      <c r="C38" s="61" t="s">
        <v>178</v>
      </c>
      <c r="D38" s="65">
        <v>1</v>
      </c>
      <c r="E38" s="76">
        <v>50</v>
      </c>
      <c r="F38" s="76">
        <f t="shared" si="3"/>
        <v>50</v>
      </c>
      <c r="G38" s="76">
        <f t="shared" si="4"/>
        <v>60</v>
      </c>
    </row>
    <row r="39" spans="1:8" x14ac:dyDescent="0.25">
      <c r="A39" s="56">
        <f t="shared" si="5"/>
        <v>34</v>
      </c>
      <c r="B39" s="57" t="s">
        <v>340</v>
      </c>
      <c r="C39" s="61" t="s">
        <v>178</v>
      </c>
      <c r="D39" s="65">
        <v>1</v>
      </c>
      <c r="E39" s="76">
        <v>5720</v>
      </c>
      <c r="F39" s="76">
        <f t="shared" si="3"/>
        <v>5720</v>
      </c>
      <c r="G39" s="76">
        <f t="shared" si="4"/>
        <v>6864</v>
      </c>
    </row>
    <row r="40" spans="1:8" x14ac:dyDescent="0.25">
      <c r="A40" s="56">
        <f t="shared" si="5"/>
        <v>35</v>
      </c>
      <c r="B40" s="57" t="s">
        <v>323</v>
      </c>
      <c r="C40" s="61" t="s">
        <v>220</v>
      </c>
      <c r="D40" s="146">
        <f>8*0.243</f>
        <v>1.944</v>
      </c>
      <c r="E40" s="76">
        <v>127</v>
      </c>
      <c r="F40" s="76">
        <f t="shared" si="3"/>
        <v>246.89</v>
      </c>
      <c r="G40" s="76">
        <f t="shared" si="4"/>
        <v>296.27</v>
      </c>
    </row>
    <row r="41" spans="1:8" x14ac:dyDescent="0.25">
      <c r="A41" s="56">
        <f t="shared" si="5"/>
        <v>36</v>
      </c>
      <c r="B41" s="57" t="s">
        <v>324</v>
      </c>
      <c r="C41" s="61" t="s">
        <v>220</v>
      </c>
      <c r="D41" s="146">
        <f>8*0.071</f>
        <v>0.56799999999999995</v>
      </c>
      <c r="E41" s="76">
        <v>147</v>
      </c>
      <c r="F41" s="76">
        <f t="shared" si="3"/>
        <v>83.5</v>
      </c>
      <c r="G41" s="76">
        <f t="shared" si="4"/>
        <v>100.2</v>
      </c>
    </row>
    <row r="42" spans="1:8" x14ac:dyDescent="0.25">
      <c r="A42" s="56">
        <f t="shared" si="5"/>
        <v>37</v>
      </c>
      <c r="B42" s="57" t="s">
        <v>325</v>
      </c>
      <c r="C42" s="61" t="s">
        <v>220</v>
      </c>
      <c r="D42" s="146">
        <f>16*0.0172</f>
        <v>0.2752</v>
      </c>
      <c r="E42" s="76">
        <v>197</v>
      </c>
      <c r="F42" s="76">
        <f t="shared" si="3"/>
        <v>54.21</v>
      </c>
      <c r="G42" s="76">
        <f t="shared" si="4"/>
        <v>65.05</v>
      </c>
    </row>
    <row r="43" spans="1:8" ht="30" x14ac:dyDescent="0.25">
      <c r="A43" s="56">
        <f t="shared" si="5"/>
        <v>38</v>
      </c>
      <c r="B43" s="57" t="s">
        <v>326</v>
      </c>
      <c r="C43" s="61" t="s">
        <v>178</v>
      </c>
      <c r="D43" s="65">
        <v>1</v>
      </c>
      <c r="E43" s="76">
        <v>2200</v>
      </c>
      <c r="F43" s="76">
        <f t="shared" si="3"/>
        <v>2200</v>
      </c>
      <c r="G43" s="76">
        <f t="shared" si="4"/>
        <v>2640</v>
      </c>
    </row>
    <row r="44" spans="1:8" x14ac:dyDescent="0.25">
      <c r="A44" s="56">
        <f t="shared" si="5"/>
        <v>39</v>
      </c>
      <c r="B44" s="57" t="s">
        <v>327</v>
      </c>
      <c r="C44" s="61" t="s">
        <v>178</v>
      </c>
      <c r="D44" s="65">
        <v>1</v>
      </c>
      <c r="E44" s="76">
        <v>6380</v>
      </c>
      <c r="F44" s="76">
        <f t="shared" si="3"/>
        <v>6380</v>
      </c>
      <c r="G44" s="76">
        <f t="shared" si="4"/>
        <v>7656</v>
      </c>
    </row>
    <row r="45" spans="1:8" x14ac:dyDescent="0.25">
      <c r="A45" s="56">
        <f t="shared" si="5"/>
        <v>40</v>
      </c>
      <c r="B45" s="57" t="s">
        <v>297</v>
      </c>
      <c r="C45" s="61" t="s">
        <v>181</v>
      </c>
      <c r="D45" s="65" t="s">
        <v>328</v>
      </c>
      <c r="E45" s="76">
        <v>3850</v>
      </c>
      <c r="F45" s="76">
        <f t="shared" si="3"/>
        <v>2348.5</v>
      </c>
      <c r="G45" s="76">
        <f t="shared" si="4"/>
        <v>2818.2</v>
      </c>
      <c r="H45" s="149"/>
    </row>
    <row r="46" spans="1:8" ht="21" customHeight="1" x14ac:dyDescent="0.25">
      <c r="A46" s="123"/>
      <c r="B46" s="220" t="s">
        <v>276</v>
      </c>
      <c r="C46" s="221"/>
      <c r="D46" s="221"/>
      <c r="E46" s="125"/>
      <c r="F46" s="126"/>
      <c r="G46" s="97"/>
    </row>
    <row r="47" spans="1:8" x14ac:dyDescent="0.25">
      <c r="A47" s="56">
        <f>A45+1</f>
        <v>41</v>
      </c>
      <c r="B47" s="57" t="s">
        <v>223</v>
      </c>
      <c r="C47" s="56" t="s">
        <v>181</v>
      </c>
      <c r="D47" s="59">
        <v>56</v>
      </c>
      <c r="E47" s="76">
        <v>1320</v>
      </c>
      <c r="F47" s="76">
        <f t="shared" ref="F47:F55" si="6">ROUND(E47*D47,2)</f>
        <v>73920</v>
      </c>
      <c r="G47" s="76">
        <f t="shared" ref="G47:G59" si="7">ROUND(F47*1.2,2)</f>
        <v>88704</v>
      </c>
    </row>
    <row r="48" spans="1:8" ht="30" x14ac:dyDescent="0.25">
      <c r="A48" s="56">
        <f>A47+1</f>
        <v>42</v>
      </c>
      <c r="B48" s="57" t="s">
        <v>329</v>
      </c>
      <c r="C48" s="56" t="s">
        <v>182</v>
      </c>
      <c r="D48" s="65" t="s">
        <v>330</v>
      </c>
      <c r="E48" s="76">
        <v>2750</v>
      </c>
      <c r="F48" s="76">
        <f t="shared" si="6"/>
        <v>225500</v>
      </c>
      <c r="G48" s="76">
        <f t="shared" si="7"/>
        <v>270600</v>
      </c>
    </row>
    <row r="49" spans="1:8" x14ac:dyDescent="0.25">
      <c r="A49" s="56">
        <f t="shared" ref="A49:A59" si="8">A48+1</f>
        <v>43</v>
      </c>
      <c r="B49" s="57" t="s">
        <v>285</v>
      </c>
      <c r="C49" s="56" t="s">
        <v>182</v>
      </c>
      <c r="D49" s="65" t="s">
        <v>331</v>
      </c>
      <c r="E49" s="76">
        <v>9680</v>
      </c>
      <c r="F49" s="76">
        <f t="shared" si="6"/>
        <v>396880</v>
      </c>
      <c r="G49" s="76">
        <f t="shared" si="7"/>
        <v>476256</v>
      </c>
    </row>
    <row r="50" spans="1:8" x14ac:dyDescent="0.25">
      <c r="A50" s="56">
        <f t="shared" si="8"/>
        <v>44</v>
      </c>
      <c r="B50" s="57" t="s">
        <v>332</v>
      </c>
      <c r="C50" s="56" t="s">
        <v>207</v>
      </c>
      <c r="D50" s="65" t="s">
        <v>333</v>
      </c>
      <c r="E50" s="76">
        <v>3740</v>
      </c>
      <c r="F50" s="76">
        <f t="shared" si="6"/>
        <v>44880</v>
      </c>
      <c r="G50" s="76">
        <f t="shared" si="7"/>
        <v>53856</v>
      </c>
    </row>
    <row r="51" spans="1:8" x14ac:dyDescent="0.25">
      <c r="A51" s="56">
        <f t="shared" si="8"/>
        <v>45</v>
      </c>
      <c r="B51" s="57" t="s">
        <v>334</v>
      </c>
      <c r="C51" s="56" t="s">
        <v>178</v>
      </c>
      <c r="D51" s="59">
        <v>1</v>
      </c>
      <c r="E51" s="76">
        <v>7480</v>
      </c>
      <c r="F51" s="76">
        <f t="shared" si="6"/>
        <v>7480</v>
      </c>
      <c r="G51" s="76">
        <f t="shared" si="7"/>
        <v>8976</v>
      </c>
    </row>
    <row r="52" spans="1:8" x14ac:dyDescent="0.25">
      <c r="A52" s="56">
        <f t="shared" si="8"/>
        <v>46</v>
      </c>
      <c r="B52" s="57" t="s">
        <v>320</v>
      </c>
      <c r="C52" s="56" t="s">
        <v>207</v>
      </c>
      <c r="D52" s="59">
        <v>2</v>
      </c>
      <c r="E52" s="76">
        <v>4840</v>
      </c>
      <c r="F52" s="76">
        <f t="shared" si="6"/>
        <v>9680</v>
      </c>
      <c r="G52" s="76">
        <f t="shared" si="7"/>
        <v>11616</v>
      </c>
    </row>
    <row r="53" spans="1:8" ht="30" x14ac:dyDescent="0.25">
      <c r="A53" s="56">
        <f t="shared" si="8"/>
        <v>47</v>
      </c>
      <c r="B53" s="57" t="s">
        <v>335</v>
      </c>
      <c r="C53" s="56" t="s">
        <v>207</v>
      </c>
      <c r="D53" s="59">
        <v>2</v>
      </c>
      <c r="E53" s="76">
        <v>88</v>
      </c>
      <c r="F53" s="76">
        <f t="shared" si="6"/>
        <v>176</v>
      </c>
      <c r="G53" s="76">
        <f t="shared" si="7"/>
        <v>211.2</v>
      </c>
    </row>
    <row r="54" spans="1:8" x14ac:dyDescent="0.25">
      <c r="A54" s="56">
        <f t="shared" si="8"/>
        <v>48</v>
      </c>
      <c r="B54" s="57" t="s">
        <v>322</v>
      </c>
      <c r="C54" s="56" t="s">
        <v>207</v>
      </c>
      <c r="D54" s="59">
        <v>2</v>
      </c>
      <c r="E54" s="76">
        <v>5720</v>
      </c>
      <c r="F54" s="76">
        <f t="shared" si="6"/>
        <v>11440</v>
      </c>
      <c r="G54" s="76">
        <f t="shared" si="7"/>
        <v>13728</v>
      </c>
    </row>
    <row r="55" spans="1:8" x14ac:dyDescent="0.25">
      <c r="A55" s="56">
        <f t="shared" si="8"/>
        <v>49</v>
      </c>
      <c r="B55" s="57" t="s">
        <v>336</v>
      </c>
      <c r="C55" s="61" t="s">
        <v>220</v>
      </c>
      <c r="D55" s="146">
        <f>24*0.243</f>
        <v>5.8319999999999999</v>
      </c>
      <c r="E55" s="76">
        <v>127</v>
      </c>
      <c r="F55" s="76">
        <f t="shared" si="6"/>
        <v>740.66</v>
      </c>
      <c r="G55" s="76">
        <f t="shared" si="7"/>
        <v>888.79</v>
      </c>
    </row>
    <row r="56" spans="1:8" x14ac:dyDescent="0.25">
      <c r="A56" s="56">
        <f t="shared" si="8"/>
        <v>50</v>
      </c>
      <c r="B56" s="57" t="s">
        <v>337</v>
      </c>
      <c r="C56" s="61" t="s">
        <v>220</v>
      </c>
      <c r="D56" s="146">
        <f>24*0.071</f>
        <v>1.7039999999999997</v>
      </c>
      <c r="E56" s="76">
        <v>147</v>
      </c>
      <c r="F56" s="76">
        <f t="shared" ref="F56:F59" si="9">ROUND(E56*D56,2)</f>
        <v>250.49</v>
      </c>
      <c r="G56" s="76">
        <f t="shared" si="7"/>
        <v>300.58999999999997</v>
      </c>
    </row>
    <row r="57" spans="1:8" x14ac:dyDescent="0.25">
      <c r="A57" s="56">
        <f t="shared" si="8"/>
        <v>51</v>
      </c>
      <c r="B57" s="57" t="s">
        <v>338</v>
      </c>
      <c r="C57" s="61" t="s">
        <v>220</v>
      </c>
      <c r="D57" s="146">
        <f>48*0.0172</f>
        <v>0.8256</v>
      </c>
      <c r="E57" s="76">
        <v>197</v>
      </c>
      <c r="F57" s="76">
        <f t="shared" si="9"/>
        <v>162.63999999999999</v>
      </c>
      <c r="G57" s="76">
        <f t="shared" si="7"/>
        <v>195.17</v>
      </c>
    </row>
    <row r="58" spans="1:8" ht="30" x14ac:dyDescent="0.25">
      <c r="A58" s="56">
        <f t="shared" si="8"/>
        <v>52</v>
      </c>
      <c r="B58" s="57" t="s">
        <v>339</v>
      </c>
      <c r="C58" s="56" t="s">
        <v>207</v>
      </c>
      <c r="D58" s="65">
        <v>2</v>
      </c>
      <c r="E58" s="76">
        <v>4730</v>
      </c>
      <c r="F58" s="76">
        <f t="shared" si="9"/>
        <v>9460</v>
      </c>
      <c r="G58" s="76">
        <f t="shared" si="7"/>
        <v>11352</v>
      </c>
    </row>
    <row r="59" spans="1:8" x14ac:dyDescent="0.25">
      <c r="A59" s="56">
        <f t="shared" si="8"/>
        <v>53</v>
      </c>
      <c r="B59" s="57" t="s">
        <v>297</v>
      </c>
      <c r="C59" s="56" t="s">
        <v>181</v>
      </c>
      <c r="D59" s="65" t="s">
        <v>318</v>
      </c>
      <c r="E59" s="76">
        <v>3850</v>
      </c>
      <c r="F59" s="76">
        <f t="shared" si="9"/>
        <v>23100</v>
      </c>
      <c r="G59" s="76">
        <f t="shared" si="7"/>
        <v>27720</v>
      </c>
      <c r="H59" s="149"/>
    </row>
    <row r="60" spans="1:8" ht="22.5" customHeight="1" x14ac:dyDescent="0.25">
      <c r="A60" s="123"/>
      <c r="B60" s="220" t="s">
        <v>277</v>
      </c>
      <c r="C60" s="221"/>
      <c r="D60" s="221"/>
      <c r="E60" s="125"/>
      <c r="F60" s="126"/>
      <c r="G60" s="97"/>
    </row>
    <row r="61" spans="1:8" x14ac:dyDescent="0.25">
      <c r="A61" s="56">
        <f>A59+1</f>
        <v>54</v>
      </c>
      <c r="B61" s="57" t="s">
        <v>223</v>
      </c>
      <c r="C61" s="56" t="s">
        <v>181</v>
      </c>
      <c r="D61" s="59">
        <v>19</v>
      </c>
      <c r="E61" s="76">
        <v>1320</v>
      </c>
      <c r="F61" s="76">
        <f t="shared" ref="F61:F66" si="10">ROUND(E61*D61,2)</f>
        <v>25080</v>
      </c>
      <c r="G61" s="76">
        <f t="shared" ref="G61:G66" si="11">ROUND(F61*1.2,2)</f>
        <v>30096</v>
      </c>
    </row>
    <row r="62" spans="1:8" ht="30" x14ac:dyDescent="0.25">
      <c r="A62" s="56">
        <f>A61+1</f>
        <v>55</v>
      </c>
      <c r="B62" s="57" t="s">
        <v>341</v>
      </c>
      <c r="C62" s="56" t="s">
        <v>182</v>
      </c>
      <c r="D62" s="65" t="s">
        <v>342</v>
      </c>
      <c r="E62" s="76">
        <v>1430</v>
      </c>
      <c r="F62" s="76">
        <f t="shared" si="10"/>
        <v>60060</v>
      </c>
      <c r="G62" s="76">
        <f t="shared" si="11"/>
        <v>72072</v>
      </c>
    </row>
    <row r="63" spans="1:8" x14ac:dyDescent="0.25">
      <c r="A63" s="56">
        <f t="shared" ref="A63:A66" si="12">A62+1</f>
        <v>56</v>
      </c>
      <c r="B63" s="57" t="s">
        <v>343</v>
      </c>
      <c r="C63" s="56" t="s">
        <v>182</v>
      </c>
      <c r="D63" s="65" t="s">
        <v>318</v>
      </c>
      <c r="E63" s="76">
        <v>8140</v>
      </c>
      <c r="F63" s="76">
        <f t="shared" si="10"/>
        <v>48840</v>
      </c>
      <c r="G63" s="76">
        <f t="shared" si="11"/>
        <v>58608</v>
      </c>
    </row>
    <row r="64" spans="1:8" x14ac:dyDescent="0.25">
      <c r="A64" s="56">
        <f t="shared" si="12"/>
        <v>57</v>
      </c>
      <c r="B64" s="57" t="s">
        <v>344</v>
      </c>
      <c r="C64" s="56" t="s">
        <v>207</v>
      </c>
      <c r="D64" s="65">
        <v>2</v>
      </c>
      <c r="E64" s="76">
        <v>2090</v>
      </c>
      <c r="F64" s="76">
        <f t="shared" si="10"/>
        <v>4180</v>
      </c>
      <c r="G64" s="76">
        <f t="shared" si="11"/>
        <v>5016</v>
      </c>
    </row>
    <row r="65" spans="1:8" ht="33.75" customHeight="1" x14ac:dyDescent="0.25">
      <c r="A65" s="56">
        <f t="shared" si="12"/>
        <v>58</v>
      </c>
      <c r="B65" s="57" t="s">
        <v>345</v>
      </c>
      <c r="C65" s="56" t="s">
        <v>207</v>
      </c>
      <c r="D65" s="65">
        <v>2</v>
      </c>
      <c r="E65" s="76">
        <v>2420</v>
      </c>
      <c r="F65" s="76">
        <f t="shared" si="10"/>
        <v>4840</v>
      </c>
      <c r="G65" s="76">
        <f t="shared" si="11"/>
        <v>5808</v>
      </c>
    </row>
    <row r="66" spans="1:8" x14ac:dyDescent="0.25">
      <c r="A66" s="56">
        <f t="shared" si="12"/>
        <v>59</v>
      </c>
      <c r="B66" s="57" t="s">
        <v>297</v>
      </c>
      <c r="C66" s="56" t="s">
        <v>181</v>
      </c>
      <c r="D66" s="65" t="s">
        <v>299</v>
      </c>
      <c r="E66" s="76">
        <v>3850</v>
      </c>
      <c r="F66" s="76">
        <f t="shared" si="10"/>
        <v>3850</v>
      </c>
      <c r="G66" s="76">
        <f t="shared" si="11"/>
        <v>4620</v>
      </c>
      <c r="H66" s="149"/>
    </row>
    <row r="67" spans="1:8" ht="23.25" customHeight="1" x14ac:dyDescent="0.25">
      <c r="A67" s="123"/>
      <c r="B67" s="220" t="s">
        <v>278</v>
      </c>
      <c r="C67" s="221"/>
      <c r="D67" s="221"/>
      <c r="E67" s="125"/>
      <c r="F67" s="126"/>
      <c r="G67" s="97"/>
    </row>
    <row r="68" spans="1:8" ht="18.75" customHeight="1" x14ac:dyDescent="0.25">
      <c r="A68" s="56">
        <f>A66+1</f>
        <v>60</v>
      </c>
      <c r="B68" s="57" t="s">
        <v>223</v>
      </c>
      <c r="C68" s="56" t="s">
        <v>181</v>
      </c>
      <c r="D68" s="59">
        <v>11</v>
      </c>
      <c r="E68" s="76">
        <v>1320</v>
      </c>
      <c r="F68" s="76">
        <f t="shared" ref="F68:F73" si="13">ROUND(E68*D68,2)</f>
        <v>14520</v>
      </c>
      <c r="G68" s="76">
        <f t="shared" ref="G68:G73" si="14">ROUND(F68*1.2,2)</f>
        <v>17424</v>
      </c>
    </row>
    <row r="69" spans="1:8" ht="15.75" customHeight="1" x14ac:dyDescent="0.25">
      <c r="A69" s="56">
        <f>A68+1</f>
        <v>61</v>
      </c>
      <c r="B69" s="57" t="s">
        <v>346</v>
      </c>
      <c r="C69" s="56" t="s">
        <v>182</v>
      </c>
      <c r="D69" s="65" t="s">
        <v>307</v>
      </c>
      <c r="E69" s="76">
        <v>1430</v>
      </c>
      <c r="F69" s="76">
        <f t="shared" si="13"/>
        <v>32890</v>
      </c>
      <c r="G69" s="76">
        <f t="shared" si="14"/>
        <v>39468</v>
      </c>
    </row>
    <row r="70" spans="1:8" ht="18" customHeight="1" x14ac:dyDescent="0.25">
      <c r="A70" s="56">
        <f t="shared" ref="A70:A73" si="15">A69+1</f>
        <v>62</v>
      </c>
      <c r="B70" s="57" t="s">
        <v>343</v>
      </c>
      <c r="C70" s="56" t="s">
        <v>182</v>
      </c>
      <c r="D70" s="65" t="s">
        <v>318</v>
      </c>
      <c r="E70" s="76">
        <v>8140</v>
      </c>
      <c r="F70" s="76">
        <f t="shared" si="13"/>
        <v>48840</v>
      </c>
      <c r="G70" s="76">
        <f t="shared" si="14"/>
        <v>58608</v>
      </c>
    </row>
    <row r="71" spans="1:8" ht="19.5" customHeight="1" x14ac:dyDescent="0.25">
      <c r="A71" s="56">
        <f t="shared" si="15"/>
        <v>63</v>
      </c>
      <c r="B71" s="57" t="s">
        <v>344</v>
      </c>
      <c r="C71" s="56" t="s">
        <v>207</v>
      </c>
      <c r="D71" s="65" t="s">
        <v>302</v>
      </c>
      <c r="E71" s="76">
        <v>2090</v>
      </c>
      <c r="F71" s="76">
        <f t="shared" si="13"/>
        <v>4180</v>
      </c>
      <c r="G71" s="76">
        <f t="shared" si="14"/>
        <v>5016</v>
      </c>
    </row>
    <row r="72" spans="1:8" ht="30" x14ac:dyDescent="0.25">
      <c r="A72" s="56">
        <f t="shared" si="15"/>
        <v>64</v>
      </c>
      <c r="B72" s="57" t="s">
        <v>347</v>
      </c>
      <c r="C72" s="56" t="s">
        <v>207</v>
      </c>
      <c r="D72" s="65">
        <v>4</v>
      </c>
      <c r="E72" s="76">
        <v>2420</v>
      </c>
      <c r="F72" s="76">
        <f t="shared" si="13"/>
        <v>9680</v>
      </c>
      <c r="G72" s="76">
        <f t="shared" si="14"/>
        <v>11616</v>
      </c>
    </row>
    <row r="73" spans="1:8" x14ac:dyDescent="0.25">
      <c r="A73" s="56">
        <f t="shared" si="15"/>
        <v>65</v>
      </c>
      <c r="B73" s="57" t="s">
        <v>297</v>
      </c>
      <c r="C73" s="56" t="s">
        <v>181</v>
      </c>
      <c r="D73" s="65" t="s">
        <v>299</v>
      </c>
      <c r="E73" s="76">
        <v>3850</v>
      </c>
      <c r="F73" s="76">
        <f t="shared" si="13"/>
        <v>3850</v>
      </c>
      <c r="G73" s="76">
        <f t="shared" si="14"/>
        <v>4620</v>
      </c>
      <c r="H73" s="149"/>
    </row>
    <row r="74" spans="1:8" ht="21.75" customHeight="1" x14ac:dyDescent="0.25">
      <c r="A74" s="123"/>
      <c r="B74" s="220" t="s">
        <v>279</v>
      </c>
      <c r="C74" s="221"/>
      <c r="D74" s="221"/>
      <c r="E74" s="125"/>
      <c r="F74" s="126"/>
      <c r="G74" s="97"/>
    </row>
    <row r="75" spans="1:8" x14ac:dyDescent="0.25">
      <c r="A75" s="56">
        <f>A73+1</f>
        <v>66</v>
      </c>
      <c r="B75" s="57" t="s">
        <v>223</v>
      </c>
      <c r="C75" s="56" t="s">
        <v>181</v>
      </c>
      <c r="D75" s="59">
        <v>42</v>
      </c>
      <c r="E75" s="76">
        <v>1320</v>
      </c>
      <c r="F75" s="76">
        <f t="shared" ref="F75:F80" si="16">ROUND(E75*D75,2)</f>
        <v>55440</v>
      </c>
      <c r="G75" s="76">
        <f t="shared" ref="G75:G80" si="17">ROUND(F75*1.2,2)</f>
        <v>66528</v>
      </c>
    </row>
    <row r="76" spans="1:8" x14ac:dyDescent="0.25">
      <c r="A76" s="56">
        <f>A75+1</f>
        <v>67</v>
      </c>
      <c r="B76" s="57" t="s">
        <v>348</v>
      </c>
      <c r="C76" s="56" t="s">
        <v>182</v>
      </c>
      <c r="D76" s="65" t="s">
        <v>349</v>
      </c>
      <c r="E76" s="76">
        <v>16500</v>
      </c>
      <c r="F76" s="76">
        <f t="shared" si="16"/>
        <v>511500</v>
      </c>
      <c r="G76" s="76">
        <f t="shared" si="17"/>
        <v>613800</v>
      </c>
    </row>
    <row r="77" spans="1:8" x14ac:dyDescent="0.25">
      <c r="A77" s="56">
        <f t="shared" ref="A77:A80" si="18">A76+1</f>
        <v>68</v>
      </c>
      <c r="B77" s="57" t="s">
        <v>350</v>
      </c>
      <c r="C77" s="56" t="s">
        <v>182</v>
      </c>
      <c r="D77" s="65" t="s">
        <v>318</v>
      </c>
      <c r="E77" s="76">
        <v>19800</v>
      </c>
      <c r="F77" s="76">
        <f t="shared" si="16"/>
        <v>118800</v>
      </c>
      <c r="G77" s="76">
        <f t="shared" si="17"/>
        <v>142560</v>
      </c>
    </row>
    <row r="78" spans="1:8" x14ac:dyDescent="0.25">
      <c r="A78" s="56">
        <f t="shared" si="18"/>
        <v>69</v>
      </c>
      <c r="B78" s="57" t="s">
        <v>351</v>
      </c>
      <c r="C78" s="56" t="s">
        <v>207</v>
      </c>
      <c r="D78" s="65">
        <v>2</v>
      </c>
      <c r="E78" s="76">
        <v>10340</v>
      </c>
      <c r="F78" s="76">
        <f t="shared" si="16"/>
        <v>20680</v>
      </c>
      <c r="G78" s="76">
        <f t="shared" si="17"/>
        <v>24816</v>
      </c>
    </row>
    <row r="79" spans="1:8" ht="30" x14ac:dyDescent="0.25">
      <c r="A79" s="56">
        <f t="shared" si="18"/>
        <v>70</v>
      </c>
      <c r="B79" s="57" t="s">
        <v>352</v>
      </c>
      <c r="C79" s="56" t="s">
        <v>207</v>
      </c>
      <c r="D79" s="65">
        <v>2</v>
      </c>
      <c r="E79" s="76">
        <v>70923</v>
      </c>
      <c r="F79" s="76">
        <f t="shared" si="16"/>
        <v>141846</v>
      </c>
      <c r="G79" s="76">
        <f t="shared" si="17"/>
        <v>170215.2</v>
      </c>
    </row>
    <row r="80" spans="1:8" x14ac:dyDescent="0.25">
      <c r="A80" s="56">
        <f t="shared" si="18"/>
        <v>71</v>
      </c>
      <c r="B80" s="57" t="s">
        <v>297</v>
      </c>
      <c r="C80" s="56" t="s">
        <v>181</v>
      </c>
      <c r="D80" s="65" t="s">
        <v>302</v>
      </c>
      <c r="E80" s="76">
        <v>3850</v>
      </c>
      <c r="F80" s="76">
        <f t="shared" si="16"/>
        <v>7700</v>
      </c>
      <c r="G80" s="76">
        <f t="shared" si="17"/>
        <v>9240</v>
      </c>
      <c r="H80" s="149"/>
    </row>
    <row r="81" spans="1:8" ht="21" customHeight="1" x14ac:dyDescent="0.25">
      <c r="A81" s="123"/>
      <c r="B81" s="220" t="s">
        <v>280</v>
      </c>
      <c r="C81" s="221"/>
      <c r="D81" s="221"/>
      <c r="E81" s="125"/>
      <c r="F81" s="126"/>
      <c r="G81" s="97"/>
    </row>
    <row r="82" spans="1:8" x14ac:dyDescent="0.25">
      <c r="A82" s="56">
        <f>A80+1</f>
        <v>72</v>
      </c>
      <c r="B82" s="57" t="s">
        <v>223</v>
      </c>
      <c r="C82" s="56" t="s">
        <v>181</v>
      </c>
      <c r="D82" s="59">
        <v>26</v>
      </c>
      <c r="E82" s="76">
        <v>1320</v>
      </c>
      <c r="F82" s="76">
        <f t="shared" ref="F82:F87" si="19">ROUND(E82*D82,2)</f>
        <v>34320</v>
      </c>
      <c r="G82" s="76">
        <f t="shared" ref="G82:G87" si="20">ROUND(F82*1.2,2)</f>
        <v>41184</v>
      </c>
    </row>
    <row r="83" spans="1:8" x14ac:dyDescent="0.25">
      <c r="A83" s="56">
        <f>A82+1</f>
        <v>73</v>
      </c>
      <c r="B83" s="57" t="s">
        <v>353</v>
      </c>
      <c r="C83" s="56" t="s">
        <v>182</v>
      </c>
      <c r="D83" s="65" t="s">
        <v>349</v>
      </c>
      <c r="E83" s="76">
        <v>7480</v>
      </c>
      <c r="F83" s="76">
        <f t="shared" si="19"/>
        <v>231880</v>
      </c>
      <c r="G83" s="76">
        <f t="shared" si="20"/>
        <v>278256</v>
      </c>
    </row>
    <row r="84" spans="1:8" ht="30" x14ac:dyDescent="0.25">
      <c r="A84" s="56">
        <f t="shared" ref="A84:A87" si="21">A83+1</f>
        <v>74</v>
      </c>
      <c r="B84" s="57" t="s">
        <v>354</v>
      </c>
      <c r="C84" s="56" t="s">
        <v>182</v>
      </c>
      <c r="D84" s="65" t="s">
        <v>318</v>
      </c>
      <c r="E84" s="76">
        <v>11110</v>
      </c>
      <c r="F84" s="76">
        <f t="shared" si="19"/>
        <v>66660</v>
      </c>
      <c r="G84" s="76">
        <f t="shared" si="20"/>
        <v>79992</v>
      </c>
    </row>
    <row r="85" spans="1:8" x14ac:dyDescent="0.25">
      <c r="A85" s="56">
        <f t="shared" si="21"/>
        <v>75</v>
      </c>
      <c r="B85" s="57" t="s">
        <v>355</v>
      </c>
      <c r="C85" s="56" t="s">
        <v>207</v>
      </c>
      <c r="D85" s="65">
        <v>2</v>
      </c>
      <c r="E85" s="76">
        <v>7260</v>
      </c>
      <c r="F85" s="76">
        <f t="shared" si="19"/>
        <v>14520</v>
      </c>
      <c r="G85" s="76">
        <f t="shared" si="20"/>
        <v>17424</v>
      </c>
    </row>
    <row r="86" spans="1:8" ht="30" x14ac:dyDescent="0.25">
      <c r="A86" s="56">
        <f t="shared" si="21"/>
        <v>76</v>
      </c>
      <c r="B86" s="57" t="s">
        <v>356</v>
      </c>
      <c r="C86" s="56" t="s">
        <v>207</v>
      </c>
      <c r="D86" s="65">
        <v>2</v>
      </c>
      <c r="E86" s="76">
        <v>14014</v>
      </c>
      <c r="F86" s="76">
        <f t="shared" si="19"/>
        <v>28028</v>
      </c>
      <c r="G86" s="76">
        <f t="shared" si="20"/>
        <v>33633.599999999999</v>
      </c>
    </row>
    <row r="87" spans="1:8" x14ac:dyDescent="0.25">
      <c r="A87" s="56">
        <f t="shared" si="21"/>
        <v>77</v>
      </c>
      <c r="B87" s="57" t="s">
        <v>297</v>
      </c>
      <c r="C87" s="56" t="s">
        <v>181</v>
      </c>
      <c r="D87" s="65" t="s">
        <v>299</v>
      </c>
      <c r="E87" s="76">
        <v>3850</v>
      </c>
      <c r="F87" s="76">
        <f t="shared" si="19"/>
        <v>3850</v>
      </c>
      <c r="G87" s="76">
        <f t="shared" si="20"/>
        <v>4620</v>
      </c>
      <c r="H87" s="149"/>
    </row>
    <row r="88" spans="1:8" ht="24.75" customHeight="1" x14ac:dyDescent="0.25">
      <c r="A88" s="123"/>
      <c r="B88" s="220" t="s">
        <v>281</v>
      </c>
      <c r="C88" s="221"/>
      <c r="D88" s="221"/>
      <c r="E88" s="125"/>
      <c r="F88" s="126"/>
      <c r="G88" s="97"/>
    </row>
    <row r="89" spans="1:8" x14ac:dyDescent="0.25">
      <c r="A89" s="56">
        <f>A87+1</f>
        <v>78</v>
      </c>
      <c r="B89" s="57" t="s">
        <v>223</v>
      </c>
      <c r="C89" s="56" t="s">
        <v>181</v>
      </c>
      <c r="D89" s="59">
        <v>15</v>
      </c>
      <c r="E89" s="76">
        <v>1320</v>
      </c>
      <c r="F89" s="76">
        <f t="shared" ref="F89" si="22">ROUND(E89*D89,2)</f>
        <v>19800</v>
      </c>
      <c r="G89" s="76">
        <f t="shared" ref="G89" si="23">ROUND(F89*1.2,2)</f>
        <v>23760</v>
      </c>
    </row>
    <row r="90" spans="1:8" x14ac:dyDescent="0.25">
      <c r="A90" s="56">
        <f>A89+1</f>
        <v>79</v>
      </c>
      <c r="B90" s="57" t="s">
        <v>353</v>
      </c>
      <c r="C90" s="56" t="s">
        <v>182</v>
      </c>
      <c r="D90" s="65" t="s">
        <v>357</v>
      </c>
      <c r="E90" s="76">
        <v>7480</v>
      </c>
      <c r="F90" s="76">
        <f t="shared" ref="F90:F93" si="24">ROUND(E90*D90,2)</f>
        <v>157080</v>
      </c>
      <c r="G90" s="76">
        <f t="shared" ref="G90:G93" si="25">ROUND(F90*1.2,2)</f>
        <v>188496</v>
      </c>
    </row>
    <row r="91" spans="1:8" ht="30" x14ac:dyDescent="0.25">
      <c r="A91" s="56">
        <f t="shared" ref="A91:A94" si="26">A90+1</f>
        <v>80</v>
      </c>
      <c r="B91" s="57" t="s">
        <v>354</v>
      </c>
      <c r="C91" s="56" t="s">
        <v>182</v>
      </c>
      <c r="D91" s="65" t="s">
        <v>318</v>
      </c>
      <c r="E91" s="76">
        <v>11110</v>
      </c>
      <c r="F91" s="76">
        <f t="shared" si="24"/>
        <v>66660</v>
      </c>
      <c r="G91" s="76">
        <f t="shared" si="25"/>
        <v>79992</v>
      </c>
    </row>
    <row r="92" spans="1:8" x14ac:dyDescent="0.25">
      <c r="A92" s="56">
        <f t="shared" si="26"/>
        <v>81</v>
      </c>
      <c r="B92" s="57" t="s">
        <v>355</v>
      </c>
      <c r="C92" s="56" t="s">
        <v>207</v>
      </c>
      <c r="D92" s="65">
        <v>2</v>
      </c>
      <c r="E92" s="76">
        <v>7260</v>
      </c>
      <c r="F92" s="76">
        <f t="shared" si="24"/>
        <v>14520</v>
      </c>
      <c r="G92" s="76">
        <f t="shared" si="25"/>
        <v>17424</v>
      </c>
    </row>
    <row r="93" spans="1:8" ht="32.25" customHeight="1" x14ac:dyDescent="0.25">
      <c r="A93" s="56">
        <f t="shared" si="26"/>
        <v>82</v>
      </c>
      <c r="B93" s="57" t="s">
        <v>356</v>
      </c>
      <c r="C93" s="56" t="s">
        <v>207</v>
      </c>
      <c r="D93" s="65">
        <v>2</v>
      </c>
      <c r="E93" s="76">
        <v>14014</v>
      </c>
      <c r="F93" s="76">
        <f t="shared" si="24"/>
        <v>28028</v>
      </c>
      <c r="G93" s="76">
        <f t="shared" si="25"/>
        <v>33633.599999999999</v>
      </c>
    </row>
    <row r="94" spans="1:8" ht="21" customHeight="1" x14ac:dyDescent="0.25">
      <c r="A94" s="56">
        <f t="shared" si="26"/>
        <v>83</v>
      </c>
      <c r="B94" s="57" t="s">
        <v>297</v>
      </c>
      <c r="C94" s="56" t="s">
        <v>181</v>
      </c>
      <c r="D94" s="65" t="s">
        <v>299</v>
      </c>
      <c r="E94" s="76">
        <v>3850</v>
      </c>
      <c r="F94" s="76">
        <f t="shared" ref="F94" si="27">ROUND(E94*D94,2)</f>
        <v>3850</v>
      </c>
      <c r="G94" s="76">
        <f t="shared" ref="G94" si="28">ROUND(F94*1.2,2)</f>
        <v>4620</v>
      </c>
      <c r="H94" s="149"/>
    </row>
    <row r="95" spans="1:8" ht="23.25" customHeight="1" x14ac:dyDescent="0.25">
      <c r="A95" s="123"/>
      <c r="B95" s="220" t="s">
        <v>282</v>
      </c>
      <c r="C95" s="221"/>
      <c r="D95" s="221"/>
      <c r="E95" s="125"/>
      <c r="F95" s="126"/>
      <c r="G95" s="97"/>
    </row>
    <row r="96" spans="1:8" x14ac:dyDescent="0.25">
      <c r="A96" s="56">
        <f>A94+1</f>
        <v>84</v>
      </c>
      <c r="B96" s="57" t="s">
        <v>223</v>
      </c>
      <c r="C96" s="56" t="s">
        <v>181</v>
      </c>
      <c r="D96" s="59">
        <v>46</v>
      </c>
      <c r="E96" s="76">
        <v>1320</v>
      </c>
      <c r="F96" s="76">
        <f t="shared" ref="F96" si="29">ROUND(E96*D96,2)</f>
        <v>60720</v>
      </c>
      <c r="G96" s="76">
        <f t="shared" ref="G96" si="30">ROUND(F96*1.2,2)</f>
        <v>72864</v>
      </c>
    </row>
    <row r="97" spans="1:8" x14ac:dyDescent="0.25">
      <c r="A97" s="56">
        <f>A96+1</f>
        <v>85</v>
      </c>
      <c r="B97" s="57" t="s">
        <v>353</v>
      </c>
      <c r="C97" s="56" t="s">
        <v>182</v>
      </c>
      <c r="D97" s="65" t="s">
        <v>358</v>
      </c>
      <c r="E97" s="76">
        <v>7480</v>
      </c>
      <c r="F97" s="76">
        <f t="shared" ref="F97:F100" si="31">ROUND(E97*D97,2)</f>
        <v>366520</v>
      </c>
      <c r="G97" s="76">
        <f t="shared" ref="G97:G100" si="32">ROUND(F97*1.2,2)</f>
        <v>439824</v>
      </c>
    </row>
    <row r="98" spans="1:8" ht="30" x14ac:dyDescent="0.25">
      <c r="A98" s="56">
        <f t="shared" ref="A98:A101" si="33">A97+1</f>
        <v>86</v>
      </c>
      <c r="B98" s="57" t="s">
        <v>354</v>
      </c>
      <c r="C98" s="56" t="s">
        <v>182</v>
      </c>
      <c r="D98" s="65" t="s">
        <v>318</v>
      </c>
      <c r="E98" s="76">
        <v>11110</v>
      </c>
      <c r="F98" s="76">
        <f t="shared" si="31"/>
        <v>66660</v>
      </c>
      <c r="G98" s="76">
        <f t="shared" si="32"/>
        <v>79992</v>
      </c>
    </row>
    <row r="99" spans="1:8" x14ac:dyDescent="0.25">
      <c r="A99" s="56">
        <f t="shared" si="33"/>
        <v>87</v>
      </c>
      <c r="B99" s="57" t="s">
        <v>355</v>
      </c>
      <c r="C99" s="56" t="s">
        <v>207</v>
      </c>
      <c r="D99" s="65">
        <v>2</v>
      </c>
      <c r="E99" s="76">
        <v>7260</v>
      </c>
      <c r="F99" s="76">
        <f t="shared" si="31"/>
        <v>14520</v>
      </c>
      <c r="G99" s="76">
        <f t="shared" si="32"/>
        <v>17424</v>
      </c>
    </row>
    <row r="100" spans="1:8" ht="30" x14ac:dyDescent="0.25">
      <c r="A100" s="56">
        <f t="shared" si="33"/>
        <v>88</v>
      </c>
      <c r="B100" s="57" t="s">
        <v>356</v>
      </c>
      <c r="C100" s="56" t="s">
        <v>207</v>
      </c>
      <c r="D100" s="65">
        <v>2</v>
      </c>
      <c r="E100" s="76">
        <v>14014</v>
      </c>
      <c r="F100" s="76">
        <f t="shared" si="31"/>
        <v>28028</v>
      </c>
      <c r="G100" s="76">
        <f t="shared" si="32"/>
        <v>33633.599999999999</v>
      </c>
    </row>
    <row r="101" spans="1:8" x14ac:dyDescent="0.25">
      <c r="A101" s="56">
        <f t="shared" si="33"/>
        <v>89</v>
      </c>
      <c r="B101" s="57" t="s">
        <v>297</v>
      </c>
      <c r="C101" s="56" t="s">
        <v>181</v>
      </c>
      <c r="D101" s="65" t="s">
        <v>299</v>
      </c>
      <c r="E101" s="76">
        <v>3850</v>
      </c>
      <c r="F101" s="76">
        <f t="shared" ref="F101" si="34">ROUND(E101*D101,2)</f>
        <v>3850</v>
      </c>
      <c r="G101" s="76">
        <f t="shared" ref="G101" si="35">ROUND(F101*1.2,2)</f>
        <v>4620</v>
      </c>
      <c r="H101" s="149"/>
    </row>
    <row r="102" spans="1:8" ht="19.5" customHeight="1" x14ac:dyDescent="0.25">
      <c r="A102" s="123"/>
      <c r="B102" s="220" t="s">
        <v>283</v>
      </c>
      <c r="C102" s="221"/>
      <c r="D102" s="221"/>
      <c r="E102" s="125"/>
      <c r="F102" s="126"/>
      <c r="G102" s="97"/>
    </row>
    <row r="103" spans="1:8" ht="30" x14ac:dyDescent="0.25">
      <c r="A103" s="56">
        <f>A101+1</f>
        <v>90</v>
      </c>
      <c r="B103" s="57" t="s">
        <v>359</v>
      </c>
      <c r="C103" s="56" t="s">
        <v>182</v>
      </c>
      <c r="D103" s="65" t="s">
        <v>360</v>
      </c>
      <c r="E103" s="76">
        <v>396</v>
      </c>
      <c r="F103" s="76">
        <f t="shared" ref="F103" si="36">ROUND(E103*D103,2)</f>
        <v>15840</v>
      </c>
      <c r="G103" s="76">
        <f t="shared" ref="G103" si="37">ROUND(F103*1.2,2)</f>
        <v>19008</v>
      </c>
    </row>
    <row r="104" spans="1:8" x14ac:dyDescent="0.25">
      <c r="A104" s="56">
        <f>A103+1</f>
        <v>91</v>
      </c>
      <c r="B104" s="57" t="s">
        <v>361</v>
      </c>
      <c r="C104" s="56" t="s">
        <v>207</v>
      </c>
      <c r="D104" s="65" t="s">
        <v>299</v>
      </c>
      <c r="E104" s="76">
        <v>8030</v>
      </c>
      <c r="F104" s="76">
        <f t="shared" ref="F104:F107" si="38">ROUND(E104*D104,2)</f>
        <v>8030</v>
      </c>
      <c r="G104" s="76">
        <f t="shared" ref="G104:G107" si="39">ROUND(F104*1.2,2)</f>
        <v>9636</v>
      </c>
    </row>
    <row r="105" spans="1:8" x14ac:dyDescent="0.25">
      <c r="A105" s="56">
        <f t="shared" ref="A105:A108" si="40">A104+1</f>
        <v>92</v>
      </c>
      <c r="B105" s="57" t="s">
        <v>161</v>
      </c>
      <c r="C105" s="56" t="s">
        <v>181</v>
      </c>
      <c r="D105" s="65" t="s">
        <v>362</v>
      </c>
      <c r="E105" s="76">
        <v>1320</v>
      </c>
      <c r="F105" s="76">
        <f t="shared" si="38"/>
        <v>22044</v>
      </c>
      <c r="G105" s="76">
        <f t="shared" si="39"/>
        <v>26452.799999999999</v>
      </c>
    </row>
    <row r="106" spans="1:8" ht="21.75" customHeight="1" x14ac:dyDescent="0.25">
      <c r="A106" s="56">
        <f t="shared" si="40"/>
        <v>93</v>
      </c>
      <c r="B106" s="57" t="s">
        <v>363</v>
      </c>
      <c r="C106" s="56" t="s">
        <v>182</v>
      </c>
      <c r="D106" s="65" t="s">
        <v>364</v>
      </c>
      <c r="E106" s="144">
        <v>1091</v>
      </c>
      <c r="F106" s="76">
        <f t="shared" si="38"/>
        <v>327300</v>
      </c>
      <c r="G106" s="76">
        <f t="shared" si="39"/>
        <v>392760</v>
      </c>
      <c r="H106" s="151"/>
    </row>
    <row r="107" spans="1:8" x14ac:dyDescent="0.25">
      <c r="A107" s="56">
        <f t="shared" si="40"/>
        <v>94</v>
      </c>
      <c r="B107" s="57" t="s">
        <v>365</v>
      </c>
      <c r="C107" s="56" t="s">
        <v>207</v>
      </c>
      <c r="D107" s="65">
        <v>4</v>
      </c>
      <c r="E107" s="76">
        <v>7480</v>
      </c>
      <c r="F107" s="76">
        <f t="shared" si="38"/>
        <v>29920</v>
      </c>
      <c r="G107" s="76">
        <f t="shared" si="39"/>
        <v>35904</v>
      </c>
    </row>
    <row r="108" spans="1:8" x14ac:dyDescent="0.25">
      <c r="A108" s="56">
        <f t="shared" si="40"/>
        <v>95</v>
      </c>
      <c r="B108" s="57" t="s">
        <v>366</v>
      </c>
      <c r="C108" s="56" t="s">
        <v>182</v>
      </c>
      <c r="D108" s="65" t="s">
        <v>360</v>
      </c>
      <c r="E108" s="76">
        <v>26</v>
      </c>
      <c r="F108" s="76">
        <f>ROUND(E108*D108,2)</f>
        <v>1040</v>
      </c>
      <c r="G108" s="76">
        <f>ROUND(F108*1.2,2)</f>
        <v>1248</v>
      </c>
    </row>
    <row r="109" spans="1:8" x14ac:dyDescent="0.25">
      <c r="A109" s="128"/>
      <c r="B109" s="254" t="s">
        <v>269</v>
      </c>
      <c r="C109" s="255"/>
      <c r="D109" s="255"/>
      <c r="E109" s="256"/>
      <c r="F109" s="127">
        <f>SUM(F5:F108)</f>
        <v>4109058.51</v>
      </c>
      <c r="G109" s="127">
        <f>SUM(G5:G108)</f>
        <v>4930870.22</v>
      </c>
    </row>
  </sheetData>
  <mergeCells count="16">
    <mergeCell ref="B4:D4"/>
    <mergeCell ref="B88:D88"/>
    <mergeCell ref="B95:D95"/>
    <mergeCell ref="B102:D102"/>
    <mergeCell ref="B109:E109"/>
    <mergeCell ref="B32:D32"/>
    <mergeCell ref="B46:D46"/>
    <mergeCell ref="B60:D60"/>
    <mergeCell ref="B67:D67"/>
    <mergeCell ref="B74:D74"/>
    <mergeCell ref="B81:D81"/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/>
  <dimension ref="A1:H59"/>
  <sheetViews>
    <sheetView view="pageBreakPreview" zoomScale="90" zoomScaleNormal="100" zoomScaleSheetLayoutView="90" workbookViewId="0">
      <pane ySplit="3" topLeftCell="A28" activePane="bottomLeft" state="frozen"/>
      <selection activeCell="G69" sqref="G69"/>
      <selection pane="bottomLeft" activeCell="G69" sqref="G69"/>
    </sheetView>
  </sheetViews>
  <sheetFormatPr defaultRowHeight="15" x14ac:dyDescent="0.25"/>
  <cols>
    <col min="1" max="1" width="4.42578125" customWidth="1"/>
    <col min="2" max="2" width="60.85546875" customWidth="1"/>
    <col min="3" max="3" width="8.5703125" bestFit="1" customWidth="1"/>
    <col min="4" max="4" width="8.140625" bestFit="1" customWidth="1"/>
    <col min="5" max="5" width="13.140625" customWidth="1"/>
    <col min="6" max="6" width="15" customWidth="1"/>
    <col min="7" max="7" width="15.140625" style="51" customWidth="1"/>
  </cols>
  <sheetData>
    <row r="1" spans="1:7" x14ac:dyDescent="0.25">
      <c r="A1" s="257" t="s">
        <v>213</v>
      </c>
      <c r="B1" s="252" t="s">
        <v>214</v>
      </c>
      <c r="C1" s="252" t="s">
        <v>215</v>
      </c>
      <c r="D1" s="252" t="s">
        <v>216</v>
      </c>
      <c r="E1" s="260" t="s">
        <v>258</v>
      </c>
      <c r="F1" s="261"/>
      <c r="G1" s="261"/>
    </row>
    <row r="2" spans="1:7" x14ac:dyDescent="0.25">
      <c r="A2" s="257"/>
      <c r="B2" s="252"/>
      <c r="C2" s="252"/>
      <c r="D2" s="252"/>
      <c r="E2" s="252" t="s">
        <v>244</v>
      </c>
      <c r="F2" s="252" t="s">
        <v>237</v>
      </c>
      <c r="G2" s="263" t="s">
        <v>224</v>
      </c>
    </row>
    <row r="3" spans="1:7" ht="31.15" customHeight="1" x14ac:dyDescent="0.25">
      <c r="A3" s="257"/>
      <c r="B3" s="252"/>
      <c r="C3" s="252"/>
      <c r="D3" s="252"/>
      <c r="E3" s="252"/>
      <c r="F3" s="252"/>
      <c r="G3" s="263"/>
    </row>
    <row r="4" spans="1:7" x14ac:dyDescent="0.25">
      <c r="A4" s="119">
        <v>1</v>
      </c>
      <c r="B4" s="120">
        <v>2</v>
      </c>
      <c r="C4" s="120">
        <v>3</v>
      </c>
      <c r="D4" s="120">
        <v>4</v>
      </c>
      <c r="E4" s="120">
        <v>5</v>
      </c>
      <c r="F4" s="120">
        <v>6</v>
      </c>
      <c r="G4" s="120">
        <v>7</v>
      </c>
    </row>
    <row r="5" spans="1:7" x14ac:dyDescent="0.25">
      <c r="A5" s="258" t="s">
        <v>193</v>
      </c>
      <c r="B5" s="258"/>
      <c r="C5" s="258"/>
      <c r="D5" s="258"/>
      <c r="E5" s="111"/>
      <c r="F5" s="111"/>
      <c r="G5" s="103"/>
    </row>
    <row r="6" spans="1:7" x14ac:dyDescent="0.25">
      <c r="A6" s="259" t="s">
        <v>194</v>
      </c>
      <c r="B6" s="259"/>
      <c r="C6" s="259"/>
      <c r="D6" s="259"/>
      <c r="E6" s="112"/>
      <c r="F6" s="112"/>
      <c r="G6" s="101"/>
    </row>
    <row r="7" spans="1:7" x14ac:dyDescent="0.25">
      <c r="A7" s="92">
        <v>1</v>
      </c>
      <c r="B7" s="102" t="s">
        <v>195</v>
      </c>
      <c r="C7" s="96" t="s">
        <v>181</v>
      </c>
      <c r="D7" s="118">
        <f>79.62</f>
        <v>79.62</v>
      </c>
      <c r="E7" s="114">
        <v>8650</v>
      </c>
      <c r="F7" s="76">
        <f>ROUND(E7*D7,2)</f>
        <v>688713</v>
      </c>
      <c r="G7" s="76">
        <f>ROUND(F7*1.2,2)</f>
        <v>826455.6</v>
      </c>
    </row>
    <row r="8" spans="1:7" x14ac:dyDescent="0.25">
      <c r="A8" s="92">
        <f>A7+1</f>
        <v>2</v>
      </c>
      <c r="B8" s="102" t="s">
        <v>196</v>
      </c>
      <c r="C8" s="96" t="s">
        <v>181</v>
      </c>
      <c r="D8" s="118">
        <v>308.73</v>
      </c>
      <c r="E8" s="114">
        <v>12450</v>
      </c>
      <c r="F8" s="76">
        <f>ROUND(E8*D8,2)</f>
        <v>3843688.5</v>
      </c>
      <c r="G8" s="76">
        <f>ROUND(F8*1.2,2)</f>
        <v>4612426.2</v>
      </c>
    </row>
    <row r="9" spans="1:7" ht="21.75" customHeight="1" x14ac:dyDescent="0.25">
      <c r="A9" s="92">
        <f t="shared" ref="A9:A10" si="0">A8+1</f>
        <v>3</v>
      </c>
      <c r="B9" s="102" t="s">
        <v>197</v>
      </c>
      <c r="C9" s="96" t="s">
        <v>181</v>
      </c>
      <c r="D9" s="118">
        <f>196.74</f>
        <v>196.74</v>
      </c>
      <c r="E9" s="114">
        <v>5165</v>
      </c>
      <c r="F9" s="76">
        <f>ROUND(E9*D9,2)</f>
        <v>1016162.1</v>
      </c>
      <c r="G9" s="76">
        <f>ROUND(F9*1.2,2)</f>
        <v>1219394.52</v>
      </c>
    </row>
    <row r="10" spans="1:7" ht="30" x14ac:dyDescent="0.25">
      <c r="A10" s="92">
        <f t="shared" si="0"/>
        <v>4</v>
      </c>
      <c r="B10" s="104" t="s">
        <v>198</v>
      </c>
      <c r="C10" s="96"/>
      <c r="D10" s="98"/>
      <c r="E10" s="113"/>
      <c r="F10" s="114"/>
      <c r="G10" s="99"/>
    </row>
    <row r="11" spans="1:7" x14ac:dyDescent="0.25">
      <c r="A11" s="105">
        <v>4.0999999999999996</v>
      </c>
      <c r="B11" s="102" t="s">
        <v>199</v>
      </c>
      <c r="C11" s="96" t="s">
        <v>181</v>
      </c>
      <c r="D11" s="98">
        <v>151</v>
      </c>
      <c r="E11" s="114">
        <v>1611</v>
      </c>
      <c r="F11" s="76">
        <f>ROUND(E11*D11,2)</f>
        <v>243261</v>
      </c>
      <c r="G11" s="76">
        <f>ROUND(F11*1.2,2)</f>
        <v>291913.2</v>
      </c>
    </row>
    <row r="12" spans="1:7" x14ac:dyDescent="0.25">
      <c r="A12" s="105">
        <v>4.2</v>
      </c>
      <c r="B12" s="102" t="s">
        <v>200</v>
      </c>
      <c r="C12" s="96" t="s">
        <v>181</v>
      </c>
      <c r="D12" s="98">
        <v>163</v>
      </c>
      <c r="E12" s="114">
        <v>1496</v>
      </c>
      <c r="F12" s="76">
        <f>ROUND(E12*D12,2)</f>
        <v>243848</v>
      </c>
      <c r="G12" s="76">
        <f>ROUND(F12*1.2,2)</f>
        <v>292617.59999999998</v>
      </c>
    </row>
    <row r="13" spans="1:7" x14ac:dyDescent="0.25">
      <c r="A13" s="105">
        <v>4.3</v>
      </c>
      <c r="B13" s="102" t="s">
        <v>201</v>
      </c>
      <c r="C13" s="96" t="s">
        <v>182</v>
      </c>
      <c r="D13" s="100">
        <v>226.24</v>
      </c>
      <c r="E13" s="114">
        <v>30</v>
      </c>
      <c r="F13" s="76">
        <f>ROUND(E13*D13,2)</f>
        <v>6787.2</v>
      </c>
      <c r="G13" s="76">
        <f>ROUND(F13*1.2,2)</f>
        <v>8144.64</v>
      </c>
    </row>
    <row r="14" spans="1:7" x14ac:dyDescent="0.25">
      <c r="A14" s="259" t="s">
        <v>202</v>
      </c>
      <c r="B14" s="259"/>
      <c r="C14" s="259"/>
      <c r="D14" s="259"/>
      <c r="E14" s="112"/>
      <c r="F14" s="112"/>
      <c r="G14" s="101"/>
    </row>
    <row r="15" spans="1:7" ht="68.25" customHeight="1" x14ac:dyDescent="0.25">
      <c r="A15" s="92">
        <f>A10+1</f>
        <v>5</v>
      </c>
      <c r="B15" s="102" t="s">
        <v>203</v>
      </c>
      <c r="C15" s="96" t="s">
        <v>182</v>
      </c>
      <c r="D15" s="100">
        <v>226.24</v>
      </c>
      <c r="E15" s="114">
        <v>1587</v>
      </c>
      <c r="F15" s="76">
        <f t="shared" ref="F15:F17" si="1">ROUND(E15*D15,2)</f>
        <v>359042.88</v>
      </c>
      <c r="G15" s="76">
        <f t="shared" ref="G15:G17" si="2">ROUND(F15*1.2,2)</f>
        <v>430851.46</v>
      </c>
    </row>
    <row r="16" spans="1:7" ht="21" customHeight="1" x14ac:dyDescent="0.25">
      <c r="A16" s="92">
        <f>A15+1</f>
        <v>6</v>
      </c>
      <c r="B16" s="102" t="s">
        <v>205</v>
      </c>
      <c r="C16" s="96" t="s">
        <v>182</v>
      </c>
      <c r="D16" s="100">
        <v>226.24</v>
      </c>
      <c r="E16" s="114">
        <v>4200</v>
      </c>
      <c r="F16" s="76">
        <f t="shared" si="1"/>
        <v>950208</v>
      </c>
      <c r="G16" s="76">
        <f t="shared" si="2"/>
        <v>1140249.6000000001</v>
      </c>
    </row>
    <row r="17" spans="1:7" ht="22.5" customHeight="1" x14ac:dyDescent="0.25">
      <c r="A17" s="92">
        <f>A16+1</f>
        <v>7</v>
      </c>
      <c r="B17" s="102" t="s">
        <v>206</v>
      </c>
      <c r="C17" s="96" t="s">
        <v>207</v>
      </c>
      <c r="D17" s="98">
        <v>1</v>
      </c>
      <c r="E17" s="113">
        <v>80000</v>
      </c>
      <c r="F17" s="76">
        <f t="shared" si="1"/>
        <v>80000</v>
      </c>
      <c r="G17" s="76">
        <f t="shared" si="2"/>
        <v>96000</v>
      </c>
    </row>
    <row r="18" spans="1:7" x14ac:dyDescent="0.25">
      <c r="A18" s="258" t="s">
        <v>208</v>
      </c>
      <c r="B18" s="258"/>
      <c r="C18" s="258"/>
      <c r="D18" s="258"/>
      <c r="E18" s="111"/>
      <c r="F18" s="111"/>
      <c r="G18" s="103"/>
    </row>
    <row r="19" spans="1:7" x14ac:dyDescent="0.25">
      <c r="A19" s="259" t="s">
        <v>194</v>
      </c>
      <c r="B19" s="259"/>
      <c r="C19" s="259"/>
      <c r="D19" s="259"/>
      <c r="E19" s="112"/>
      <c r="F19" s="112"/>
      <c r="G19" s="101"/>
    </row>
    <row r="20" spans="1:7" x14ac:dyDescent="0.25">
      <c r="A20" s="92">
        <f>A17+1</f>
        <v>8</v>
      </c>
      <c r="B20" s="102" t="s">
        <v>195</v>
      </c>
      <c r="C20" s="96" t="s">
        <v>181</v>
      </c>
      <c r="D20" s="118">
        <f>79.62</f>
        <v>79.62</v>
      </c>
      <c r="E20" s="114">
        <v>8650</v>
      </c>
      <c r="F20" s="76">
        <f>ROUND(E20*D20,2)</f>
        <v>688713</v>
      </c>
      <c r="G20" s="76">
        <f>ROUND(F20*1.2,2)</f>
        <v>826455.6</v>
      </c>
    </row>
    <row r="21" spans="1:7" x14ac:dyDescent="0.25">
      <c r="A21" s="92">
        <f>A20+1</f>
        <v>9</v>
      </c>
      <c r="B21" s="102" t="s">
        <v>196</v>
      </c>
      <c r="C21" s="96" t="s">
        <v>181</v>
      </c>
      <c r="D21" s="118">
        <v>308.73</v>
      </c>
      <c r="E21" s="114">
        <v>12450</v>
      </c>
      <c r="F21" s="76">
        <f>ROUND(E21*D21,2)</f>
        <v>3843688.5</v>
      </c>
      <c r="G21" s="76">
        <f>ROUND(F21*1.2,2)</f>
        <v>4612426.2</v>
      </c>
    </row>
    <row r="22" spans="1:7" ht="24" customHeight="1" x14ac:dyDescent="0.25">
      <c r="A22" s="92">
        <f t="shared" ref="A22:A23" si="3">A21+1</f>
        <v>10</v>
      </c>
      <c r="B22" s="102" t="s">
        <v>197</v>
      </c>
      <c r="C22" s="96" t="s">
        <v>181</v>
      </c>
      <c r="D22" s="118">
        <f>196.74</f>
        <v>196.74</v>
      </c>
      <c r="E22" s="114">
        <v>5165</v>
      </c>
      <c r="F22" s="76">
        <f>ROUND(E22*D22,2)</f>
        <v>1016162.1</v>
      </c>
      <c r="G22" s="76">
        <f>ROUND(F22*1.2,2)</f>
        <v>1219394.52</v>
      </c>
    </row>
    <row r="23" spans="1:7" ht="29.25" customHeight="1" x14ac:dyDescent="0.25">
      <c r="A23" s="92">
        <f t="shared" si="3"/>
        <v>11</v>
      </c>
      <c r="B23" s="104" t="s">
        <v>198</v>
      </c>
      <c r="C23" s="96"/>
      <c r="D23" s="98"/>
      <c r="E23" s="113"/>
      <c r="F23" s="114"/>
      <c r="G23" s="99"/>
    </row>
    <row r="24" spans="1:7" x14ac:dyDescent="0.25">
      <c r="A24" s="105">
        <v>11.1</v>
      </c>
      <c r="B24" s="102" t="s">
        <v>199</v>
      </c>
      <c r="C24" s="96" t="s">
        <v>181</v>
      </c>
      <c r="D24" s="98">
        <v>151</v>
      </c>
      <c r="E24" s="114">
        <v>1611</v>
      </c>
      <c r="F24" s="76">
        <f>ROUND(E24*D24,2)</f>
        <v>243261</v>
      </c>
      <c r="G24" s="76">
        <f>ROUND(F24*1.2,2)</f>
        <v>291913.2</v>
      </c>
    </row>
    <row r="25" spans="1:7" x14ac:dyDescent="0.25">
      <c r="A25" s="105">
        <v>11.2</v>
      </c>
      <c r="B25" s="102" t="s">
        <v>200</v>
      </c>
      <c r="C25" s="96" t="s">
        <v>181</v>
      </c>
      <c r="D25" s="98">
        <v>163</v>
      </c>
      <c r="E25" s="114">
        <v>1496</v>
      </c>
      <c r="F25" s="76">
        <f>ROUND(E25*D25,2)</f>
        <v>243848</v>
      </c>
      <c r="G25" s="76">
        <f>ROUND(F25*1.2,2)</f>
        <v>292617.59999999998</v>
      </c>
    </row>
    <row r="26" spans="1:7" x14ac:dyDescent="0.25">
      <c r="A26" s="105">
        <v>11.3</v>
      </c>
      <c r="B26" s="102" t="s">
        <v>201</v>
      </c>
      <c r="C26" s="96" t="s">
        <v>182</v>
      </c>
      <c r="D26" s="100">
        <v>226.24</v>
      </c>
      <c r="E26" s="114">
        <v>30</v>
      </c>
      <c r="F26" s="76">
        <f>ROUND(E26*D26,2)</f>
        <v>6787.2</v>
      </c>
      <c r="G26" s="76">
        <f>ROUND(F26*1.2,2)</f>
        <v>8144.64</v>
      </c>
    </row>
    <row r="27" spans="1:7" x14ac:dyDescent="0.25">
      <c r="A27" s="259" t="s">
        <v>209</v>
      </c>
      <c r="B27" s="259"/>
      <c r="C27" s="259"/>
      <c r="D27" s="259"/>
      <c r="E27" s="112"/>
      <c r="F27" s="112"/>
      <c r="G27" s="101"/>
    </row>
    <row r="28" spans="1:7" ht="66.75" customHeight="1" x14ac:dyDescent="0.25">
      <c r="A28" s="92">
        <f>A23+1</f>
        <v>12</v>
      </c>
      <c r="B28" s="102" t="s">
        <v>203</v>
      </c>
      <c r="C28" s="96" t="s">
        <v>182</v>
      </c>
      <c r="D28" s="100">
        <v>226.24</v>
      </c>
      <c r="E28" s="114">
        <v>1587</v>
      </c>
      <c r="F28" s="76">
        <f t="shared" ref="F28:F30" si="4">ROUND(E28*D28,2)</f>
        <v>359042.88</v>
      </c>
      <c r="G28" s="76">
        <f t="shared" ref="G28:G30" si="5">ROUND(F28*1.2,2)</f>
        <v>430851.46</v>
      </c>
    </row>
    <row r="29" spans="1:7" ht="24" customHeight="1" x14ac:dyDescent="0.25">
      <c r="A29" s="92">
        <f>A28+1</f>
        <v>13</v>
      </c>
      <c r="B29" s="102" t="s">
        <v>205</v>
      </c>
      <c r="C29" s="96" t="s">
        <v>182</v>
      </c>
      <c r="D29" s="100">
        <v>226.24</v>
      </c>
      <c r="E29" s="114">
        <v>4200</v>
      </c>
      <c r="F29" s="76">
        <f t="shared" si="4"/>
        <v>950208</v>
      </c>
      <c r="G29" s="76">
        <f t="shared" si="5"/>
        <v>1140249.6000000001</v>
      </c>
    </row>
    <row r="30" spans="1:7" ht="22.5" customHeight="1" x14ac:dyDescent="0.25">
      <c r="A30" s="92">
        <f>A29+1</f>
        <v>14</v>
      </c>
      <c r="B30" s="102" t="s">
        <v>206</v>
      </c>
      <c r="C30" s="96" t="s">
        <v>207</v>
      </c>
      <c r="D30" s="98">
        <v>1</v>
      </c>
      <c r="E30" s="113">
        <v>80000</v>
      </c>
      <c r="F30" s="76">
        <f t="shared" si="4"/>
        <v>80000</v>
      </c>
      <c r="G30" s="76">
        <f t="shared" si="5"/>
        <v>96000</v>
      </c>
    </row>
    <row r="31" spans="1:7" x14ac:dyDescent="0.25">
      <c r="A31" s="258" t="s">
        <v>210</v>
      </c>
      <c r="B31" s="258"/>
      <c r="C31" s="258"/>
      <c r="D31" s="258"/>
      <c r="E31" s="111"/>
      <c r="F31" s="111"/>
      <c r="G31" s="103"/>
    </row>
    <row r="32" spans="1:7" x14ac:dyDescent="0.25">
      <c r="A32" s="259" t="s">
        <v>194</v>
      </c>
      <c r="B32" s="259"/>
      <c r="C32" s="259"/>
      <c r="D32" s="259"/>
      <c r="E32" s="112"/>
      <c r="F32" s="112"/>
      <c r="G32" s="99"/>
    </row>
    <row r="33" spans="1:7" x14ac:dyDescent="0.25">
      <c r="A33" s="92">
        <f>A30+1</f>
        <v>15</v>
      </c>
      <c r="B33" s="102" t="s">
        <v>195</v>
      </c>
      <c r="C33" s="96" t="s">
        <v>181</v>
      </c>
      <c r="D33" s="118">
        <v>55.04</v>
      </c>
      <c r="E33" s="114">
        <v>8650</v>
      </c>
      <c r="F33" s="76">
        <f>ROUND(E33*D33,2)</f>
        <v>476096</v>
      </c>
      <c r="G33" s="76">
        <f>ROUND(F33*1.2,2)</f>
        <v>571315.19999999995</v>
      </c>
    </row>
    <row r="34" spans="1:7" x14ac:dyDescent="0.25">
      <c r="A34" s="92">
        <f>A33+1</f>
        <v>16</v>
      </c>
      <c r="B34" s="102" t="s">
        <v>196</v>
      </c>
      <c r="C34" s="96" t="s">
        <v>181</v>
      </c>
      <c r="D34" s="118">
        <v>213.41</v>
      </c>
      <c r="E34" s="114">
        <v>12450</v>
      </c>
      <c r="F34" s="76">
        <f>ROUND(E34*D34,2)</f>
        <v>2656954.5</v>
      </c>
      <c r="G34" s="76">
        <f>ROUND(F34*1.2,2)</f>
        <v>3188345.4</v>
      </c>
    </row>
    <row r="35" spans="1:7" ht="23.25" customHeight="1" x14ac:dyDescent="0.25">
      <c r="A35" s="92">
        <f>A34+1</f>
        <v>17</v>
      </c>
      <c r="B35" s="102" t="s">
        <v>197</v>
      </c>
      <c r="C35" s="96" t="s">
        <v>181</v>
      </c>
      <c r="D35" s="118">
        <f>136</f>
        <v>136</v>
      </c>
      <c r="E35" s="114">
        <v>5165</v>
      </c>
      <c r="F35" s="76">
        <f>ROUND(E35*D35,2)</f>
        <v>702440</v>
      </c>
      <c r="G35" s="76">
        <f>ROUND(F35*1.2,2)</f>
        <v>842928</v>
      </c>
    </row>
    <row r="36" spans="1:7" ht="30" x14ac:dyDescent="0.25">
      <c r="A36" s="92">
        <f>A35+1</f>
        <v>18</v>
      </c>
      <c r="B36" s="104" t="s">
        <v>198</v>
      </c>
      <c r="C36" s="96"/>
      <c r="D36" s="98"/>
      <c r="E36" s="113"/>
      <c r="F36" s="114"/>
      <c r="G36" s="99"/>
    </row>
    <row r="37" spans="1:7" x14ac:dyDescent="0.25">
      <c r="A37" s="105">
        <v>18.100000000000001</v>
      </c>
      <c r="B37" s="102" t="s">
        <v>199</v>
      </c>
      <c r="C37" s="96" t="s">
        <v>181</v>
      </c>
      <c r="D37" s="98">
        <v>105</v>
      </c>
      <c r="E37" s="114">
        <v>1611</v>
      </c>
      <c r="F37" s="76">
        <f>ROUND(E37*D37,2)</f>
        <v>169155</v>
      </c>
      <c r="G37" s="76">
        <f>ROUND(F37*1.2,2)</f>
        <v>202986</v>
      </c>
    </row>
    <row r="38" spans="1:7" x14ac:dyDescent="0.25">
      <c r="A38" s="105">
        <v>18.2</v>
      </c>
      <c r="B38" s="102" t="s">
        <v>200</v>
      </c>
      <c r="C38" s="96" t="s">
        <v>181</v>
      </c>
      <c r="D38" s="109">
        <v>112.6</v>
      </c>
      <c r="E38" s="114">
        <v>1496</v>
      </c>
      <c r="F38" s="76">
        <f>ROUND(E38*D38,2)</f>
        <v>168449.6</v>
      </c>
      <c r="G38" s="76">
        <f>ROUND(F38*1.2,2)</f>
        <v>202139.51999999999</v>
      </c>
    </row>
    <row r="39" spans="1:7" x14ac:dyDescent="0.25">
      <c r="A39" s="105">
        <v>18.3</v>
      </c>
      <c r="B39" s="102" t="s">
        <v>201</v>
      </c>
      <c r="C39" s="96" t="s">
        <v>182</v>
      </c>
      <c r="D39" s="100">
        <v>156.38999999999999</v>
      </c>
      <c r="E39" s="114">
        <v>30</v>
      </c>
      <c r="F39" s="76">
        <f>ROUND(E39*D39,2)</f>
        <v>4691.7</v>
      </c>
      <c r="G39" s="76">
        <f>ROUND(F39*1.2,2)</f>
        <v>5630.04</v>
      </c>
    </row>
    <row r="40" spans="1:7" x14ac:dyDescent="0.25">
      <c r="A40" s="259" t="s">
        <v>268</v>
      </c>
      <c r="B40" s="259"/>
      <c r="C40" s="259"/>
      <c r="D40" s="259"/>
      <c r="E40" s="112"/>
      <c r="F40" s="112"/>
      <c r="G40" s="101"/>
    </row>
    <row r="41" spans="1:7" ht="66.75" customHeight="1" x14ac:dyDescent="0.25">
      <c r="A41" s="92">
        <f>A36+1</f>
        <v>19</v>
      </c>
      <c r="B41" s="102" t="s">
        <v>203</v>
      </c>
      <c r="C41" s="96" t="s">
        <v>182</v>
      </c>
      <c r="D41" s="100">
        <v>156.38999999999999</v>
      </c>
      <c r="E41" s="114">
        <v>1587</v>
      </c>
      <c r="F41" s="76">
        <f t="shared" ref="F41:F43" si="6">ROUND(E41*D41,2)</f>
        <v>248190.93</v>
      </c>
      <c r="G41" s="76">
        <f t="shared" ref="G41:G43" si="7">ROUND(F41*1.2,2)</f>
        <v>297829.12</v>
      </c>
    </row>
    <row r="42" spans="1:7" ht="23.25" customHeight="1" x14ac:dyDescent="0.25">
      <c r="A42" s="92">
        <f>A41+1</f>
        <v>20</v>
      </c>
      <c r="B42" s="102" t="s">
        <v>205</v>
      </c>
      <c r="C42" s="96" t="s">
        <v>182</v>
      </c>
      <c r="D42" s="100">
        <v>156.38999999999999</v>
      </c>
      <c r="E42" s="114">
        <v>4200</v>
      </c>
      <c r="F42" s="76">
        <f t="shared" si="6"/>
        <v>656838</v>
      </c>
      <c r="G42" s="76">
        <f t="shared" si="7"/>
        <v>788205.6</v>
      </c>
    </row>
    <row r="43" spans="1:7" ht="22.5" customHeight="1" x14ac:dyDescent="0.25">
      <c r="A43" s="92">
        <f>A42+1</f>
        <v>21</v>
      </c>
      <c r="B43" s="102" t="s">
        <v>206</v>
      </c>
      <c r="C43" s="96" t="s">
        <v>207</v>
      </c>
      <c r="D43" s="98">
        <v>1</v>
      </c>
      <c r="E43" s="113">
        <v>80000</v>
      </c>
      <c r="F43" s="76">
        <f t="shared" si="6"/>
        <v>80000</v>
      </c>
      <c r="G43" s="76">
        <f t="shared" si="7"/>
        <v>96000</v>
      </c>
    </row>
    <row r="44" spans="1:7" x14ac:dyDescent="0.25">
      <c r="A44" s="258" t="s">
        <v>211</v>
      </c>
      <c r="B44" s="258"/>
      <c r="C44" s="258"/>
      <c r="D44" s="258"/>
      <c r="E44" s="111"/>
      <c r="F44" s="111"/>
      <c r="G44" s="103"/>
    </row>
    <row r="45" spans="1:7" x14ac:dyDescent="0.25">
      <c r="A45" s="259" t="s">
        <v>194</v>
      </c>
      <c r="B45" s="259"/>
      <c r="C45" s="259"/>
      <c r="D45" s="259"/>
      <c r="E45" s="112"/>
      <c r="F45" s="112"/>
      <c r="G45" s="101"/>
    </row>
    <row r="46" spans="1:7" x14ac:dyDescent="0.25">
      <c r="A46" s="92">
        <f>A43+1</f>
        <v>22</v>
      </c>
      <c r="B46" s="102" t="s">
        <v>195</v>
      </c>
      <c r="C46" s="96" t="s">
        <v>181</v>
      </c>
      <c r="D46" s="118">
        <v>34.22</v>
      </c>
      <c r="E46" s="114">
        <v>8650</v>
      </c>
      <c r="F46" s="76">
        <f>ROUND(E46*D46,2)</f>
        <v>296003</v>
      </c>
      <c r="G46" s="76">
        <f>ROUND(F46*1.2,2)</f>
        <v>355203.6</v>
      </c>
    </row>
    <row r="47" spans="1:7" x14ac:dyDescent="0.25">
      <c r="A47" s="92">
        <f>A46+1</f>
        <v>23</v>
      </c>
      <c r="B47" s="102" t="s">
        <v>196</v>
      </c>
      <c r="C47" s="96" t="s">
        <v>181</v>
      </c>
      <c r="D47" s="118">
        <v>132.63</v>
      </c>
      <c r="E47" s="114">
        <v>12450</v>
      </c>
      <c r="F47" s="76">
        <f>ROUND(E47*D47,2)</f>
        <v>1651243.5</v>
      </c>
      <c r="G47" s="76">
        <f>ROUND(F47*1.2,2)</f>
        <v>1981492.2</v>
      </c>
    </row>
    <row r="48" spans="1:7" ht="24" customHeight="1" x14ac:dyDescent="0.25">
      <c r="A48" s="92">
        <f t="shared" ref="A48:A49" si="8">A47+1</f>
        <v>24</v>
      </c>
      <c r="B48" s="102" t="s">
        <v>197</v>
      </c>
      <c r="C48" s="96" t="s">
        <v>181</v>
      </c>
      <c r="D48" s="118">
        <f>84.52</f>
        <v>84.52</v>
      </c>
      <c r="E48" s="114">
        <v>5165</v>
      </c>
      <c r="F48" s="76">
        <f>ROUND(E48*D48,2)</f>
        <v>436545.8</v>
      </c>
      <c r="G48" s="76">
        <f>ROUND(F48*1.2,2)</f>
        <v>523854.96</v>
      </c>
    </row>
    <row r="49" spans="1:8" ht="30" x14ac:dyDescent="0.25">
      <c r="A49" s="92">
        <f t="shared" si="8"/>
        <v>25</v>
      </c>
      <c r="B49" s="104" t="s">
        <v>198</v>
      </c>
      <c r="C49" s="96"/>
      <c r="D49" s="98"/>
      <c r="E49" s="113"/>
      <c r="F49" s="114"/>
      <c r="G49" s="99"/>
    </row>
    <row r="50" spans="1:8" x14ac:dyDescent="0.25">
      <c r="A50" s="105">
        <v>25.1</v>
      </c>
      <c r="B50" s="102" t="s">
        <v>199</v>
      </c>
      <c r="C50" s="96" t="s">
        <v>181</v>
      </c>
      <c r="D50" s="98">
        <v>65</v>
      </c>
      <c r="E50" s="114">
        <v>1611</v>
      </c>
      <c r="F50" s="76">
        <f>ROUND(E50*D50,2)</f>
        <v>104715</v>
      </c>
      <c r="G50" s="76">
        <f>ROUND(F50*1.2,2)</f>
        <v>125658</v>
      </c>
    </row>
    <row r="51" spans="1:8" x14ac:dyDescent="0.25">
      <c r="A51" s="105">
        <v>25.2</v>
      </c>
      <c r="B51" s="102" t="s">
        <v>200</v>
      </c>
      <c r="C51" s="96" t="s">
        <v>181</v>
      </c>
      <c r="D51" s="109">
        <v>70</v>
      </c>
      <c r="E51" s="114">
        <v>1496</v>
      </c>
      <c r="F51" s="76">
        <f>ROUND(E51*D51,2)</f>
        <v>104720</v>
      </c>
      <c r="G51" s="76">
        <f>ROUND(F51*1.2,2)</f>
        <v>125664</v>
      </c>
    </row>
    <row r="52" spans="1:8" x14ac:dyDescent="0.25">
      <c r="A52" s="105">
        <v>25.3</v>
      </c>
      <c r="B52" s="102" t="s">
        <v>201</v>
      </c>
      <c r="C52" s="96" t="s">
        <v>182</v>
      </c>
      <c r="D52" s="109">
        <v>97.2</v>
      </c>
      <c r="E52" s="114">
        <v>30</v>
      </c>
      <c r="F52" s="76">
        <f>ROUND(E52*D52,2)</f>
        <v>2916</v>
      </c>
      <c r="G52" s="76">
        <f>ROUND(F52*1.2,2)</f>
        <v>3499.2</v>
      </c>
    </row>
    <row r="53" spans="1:8" x14ac:dyDescent="0.25">
      <c r="A53" s="259" t="s">
        <v>212</v>
      </c>
      <c r="B53" s="259"/>
      <c r="C53" s="259"/>
      <c r="D53" s="259"/>
      <c r="E53" s="112"/>
      <c r="F53" s="112"/>
      <c r="G53" s="101"/>
    </row>
    <row r="54" spans="1:8" ht="62.25" customHeight="1" x14ac:dyDescent="0.25">
      <c r="A54" s="92">
        <f>A49+1</f>
        <v>26</v>
      </c>
      <c r="B54" s="102" t="s">
        <v>203</v>
      </c>
      <c r="C54" s="96" t="s">
        <v>182</v>
      </c>
      <c r="D54" s="100">
        <v>97.2</v>
      </c>
      <c r="E54" s="114">
        <v>1587</v>
      </c>
      <c r="F54" s="76">
        <f t="shared" ref="F54:F56" si="9">ROUND(E54*D54,2)</f>
        <v>154256.4</v>
      </c>
      <c r="G54" s="76">
        <f t="shared" ref="G54:G56" si="10">ROUND(F54*1.2,2)</f>
        <v>185107.68</v>
      </c>
    </row>
    <row r="55" spans="1:8" ht="24" customHeight="1" x14ac:dyDescent="0.25">
      <c r="A55" s="92">
        <f>A54+1</f>
        <v>27</v>
      </c>
      <c r="B55" s="102" t="s">
        <v>205</v>
      </c>
      <c r="C55" s="96" t="s">
        <v>182</v>
      </c>
      <c r="D55" s="100">
        <v>97.2</v>
      </c>
      <c r="E55" s="114">
        <v>4200</v>
      </c>
      <c r="F55" s="76">
        <f t="shared" si="9"/>
        <v>408240</v>
      </c>
      <c r="G55" s="76">
        <f t="shared" si="10"/>
        <v>489888</v>
      </c>
    </row>
    <row r="56" spans="1:8" ht="24" customHeight="1" x14ac:dyDescent="0.25">
      <c r="A56" s="92">
        <f>A55+1</f>
        <v>28</v>
      </c>
      <c r="B56" s="102" t="s">
        <v>206</v>
      </c>
      <c r="C56" s="96" t="s">
        <v>207</v>
      </c>
      <c r="D56" s="98">
        <v>1</v>
      </c>
      <c r="E56" s="113">
        <v>80000</v>
      </c>
      <c r="F56" s="76">
        <f t="shared" si="9"/>
        <v>80000</v>
      </c>
      <c r="G56" s="76">
        <f t="shared" si="10"/>
        <v>96000</v>
      </c>
    </row>
    <row r="57" spans="1:8" s="1" customFormat="1" x14ac:dyDescent="0.25">
      <c r="A57" s="115"/>
      <c r="B57" s="262" t="s">
        <v>243</v>
      </c>
      <c r="C57" s="262"/>
      <c r="D57" s="262"/>
      <c r="E57" s="262"/>
      <c r="F57" s="116">
        <f>SUM(F5:F56)</f>
        <v>23264876.789999999</v>
      </c>
      <c r="G57" s="117">
        <f>SUM(G5:G56)</f>
        <v>27917852.16</v>
      </c>
    </row>
    <row r="58" spans="1:8" x14ac:dyDescent="0.25">
      <c r="A58" s="222" t="s">
        <v>270</v>
      </c>
      <c r="B58" s="223"/>
      <c r="C58" s="223"/>
      <c r="D58" s="223"/>
      <c r="E58" s="224"/>
      <c r="F58" s="152">
        <f>ROUND(F57*0.03,2)</f>
        <v>697946.3</v>
      </c>
      <c r="G58" s="152">
        <f>ROUND(G57*0.03,2)</f>
        <v>837535.56</v>
      </c>
      <c r="H58" s="51"/>
    </row>
    <row r="59" spans="1:8" x14ac:dyDescent="0.25">
      <c r="A59" s="222" t="s">
        <v>271</v>
      </c>
      <c r="B59" s="223"/>
      <c r="C59" s="223"/>
      <c r="D59" s="223"/>
      <c r="E59" s="224"/>
      <c r="F59" s="152">
        <f>F57+F58</f>
        <v>23962823.09</v>
      </c>
      <c r="G59" s="152">
        <f>G57+G58</f>
        <v>28755387.719999999</v>
      </c>
      <c r="H59" s="51"/>
    </row>
  </sheetData>
  <mergeCells count="23">
    <mergeCell ref="A58:E58"/>
    <mergeCell ref="A59:E59"/>
    <mergeCell ref="B1:B3"/>
    <mergeCell ref="C1:C3"/>
    <mergeCell ref="D1:D3"/>
    <mergeCell ref="E2:E3"/>
    <mergeCell ref="E1:G1"/>
    <mergeCell ref="B57:E57"/>
    <mergeCell ref="G2:G3"/>
    <mergeCell ref="A40:D40"/>
    <mergeCell ref="A44:D44"/>
    <mergeCell ref="A45:D45"/>
    <mergeCell ref="A53:D53"/>
    <mergeCell ref="A18:D18"/>
    <mergeCell ref="A19:D19"/>
    <mergeCell ref="A27:D27"/>
    <mergeCell ref="F2:F3"/>
    <mergeCell ref="A1:A3"/>
    <mergeCell ref="A31:D31"/>
    <mergeCell ref="A32:D32"/>
    <mergeCell ref="A5:D5"/>
    <mergeCell ref="A6:D6"/>
    <mergeCell ref="A14:D14"/>
  </mergeCells>
  <pageMargins left="0.7" right="0.7" top="0.75" bottom="0.75" header="0.3" footer="0.3"/>
  <pageSetup paperSize="9" scale="6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/>
  <dimension ref="A1:G44"/>
  <sheetViews>
    <sheetView view="pageBreakPreview" zoomScale="80" zoomScaleNormal="100" zoomScaleSheetLayoutView="80" workbookViewId="0">
      <pane ySplit="3" topLeftCell="A4" activePane="bottomLeft" state="frozen"/>
      <selection activeCell="G69" sqref="G69"/>
      <selection pane="bottomLeft" activeCell="G69" sqref="G69"/>
    </sheetView>
  </sheetViews>
  <sheetFormatPr defaultRowHeight="15" x14ac:dyDescent="0.25"/>
  <cols>
    <col min="1" max="1" width="5.5703125" customWidth="1"/>
    <col min="2" max="2" width="61.7109375" customWidth="1"/>
    <col min="3" max="3" width="14" customWidth="1"/>
    <col min="4" max="4" width="13" customWidth="1"/>
    <col min="5" max="5" width="13.7109375" customWidth="1"/>
    <col min="6" max="6" width="14.85546875" customWidth="1"/>
    <col min="7" max="7" width="15.5703125" customWidth="1"/>
  </cols>
  <sheetData>
    <row r="1" spans="1:7" x14ac:dyDescent="0.25">
      <c r="A1" s="257" t="s">
        <v>213</v>
      </c>
      <c r="B1" s="252" t="s">
        <v>214</v>
      </c>
      <c r="C1" s="252" t="s">
        <v>215</v>
      </c>
      <c r="D1" s="252" t="s">
        <v>216</v>
      </c>
      <c r="E1" s="264" t="s">
        <v>258</v>
      </c>
      <c r="F1" s="265"/>
      <c r="G1" s="266"/>
    </row>
    <row r="2" spans="1:7" x14ac:dyDescent="0.25">
      <c r="A2" s="257"/>
      <c r="B2" s="252"/>
      <c r="C2" s="252"/>
      <c r="D2" s="252"/>
      <c r="E2" s="267"/>
      <c r="F2" s="268"/>
      <c r="G2" s="269"/>
    </row>
    <row r="3" spans="1:7" ht="28.5" x14ac:dyDescent="0.25">
      <c r="A3" s="257"/>
      <c r="B3" s="252"/>
      <c r="C3" s="252"/>
      <c r="D3" s="252"/>
      <c r="E3" s="72" t="s">
        <v>183</v>
      </c>
      <c r="F3" s="73" t="s">
        <v>184</v>
      </c>
      <c r="G3" s="73" t="s">
        <v>186</v>
      </c>
    </row>
    <row r="4" spans="1:7" x14ac:dyDescent="0.25">
      <c r="A4" s="119">
        <v>1</v>
      </c>
      <c r="B4" s="120">
        <v>2</v>
      </c>
      <c r="C4" s="120">
        <v>3</v>
      </c>
      <c r="D4" s="120">
        <v>4</v>
      </c>
      <c r="E4" s="120">
        <v>5</v>
      </c>
      <c r="F4" s="120">
        <v>6</v>
      </c>
      <c r="G4" s="120">
        <v>7</v>
      </c>
    </row>
    <row r="5" spans="1:7" x14ac:dyDescent="0.25">
      <c r="A5" s="258" t="s">
        <v>193</v>
      </c>
      <c r="B5" s="258"/>
      <c r="C5" s="258"/>
      <c r="D5" s="258"/>
      <c r="E5" s="106"/>
      <c r="F5" s="106"/>
      <c r="G5" s="106"/>
    </row>
    <row r="6" spans="1:7" x14ac:dyDescent="0.25">
      <c r="A6" s="92">
        <v>1</v>
      </c>
      <c r="B6" s="57" t="s">
        <v>265</v>
      </c>
      <c r="C6" s="96" t="s">
        <v>181</v>
      </c>
      <c r="D6" s="98">
        <v>151</v>
      </c>
      <c r="E6" s="76">
        <v>5500</v>
      </c>
      <c r="F6" s="76">
        <f>ROUND(E6*D6,2)</f>
        <v>830500</v>
      </c>
      <c r="G6" s="76">
        <f>ROUND(F6*1.2,2)</f>
        <v>996600</v>
      </c>
    </row>
    <row r="7" spans="1:7" x14ac:dyDescent="0.25">
      <c r="A7" s="92">
        <f>A6+1</f>
        <v>2</v>
      </c>
      <c r="B7" s="57" t="s">
        <v>266</v>
      </c>
      <c r="C7" s="96" t="s">
        <v>181</v>
      </c>
      <c r="D7" s="98">
        <v>163</v>
      </c>
      <c r="E7" s="76">
        <v>1375</v>
      </c>
      <c r="F7" s="76">
        <f>ROUND(E7*D7,2)</f>
        <v>224125</v>
      </c>
      <c r="G7" s="76">
        <f>ROUND(F7*1.2,2)</f>
        <v>268950</v>
      </c>
    </row>
    <row r="8" spans="1:7" x14ac:dyDescent="0.25">
      <c r="A8" s="92">
        <f>A7+1</f>
        <v>3</v>
      </c>
      <c r="B8" s="57" t="s">
        <v>190</v>
      </c>
      <c r="C8" s="96" t="s">
        <v>182</v>
      </c>
      <c r="D8" s="100">
        <v>226.24</v>
      </c>
      <c r="E8" s="76">
        <v>168</v>
      </c>
      <c r="F8" s="76">
        <f>ROUND(E8*D8,2)</f>
        <v>38008.32</v>
      </c>
      <c r="G8" s="76">
        <f>ROUND(F8*1.2,2)</f>
        <v>45609.98</v>
      </c>
    </row>
    <row r="9" spans="1:7" ht="30" x14ac:dyDescent="0.25">
      <c r="A9" s="92">
        <f>A8+1</f>
        <v>4</v>
      </c>
      <c r="B9" s="102" t="s">
        <v>179</v>
      </c>
      <c r="C9" s="96" t="s">
        <v>182</v>
      </c>
      <c r="D9" s="100">
        <v>226.24</v>
      </c>
      <c r="E9" s="76">
        <f>ROUND(38500/1.2,2)</f>
        <v>32083.33</v>
      </c>
      <c r="F9" s="76">
        <f>ROUND(E9*D9,2)</f>
        <v>7258532.5800000001</v>
      </c>
      <c r="G9" s="76">
        <f>ROUND(F9*1.2,2)</f>
        <v>8710239.0999999996</v>
      </c>
    </row>
    <row r="10" spans="1:7" x14ac:dyDescent="0.25">
      <c r="A10" s="92">
        <f>A9+1</f>
        <v>5</v>
      </c>
      <c r="B10" s="110" t="s">
        <v>261</v>
      </c>
      <c r="C10" s="96" t="s">
        <v>178</v>
      </c>
      <c r="D10" s="77">
        <v>219</v>
      </c>
      <c r="E10" s="76">
        <f>ROUND(200/1.2,2)</f>
        <v>166.67</v>
      </c>
      <c r="F10" s="76">
        <f t="shared" ref="F10:F11" si="0">ROUND(E10*D10,2)</f>
        <v>36500.730000000003</v>
      </c>
      <c r="G10" s="76">
        <f t="shared" ref="G10:G11" si="1">ROUND(F10*1.2,2)</f>
        <v>43800.88</v>
      </c>
    </row>
    <row r="11" spans="1:7" x14ac:dyDescent="0.25">
      <c r="A11" s="92">
        <f t="shared" ref="A11:A13" si="2">A10+1</f>
        <v>6</v>
      </c>
      <c r="B11" s="110" t="s">
        <v>262</v>
      </c>
      <c r="C11" s="96" t="s">
        <v>178</v>
      </c>
      <c r="D11" s="77">
        <v>73</v>
      </c>
      <c r="E11" s="76">
        <f>ROUND(5841/1.2,2)</f>
        <v>4867.5</v>
      </c>
      <c r="F11" s="76">
        <f t="shared" si="0"/>
        <v>355327.5</v>
      </c>
      <c r="G11" s="76">
        <f t="shared" si="1"/>
        <v>426393</v>
      </c>
    </row>
    <row r="12" spans="1:7" x14ac:dyDescent="0.25">
      <c r="A12" s="92">
        <f t="shared" si="2"/>
        <v>7</v>
      </c>
      <c r="B12" s="102" t="s">
        <v>267</v>
      </c>
      <c r="C12" s="96" t="s">
        <v>204</v>
      </c>
      <c r="D12" s="98">
        <v>1</v>
      </c>
      <c r="E12" s="76">
        <v>110000</v>
      </c>
      <c r="F12" s="76">
        <f>ROUND(E12*D12,2)</f>
        <v>110000</v>
      </c>
      <c r="G12" s="76">
        <f>ROUND(F12*1.2,2)</f>
        <v>132000</v>
      </c>
    </row>
    <row r="13" spans="1:7" x14ac:dyDescent="0.25">
      <c r="A13" s="92">
        <f t="shared" si="2"/>
        <v>8</v>
      </c>
      <c r="B13" s="102" t="s">
        <v>180</v>
      </c>
      <c r="C13" s="96" t="s">
        <v>207</v>
      </c>
      <c r="D13" s="98">
        <v>1</v>
      </c>
      <c r="E13" s="76">
        <f>ROUND(154000/1.2,2)</f>
        <v>128333.33</v>
      </c>
      <c r="F13" s="76">
        <f>ROUND(E13*D13,2)</f>
        <v>128333.33</v>
      </c>
      <c r="G13" s="76">
        <f>ROUND(F13*1.2,2)</f>
        <v>154000</v>
      </c>
    </row>
    <row r="14" spans="1:7" x14ac:dyDescent="0.25">
      <c r="A14" s="258" t="s">
        <v>208</v>
      </c>
      <c r="B14" s="258"/>
      <c r="C14" s="258"/>
      <c r="D14" s="258"/>
      <c r="E14" s="107"/>
      <c r="F14" s="108"/>
      <c r="G14" s="108"/>
    </row>
    <row r="15" spans="1:7" x14ac:dyDescent="0.25">
      <c r="A15" s="92">
        <f>A13+1</f>
        <v>9</v>
      </c>
      <c r="B15" s="57" t="s">
        <v>265</v>
      </c>
      <c r="C15" s="96" t="s">
        <v>181</v>
      </c>
      <c r="D15" s="98">
        <v>151</v>
      </c>
      <c r="E15" s="76">
        <v>5500</v>
      </c>
      <c r="F15" s="76">
        <f>ROUND(E15*D15,2)</f>
        <v>830500</v>
      </c>
      <c r="G15" s="76">
        <f>ROUND(F15*1.2,2)</f>
        <v>996600</v>
      </c>
    </row>
    <row r="16" spans="1:7" x14ac:dyDescent="0.25">
      <c r="A16" s="92">
        <f>A15+1</f>
        <v>10</v>
      </c>
      <c r="B16" s="57" t="s">
        <v>266</v>
      </c>
      <c r="C16" s="96" t="s">
        <v>181</v>
      </c>
      <c r="D16" s="98">
        <v>163</v>
      </c>
      <c r="E16" s="76">
        <v>1375</v>
      </c>
      <c r="F16" s="76">
        <f>ROUND(E16*D16,2)</f>
        <v>224125</v>
      </c>
      <c r="G16" s="76">
        <f>ROUND(F16*1.2,2)</f>
        <v>268950</v>
      </c>
    </row>
    <row r="17" spans="1:7" x14ac:dyDescent="0.25">
      <c r="A17" s="92">
        <f>A16+1</f>
        <v>11</v>
      </c>
      <c r="B17" s="57" t="s">
        <v>190</v>
      </c>
      <c r="C17" s="96" t="s">
        <v>182</v>
      </c>
      <c r="D17" s="100">
        <v>226.24</v>
      </c>
      <c r="E17" s="76">
        <v>168</v>
      </c>
      <c r="F17" s="76">
        <f>ROUND(E17*D17,2)</f>
        <v>38008.32</v>
      </c>
      <c r="G17" s="76">
        <f>ROUND(F17*1.2,2)</f>
        <v>45609.98</v>
      </c>
    </row>
    <row r="18" spans="1:7" ht="30" x14ac:dyDescent="0.25">
      <c r="A18" s="92">
        <f>A17+1</f>
        <v>12</v>
      </c>
      <c r="B18" s="102" t="s">
        <v>179</v>
      </c>
      <c r="C18" s="96" t="s">
        <v>182</v>
      </c>
      <c r="D18" s="100">
        <v>226.24</v>
      </c>
      <c r="E18" s="76">
        <f>ROUND(38500/1.2,2)</f>
        <v>32083.33</v>
      </c>
      <c r="F18" s="76">
        <f>ROUND(E18*D18,2)</f>
        <v>7258532.5800000001</v>
      </c>
      <c r="G18" s="76">
        <f>ROUND(F18*1.2,2)</f>
        <v>8710239.0999999996</v>
      </c>
    </row>
    <row r="19" spans="1:7" x14ac:dyDescent="0.25">
      <c r="A19" s="92">
        <f>A18+1</f>
        <v>13</v>
      </c>
      <c r="B19" s="110" t="s">
        <v>261</v>
      </c>
      <c r="C19" s="96" t="s">
        <v>178</v>
      </c>
      <c r="D19" s="77">
        <v>219</v>
      </c>
      <c r="E19" s="76">
        <f>ROUND(200/1.2,2)</f>
        <v>166.67</v>
      </c>
      <c r="F19" s="76">
        <f t="shared" ref="F19:F20" si="3">ROUND(E19*D19,2)</f>
        <v>36500.730000000003</v>
      </c>
      <c r="G19" s="76">
        <f t="shared" ref="G19:G20" si="4">ROUND(F19*1.2,2)</f>
        <v>43800.88</v>
      </c>
    </row>
    <row r="20" spans="1:7" x14ac:dyDescent="0.25">
      <c r="A20" s="92">
        <f t="shared" ref="A20:A22" si="5">A19+1</f>
        <v>14</v>
      </c>
      <c r="B20" s="110" t="s">
        <v>262</v>
      </c>
      <c r="C20" s="96" t="s">
        <v>178</v>
      </c>
      <c r="D20" s="77">
        <v>73</v>
      </c>
      <c r="E20" s="76">
        <f>ROUND(5841/1.2,2)</f>
        <v>4867.5</v>
      </c>
      <c r="F20" s="76">
        <f t="shared" si="3"/>
        <v>355327.5</v>
      </c>
      <c r="G20" s="76">
        <f t="shared" si="4"/>
        <v>426393</v>
      </c>
    </row>
    <row r="21" spans="1:7" x14ac:dyDescent="0.25">
      <c r="A21" s="92">
        <f t="shared" si="5"/>
        <v>15</v>
      </c>
      <c r="B21" s="102" t="s">
        <v>267</v>
      </c>
      <c r="C21" s="96" t="s">
        <v>204</v>
      </c>
      <c r="D21" s="98">
        <v>1</v>
      </c>
      <c r="E21" s="76">
        <v>330000</v>
      </c>
      <c r="F21" s="76">
        <f>ROUND(E21*D21,2)</f>
        <v>330000</v>
      </c>
      <c r="G21" s="76">
        <f>ROUND(F21*1.2,2)</f>
        <v>396000</v>
      </c>
    </row>
    <row r="22" spans="1:7" x14ac:dyDescent="0.25">
      <c r="A22" s="92">
        <f t="shared" si="5"/>
        <v>16</v>
      </c>
      <c r="B22" s="102" t="s">
        <v>180</v>
      </c>
      <c r="C22" s="96" t="s">
        <v>207</v>
      </c>
      <c r="D22" s="98">
        <v>1</v>
      </c>
      <c r="E22" s="76">
        <f>ROUND(154000/1.2,2)</f>
        <v>128333.33</v>
      </c>
      <c r="F22" s="76">
        <f>ROUND(E22*D22,2)</f>
        <v>128333.33</v>
      </c>
      <c r="G22" s="76">
        <f>ROUND(F22*1.2,2)</f>
        <v>154000</v>
      </c>
    </row>
    <row r="23" spans="1:7" x14ac:dyDescent="0.25">
      <c r="A23" s="258" t="s">
        <v>210</v>
      </c>
      <c r="B23" s="258"/>
      <c r="C23" s="258"/>
      <c r="D23" s="258"/>
      <c r="E23" s="107"/>
      <c r="F23" s="108"/>
      <c r="G23" s="108"/>
    </row>
    <row r="24" spans="1:7" x14ac:dyDescent="0.25">
      <c r="A24" s="92">
        <f>A22+1</f>
        <v>17</v>
      </c>
      <c r="B24" s="57" t="s">
        <v>265</v>
      </c>
      <c r="C24" s="96" t="s">
        <v>181</v>
      </c>
      <c r="D24" s="98">
        <v>105</v>
      </c>
      <c r="E24" s="76">
        <v>5500</v>
      </c>
      <c r="F24" s="76">
        <f>ROUND(E24*D24,2)</f>
        <v>577500</v>
      </c>
      <c r="G24" s="76">
        <f>ROUND(F24*1.2,2)</f>
        <v>693000</v>
      </c>
    </row>
    <row r="25" spans="1:7" x14ac:dyDescent="0.25">
      <c r="A25" s="92">
        <f>A24+1</f>
        <v>18</v>
      </c>
      <c r="B25" s="57" t="s">
        <v>266</v>
      </c>
      <c r="C25" s="96" t="s">
        <v>181</v>
      </c>
      <c r="D25" s="109">
        <v>112.6</v>
      </c>
      <c r="E25" s="76">
        <v>1375</v>
      </c>
      <c r="F25" s="76">
        <f>ROUND(E25*D25,2)</f>
        <v>154825</v>
      </c>
      <c r="G25" s="76">
        <f>ROUND(F25*1.2,2)</f>
        <v>185790</v>
      </c>
    </row>
    <row r="26" spans="1:7" x14ac:dyDescent="0.25">
      <c r="A26" s="92">
        <f>A25+1</f>
        <v>19</v>
      </c>
      <c r="B26" s="57" t="s">
        <v>190</v>
      </c>
      <c r="C26" s="96" t="s">
        <v>182</v>
      </c>
      <c r="D26" s="100">
        <v>156.38999999999999</v>
      </c>
      <c r="E26" s="76">
        <v>168</v>
      </c>
      <c r="F26" s="76">
        <f>ROUND(E26*D26,2)</f>
        <v>26273.52</v>
      </c>
      <c r="G26" s="76">
        <f>ROUND(F26*1.2,2)</f>
        <v>31528.22</v>
      </c>
    </row>
    <row r="27" spans="1:7" ht="30" x14ac:dyDescent="0.25">
      <c r="A27" s="92">
        <f>A26+1</f>
        <v>20</v>
      </c>
      <c r="B27" s="102" t="s">
        <v>179</v>
      </c>
      <c r="C27" s="96" t="s">
        <v>182</v>
      </c>
      <c r="D27" s="100">
        <v>156.38999999999999</v>
      </c>
      <c r="E27" s="76">
        <f>ROUND(38500/1.2,2)</f>
        <v>32083.33</v>
      </c>
      <c r="F27" s="76">
        <f>ROUND(E27*D27,2)</f>
        <v>5017511.9800000004</v>
      </c>
      <c r="G27" s="76">
        <f>ROUND(F27*1.2,2)</f>
        <v>6021014.3799999999</v>
      </c>
    </row>
    <row r="28" spans="1:7" x14ac:dyDescent="0.25">
      <c r="A28" s="92">
        <f>A27+1</f>
        <v>21</v>
      </c>
      <c r="B28" s="110" t="s">
        <v>261</v>
      </c>
      <c r="C28" s="96" t="s">
        <v>178</v>
      </c>
      <c r="D28" s="77">
        <v>151</v>
      </c>
      <c r="E28" s="76">
        <f>ROUND(200/1.2,2)</f>
        <v>166.67</v>
      </c>
      <c r="F28" s="76">
        <f t="shared" ref="F28:F29" si="6">ROUND(E28*D28,2)</f>
        <v>25167.17</v>
      </c>
      <c r="G28" s="76">
        <f t="shared" ref="G28:G29" si="7">ROUND(F28*1.2,2)</f>
        <v>30200.6</v>
      </c>
    </row>
    <row r="29" spans="1:7" x14ac:dyDescent="0.25">
      <c r="A29" s="92">
        <f t="shared" ref="A29:A31" si="8">A28+1</f>
        <v>22</v>
      </c>
      <c r="B29" s="110" t="s">
        <v>262</v>
      </c>
      <c r="C29" s="96" t="s">
        <v>178</v>
      </c>
      <c r="D29" s="77">
        <v>50</v>
      </c>
      <c r="E29" s="76">
        <f>ROUND(5841/1.2,2)</f>
        <v>4867.5</v>
      </c>
      <c r="F29" s="76">
        <f t="shared" si="6"/>
        <v>243375</v>
      </c>
      <c r="G29" s="76">
        <f t="shared" si="7"/>
        <v>292050</v>
      </c>
    </row>
    <row r="30" spans="1:7" x14ac:dyDescent="0.25">
      <c r="A30" s="92">
        <f t="shared" si="8"/>
        <v>23</v>
      </c>
      <c r="B30" s="102" t="s">
        <v>267</v>
      </c>
      <c r="C30" s="96" t="s">
        <v>204</v>
      </c>
      <c r="D30" s="98">
        <v>1</v>
      </c>
      <c r="E30" s="76">
        <v>110000</v>
      </c>
      <c r="F30" s="76">
        <f>ROUND(E30*D30,2)</f>
        <v>110000</v>
      </c>
      <c r="G30" s="76">
        <f>ROUND(F30*1.2,2)</f>
        <v>132000</v>
      </c>
    </row>
    <row r="31" spans="1:7" x14ac:dyDescent="0.25">
      <c r="A31" s="92">
        <f t="shared" si="8"/>
        <v>24</v>
      </c>
      <c r="B31" s="102" t="s">
        <v>180</v>
      </c>
      <c r="C31" s="96" t="s">
        <v>207</v>
      </c>
      <c r="D31" s="98">
        <v>1</v>
      </c>
      <c r="E31" s="76">
        <f>ROUND(154000/1.2,2)</f>
        <v>128333.33</v>
      </c>
      <c r="F31" s="76">
        <f>ROUND(E31*D31,2)</f>
        <v>128333.33</v>
      </c>
      <c r="G31" s="76">
        <f>ROUND(F31*1.2,2)</f>
        <v>154000</v>
      </c>
    </row>
    <row r="32" spans="1:7" x14ac:dyDescent="0.25">
      <c r="A32" s="258" t="s">
        <v>211</v>
      </c>
      <c r="B32" s="258"/>
      <c r="C32" s="258"/>
      <c r="D32" s="258"/>
      <c r="E32" s="107"/>
      <c r="F32" s="108"/>
      <c r="G32" s="108"/>
    </row>
    <row r="33" spans="1:7" x14ac:dyDescent="0.25">
      <c r="A33" s="92">
        <f>A31+1</f>
        <v>25</v>
      </c>
      <c r="B33" s="57" t="s">
        <v>265</v>
      </c>
      <c r="C33" s="96" t="s">
        <v>181</v>
      </c>
      <c r="D33" s="98">
        <v>65</v>
      </c>
      <c r="E33" s="76">
        <v>5500</v>
      </c>
      <c r="F33" s="76">
        <f>ROUND(E33*D33,2)</f>
        <v>357500</v>
      </c>
      <c r="G33" s="76">
        <f>ROUND(F33*1.2,2)</f>
        <v>429000</v>
      </c>
    </row>
    <row r="34" spans="1:7" x14ac:dyDescent="0.25">
      <c r="A34" s="92">
        <f>A33+1</f>
        <v>26</v>
      </c>
      <c r="B34" s="57" t="s">
        <v>266</v>
      </c>
      <c r="C34" s="96" t="s">
        <v>181</v>
      </c>
      <c r="D34" s="109">
        <v>70</v>
      </c>
      <c r="E34" s="76">
        <v>1375</v>
      </c>
      <c r="F34" s="76">
        <f>ROUND(E34*D34,2)</f>
        <v>96250</v>
      </c>
      <c r="G34" s="76">
        <f>ROUND(F34*1.2,2)</f>
        <v>115500</v>
      </c>
    </row>
    <row r="35" spans="1:7" x14ac:dyDescent="0.25">
      <c r="A35" s="92">
        <f>A34+1</f>
        <v>27</v>
      </c>
      <c r="B35" s="57" t="s">
        <v>190</v>
      </c>
      <c r="C35" s="96" t="s">
        <v>182</v>
      </c>
      <c r="D35" s="109">
        <v>97.2</v>
      </c>
      <c r="E35" s="76">
        <v>168</v>
      </c>
      <c r="F35" s="76">
        <f>ROUND(E35*D35,2)</f>
        <v>16329.6</v>
      </c>
      <c r="G35" s="76">
        <f>ROUND(F35*1.2,2)</f>
        <v>19595.52</v>
      </c>
    </row>
    <row r="36" spans="1:7" ht="30" x14ac:dyDescent="0.25">
      <c r="A36" s="92">
        <f>A35+1</f>
        <v>28</v>
      </c>
      <c r="B36" s="102" t="s">
        <v>179</v>
      </c>
      <c r="C36" s="96" t="s">
        <v>182</v>
      </c>
      <c r="D36" s="100">
        <v>97.2</v>
      </c>
      <c r="E36" s="76">
        <f>ROUND(38500/1.2,2)</f>
        <v>32083.33</v>
      </c>
      <c r="F36" s="76">
        <f>ROUND(E36*D36,2)</f>
        <v>3118499.68</v>
      </c>
      <c r="G36" s="76">
        <f>ROUND(F36*1.2,2)</f>
        <v>3742199.62</v>
      </c>
    </row>
    <row r="37" spans="1:7" x14ac:dyDescent="0.25">
      <c r="A37" s="92">
        <f>A36+1</f>
        <v>29</v>
      </c>
      <c r="B37" s="110" t="s">
        <v>261</v>
      </c>
      <c r="C37" s="96" t="s">
        <v>178</v>
      </c>
      <c r="D37" s="98">
        <v>95</v>
      </c>
      <c r="E37" s="76">
        <f>ROUND(200/1.2,2)</f>
        <v>166.67</v>
      </c>
      <c r="F37" s="76">
        <f t="shared" ref="F37:F38" si="9">ROUND(E37*D37,2)</f>
        <v>15833.65</v>
      </c>
      <c r="G37" s="76">
        <f t="shared" ref="G37:G38" si="10">ROUND(F37*1.2,2)</f>
        <v>19000.38</v>
      </c>
    </row>
    <row r="38" spans="1:7" x14ac:dyDescent="0.25">
      <c r="A38" s="92">
        <f t="shared" ref="A38:A40" si="11">A37+1</f>
        <v>30</v>
      </c>
      <c r="B38" s="110" t="s">
        <v>262</v>
      </c>
      <c r="C38" s="96" t="s">
        <v>178</v>
      </c>
      <c r="D38" s="98">
        <v>32</v>
      </c>
      <c r="E38" s="76">
        <f>ROUND(5841/1.2,2)</f>
        <v>4867.5</v>
      </c>
      <c r="F38" s="76">
        <f t="shared" si="9"/>
        <v>155760</v>
      </c>
      <c r="G38" s="76">
        <f t="shared" si="10"/>
        <v>186912</v>
      </c>
    </row>
    <row r="39" spans="1:7" x14ac:dyDescent="0.25">
      <c r="A39" s="92">
        <f t="shared" si="11"/>
        <v>31</v>
      </c>
      <c r="B39" s="102" t="s">
        <v>267</v>
      </c>
      <c r="C39" s="96" t="s">
        <v>204</v>
      </c>
      <c r="D39" s="98">
        <v>1</v>
      </c>
      <c r="E39" s="76">
        <v>110000</v>
      </c>
      <c r="F39" s="76">
        <f>ROUND(E39*D39,2)</f>
        <v>110000</v>
      </c>
      <c r="G39" s="76">
        <f>ROUND(F39*1.2,2)</f>
        <v>132000</v>
      </c>
    </row>
    <row r="40" spans="1:7" x14ac:dyDescent="0.25">
      <c r="A40" s="92">
        <f t="shared" si="11"/>
        <v>32</v>
      </c>
      <c r="B40" s="102" t="s">
        <v>180</v>
      </c>
      <c r="C40" s="96" t="s">
        <v>207</v>
      </c>
      <c r="D40" s="98">
        <v>1</v>
      </c>
      <c r="E40" s="76">
        <f>ROUND(154000/1.2,2)</f>
        <v>128333.33</v>
      </c>
      <c r="F40" s="76">
        <f>ROUND(E40*D40,2)</f>
        <v>128333.33</v>
      </c>
      <c r="G40" s="76">
        <f>ROUND(F40*1.2,2)</f>
        <v>154000</v>
      </c>
    </row>
    <row r="41" spans="1:7" s="1" customFormat="1" ht="18.75" customHeight="1" x14ac:dyDescent="0.25">
      <c r="A41" s="78"/>
      <c r="B41" s="270" t="s">
        <v>269</v>
      </c>
      <c r="C41" s="271"/>
      <c r="D41" s="271"/>
      <c r="E41" s="272"/>
      <c r="F41" s="84">
        <f>SUM(F6:F40)</f>
        <v>28464147.179999996</v>
      </c>
      <c r="G41" s="84">
        <f>ROUND(F41*1.2,2)</f>
        <v>34156976.619999997</v>
      </c>
    </row>
    <row r="44" spans="1:7" x14ac:dyDescent="0.25">
      <c r="G44" s="25"/>
    </row>
  </sheetData>
  <mergeCells count="10">
    <mergeCell ref="E1:G2"/>
    <mergeCell ref="B41:E41"/>
    <mergeCell ref="A32:D32"/>
    <mergeCell ref="A14:D14"/>
    <mergeCell ref="A23:D23"/>
    <mergeCell ref="A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Лист1</vt:lpstr>
      <vt:lpstr>Лист2</vt:lpstr>
      <vt:lpstr>ТС3</vt:lpstr>
      <vt:lpstr>СМР 217 путь</vt:lpstr>
      <vt:lpstr>мат 217 путь</vt:lpstr>
      <vt:lpstr>СМР комм-ции 217 </vt:lpstr>
      <vt:lpstr>мат комм-ции 217</vt:lpstr>
      <vt:lpstr>СМР жд 8 цех</vt:lpstr>
      <vt:lpstr>мат 8 цех</vt:lpstr>
      <vt:lpstr>'мат комм-ции 217'!Область_печати</vt:lpstr>
      <vt:lpstr>'СМР комм-ции 217 '!Область_печати</vt:lpstr>
      <vt:lpstr>ТС3!Область_печати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Work55</cp:lastModifiedBy>
  <cp:lastPrinted>2024-02-19T06:40:27Z</cp:lastPrinted>
  <dcterms:created xsi:type="dcterms:W3CDTF">2023-03-21T11:58:40Z</dcterms:created>
  <dcterms:modified xsi:type="dcterms:W3CDTF">2024-10-09T07:16:22Z</dcterms:modified>
</cp:coreProperties>
</file>