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F368DEC8-FBC0-4219-B9B4-AC626F9DA73E}" xr6:coauthVersionLast="45" xr6:coauthVersionMax="45" xr10:uidLastSave="{00000000-0000-0000-0000-000000000000}"/>
  <bookViews>
    <workbookView xWindow="-120" yWindow="-120" windowWidth="29040" windowHeight="15840" firstSheet="1" activeTab="1" xr2:uid="{D475925F-4D86-4D8A-9BB7-FC40D61966BD}"/>
  </bookViews>
  <sheets>
    <sheet name="Свод ЭС2" sheetId="1" state="hidden" r:id="rId1"/>
    <sheet name="ЭС1" sheetId="3" r:id="rId2"/>
    <sheet name="ТП7-склад75" sheetId="8" state="hidden" r:id="rId3"/>
    <sheet name="28-28А, 28Б-28В" sheetId="2" state="hidden" r:id="rId4"/>
    <sheet name="ЭС2 цех417-ММЗ" sheetId="6" state="hidden" r:id="rId5"/>
    <sheet name="ЭС2 Защита" sheetId="7" state="hidden" r:id="rId6"/>
  </sheets>
  <definedNames>
    <definedName name="_xlnm.Print_Area" localSheetId="3">'28-28А, 28Б-28В'!$A$1:$L$31</definedName>
    <definedName name="_xlnm.Print_Area" localSheetId="0">'Свод ЭС2'!$A$1:$H$8</definedName>
    <definedName name="_xlnm.Print_Area" localSheetId="2">'ТП7-склад75'!$A$1:$L$47</definedName>
    <definedName name="_xlnm.Print_Area" localSheetId="1">ЭС1!$A$1:$L$44</definedName>
    <definedName name="_xlnm.Print_Area" localSheetId="5">'ЭС2 Защита'!$A$1:$L$25</definedName>
    <definedName name="_xlnm.Print_Area" localSheetId="4">'ЭС2 цех417-ММЗ'!$A$1:$L$38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3" l="1"/>
  <c r="F33" i="3" l="1"/>
  <c r="E32" i="3" l="1"/>
  <c r="D36" i="3" l="1"/>
  <c r="I38" i="3"/>
  <c r="K38" i="3" s="1"/>
  <c r="F37" i="3"/>
  <c r="G37" i="3" s="1"/>
  <c r="L37" i="3" s="1"/>
  <c r="I34" i="3"/>
  <c r="K34" i="3" s="1"/>
  <c r="I30" i="3"/>
  <c r="K30" i="3" s="1"/>
  <c r="F29" i="3"/>
  <c r="G29" i="3" s="1"/>
  <c r="F27" i="3"/>
  <c r="G27" i="3" s="1"/>
  <c r="I26" i="3"/>
  <c r="J26" i="3" s="1"/>
  <c r="L26" i="3" s="1"/>
  <c r="I25" i="3"/>
  <c r="J25" i="3" s="1"/>
  <c r="L25" i="3" s="1"/>
  <c r="I24" i="3"/>
  <c r="K24" i="3" s="1"/>
  <c r="I23" i="3"/>
  <c r="K23" i="3" s="1"/>
  <c r="I22" i="3"/>
  <c r="J22" i="3" s="1"/>
  <c r="L22" i="3" s="1"/>
  <c r="I21" i="3"/>
  <c r="K21" i="3" s="1"/>
  <c r="I20" i="3"/>
  <c r="K20" i="3" s="1"/>
  <c r="I19" i="3"/>
  <c r="J19" i="3" s="1"/>
  <c r="L19" i="3" s="1"/>
  <c r="I18" i="3"/>
  <c r="K18" i="3" s="1"/>
  <c r="I17" i="3"/>
  <c r="K17" i="3" s="1"/>
  <c r="I16" i="3"/>
  <c r="J16" i="3" s="1"/>
  <c r="L16" i="3" s="1"/>
  <c r="I15" i="3"/>
  <c r="K15" i="3" s="1"/>
  <c r="I14" i="3"/>
  <c r="J14" i="3" s="1"/>
  <c r="L14" i="3" s="1"/>
  <c r="I13" i="3"/>
  <c r="J13" i="3" s="1"/>
  <c r="L13" i="3" s="1"/>
  <c r="I12" i="3"/>
  <c r="K12" i="3" s="1"/>
  <c r="D10" i="3"/>
  <c r="F10" i="3" s="1"/>
  <c r="I11" i="3"/>
  <c r="A10" i="3"/>
  <c r="A27" i="3" s="1"/>
  <c r="A28" i="3" s="1"/>
  <c r="A29" i="3" s="1"/>
  <c r="A32" i="3" s="1"/>
  <c r="J38" i="3" l="1"/>
  <c r="L38" i="3" s="1"/>
  <c r="K37" i="3"/>
  <c r="J34" i="3"/>
  <c r="L34" i="3" s="1"/>
  <c r="L27" i="3"/>
  <c r="L29" i="3"/>
  <c r="K29" i="3"/>
  <c r="J30" i="3"/>
  <c r="L30" i="3" s="1"/>
  <c r="K27" i="3"/>
  <c r="K25" i="3"/>
  <c r="K22" i="3"/>
  <c r="K19" i="3"/>
  <c r="K16" i="3"/>
  <c r="K13" i="3"/>
  <c r="J12" i="3"/>
  <c r="L12" i="3" s="1"/>
  <c r="J15" i="3"/>
  <c r="L15" i="3" s="1"/>
  <c r="J18" i="3"/>
  <c r="L18" i="3" s="1"/>
  <c r="J21" i="3"/>
  <c r="L21" i="3" s="1"/>
  <c r="J24" i="3"/>
  <c r="L24" i="3" s="1"/>
  <c r="J17" i="3"/>
  <c r="L17" i="3" s="1"/>
  <c r="J20" i="3"/>
  <c r="L20" i="3" s="1"/>
  <c r="J23" i="3"/>
  <c r="L23" i="3" s="1"/>
  <c r="K14" i="3"/>
  <c r="K26" i="3"/>
  <c r="K11" i="3"/>
  <c r="J11" i="3"/>
  <c r="L11" i="3" s="1"/>
  <c r="K10" i="3"/>
  <c r="G10" i="3"/>
  <c r="L10" i="3" s="1"/>
  <c r="I26" i="2"/>
  <c r="K26" i="2" s="1"/>
  <c r="F25" i="2"/>
  <c r="G25" i="2" s="1"/>
  <c r="L25" i="2" s="1"/>
  <c r="D22" i="2"/>
  <c r="D24" i="2"/>
  <c r="H20" i="2"/>
  <c r="I20" i="2" s="1"/>
  <c r="F19" i="2"/>
  <c r="K19" i="2" s="1"/>
  <c r="H18" i="2"/>
  <c r="D18" i="2"/>
  <c r="F17" i="2"/>
  <c r="K17" i="2" s="1"/>
  <c r="D11" i="2"/>
  <c r="D13" i="2"/>
  <c r="I18" i="2" l="1"/>
  <c r="K18" i="2" s="1"/>
  <c r="K25" i="2"/>
  <c r="J26" i="2"/>
  <c r="L26" i="2" s="1"/>
  <c r="K20" i="2"/>
  <c r="J20" i="2"/>
  <c r="L20" i="2" s="1"/>
  <c r="G19" i="2"/>
  <c r="L19" i="2" s="1"/>
  <c r="G17" i="2"/>
  <c r="L17" i="2" s="1"/>
  <c r="A4" i="1"/>
  <c r="A5" i="1" s="1"/>
  <c r="A6" i="1" s="1"/>
  <c r="A7" i="1" s="1"/>
  <c r="D37" i="8"/>
  <c r="D35" i="8"/>
  <c r="D33" i="8"/>
  <c r="H31" i="8"/>
  <c r="D31" i="8"/>
  <c r="F30" i="8"/>
  <c r="K30" i="8" s="1"/>
  <c r="D29" i="8"/>
  <c r="H29" i="8"/>
  <c r="F28" i="8"/>
  <c r="D17" i="8"/>
  <c r="I17" i="8" s="1"/>
  <c r="D15" i="8"/>
  <c r="I15" i="8" s="1"/>
  <c r="D11" i="8"/>
  <c r="F11" i="8" s="1"/>
  <c r="K11" i="8" s="1"/>
  <c r="F46" i="8"/>
  <c r="K46" i="8" s="1"/>
  <c r="F44" i="8"/>
  <c r="G44" i="8" s="1"/>
  <c r="L44" i="8" s="1"/>
  <c r="E43" i="8"/>
  <c r="F43" i="8" s="1"/>
  <c r="H41" i="8"/>
  <c r="I41" i="8" s="1"/>
  <c r="E40" i="8"/>
  <c r="F40" i="8" s="1"/>
  <c r="K40" i="8" s="1"/>
  <c r="I39" i="8"/>
  <c r="K39" i="8" s="1"/>
  <c r="F38" i="8"/>
  <c r="H37" i="8"/>
  <c r="F36" i="8"/>
  <c r="H35" i="8"/>
  <c r="I35" i="8"/>
  <c r="E34" i="8"/>
  <c r="F34" i="8" s="1"/>
  <c r="H33" i="8"/>
  <c r="E32" i="8"/>
  <c r="F32" i="8" s="1"/>
  <c r="G32" i="8" s="1"/>
  <c r="L32" i="8" s="1"/>
  <c r="I27" i="8"/>
  <c r="J27" i="8" s="1"/>
  <c r="L27" i="8" s="1"/>
  <c r="F26" i="8"/>
  <c r="G26" i="8" s="1"/>
  <c r="L26" i="8" s="1"/>
  <c r="H25" i="8"/>
  <c r="D25" i="8"/>
  <c r="F25" i="8" s="1"/>
  <c r="G25" i="8" s="1"/>
  <c r="F24" i="8"/>
  <c r="G24" i="8" s="1"/>
  <c r="L24" i="8" s="1"/>
  <c r="H23" i="8"/>
  <c r="D23" i="8"/>
  <c r="I23" i="8" s="1"/>
  <c r="J23" i="8" s="1"/>
  <c r="F22" i="8"/>
  <c r="G22" i="8" s="1"/>
  <c r="L22" i="8" s="1"/>
  <c r="F20" i="8"/>
  <c r="G20" i="8" s="1"/>
  <c r="L20" i="8" s="1"/>
  <c r="F19" i="8"/>
  <c r="K19" i="8" s="1"/>
  <c r="F18" i="8"/>
  <c r="K18" i="8" s="1"/>
  <c r="F16" i="8"/>
  <c r="G16" i="8" s="1"/>
  <c r="L16" i="8" s="1"/>
  <c r="F14" i="8"/>
  <c r="G14" i="8" s="1"/>
  <c r="L14" i="8" s="1"/>
  <c r="F13" i="8"/>
  <c r="K13" i="8" s="1"/>
  <c r="F10" i="8"/>
  <c r="K10" i="8" s="1"/>
  <c r="E9" i="8"/>
  <c r="F9" i="8" s="1"/>
  <c r="K9" i="8" s="1"/>
  <c r="A9" i="8"/>
  <c r="A10" i="8" s="1"/>
  <c r="A11" i="8" s="1"/>
  <c r="A13" i="8" s="1"/>
  <c r="A14" i="8" s="1"/>
  <c r="A16" i="8" s="1"/>
  <c r="A18" i="8" s="1"/>
  <c r="A19" i="8" s="1"/>
  <c r="F8" i="8"/>
  <c r="K8" i="8" s="1"/>
  <c r="E8" i="7"/>
  <c r="F8" i="7" s="1"/>
  <c r="A9" i="7"/>
  <c r="A10" i="7" s="1"/>
  <c r="A12" i="7" s="1"/>
  <c r="A13" i="7" s="1"/>
  <c r="A14" i="7" s="1"/>
  <c r="A16" i="7" s="1"/>
  <c r="A18" i="7" s="1"/>
  <c r="A20" i="7" s="1"/>
  <c r="A21" i="7" s="1"/>
  <c r="A23" i="7" s="1"/>
  <c r="F9" i="7"/>
  <c r="G9" i="7" s="1"/>
  <c r="L9" i="7" s="1"/>
  <c r="F10" i="7"/>
  <c r="F12" i="7"/>
  <c r="K12" i="7" s="1"/>
  <c r="G12" i="7"/>
  <c r="L12" i="7" s="1"/>
  <c r="F13" i="7"/>
  <c r="G13" i="7" s="1"/>
  <c r="L13" i="7" s="1"/>
  <c r="F14" i="7"/>
  <c r="K14" i="7" s="1"/>
  <c r="G14" i="7"/>
  <c r="L14" i="7" s="1"/>
  <c r="D15" i="7"/>
  <c r="I15" i="7" s="1"/>
  <c r="F16" i="7"/>
  <c r="G16" i="7" s="1"/>
  <c r="L16" i="7" s="1"/>
  <c r="D17" i="7"/>
  <c r="I17" i="7"/>
  <c r="F18" i="7"/>
  <c r="K18" i="7" s="1"/>
  <c r="D19" i="7"/>
  <c r="I19" i="7" s="1"/>
  <c r="J19" i="7" s="1"/>
  <c r="L19" i="7" s="1"/>
  <c r="F20" i="7"/>
  <c r="G20" i="7" s="1"/>
  <c r="L20" i="7" s="1"/>
  <c r="K20" i="7"/>
  <c r="F21" i="7"/>
  <c r="K21" i="7" s="1"/>
  <c r="G21" i="7"/>
  <c r="L21" i="7" s="1"/>
  <c r="E23" i="7"/>
  <c r="F23" i="7" s="1"/>
  <c r="D24" i="7"/>
  <c r="F24" i="7" s="1"/>
  <c r="G24" i="7" s="1"/>
  <c r="H24" i="7"/>
  <c r="E8" i="6"/>
  <c r="F8" i="6" s="1"/>
  <c r="A9" i="6"/>
  <c r="A10" i="6" s="1"/>
  <c r="A12" i="6" s="1"/>
  <c r="A13" i="6" s="1"/>
  <c r="A14" i="6" s="1"/>
  <c r="A15" i="6" s="1"/>
  <c r="A17" i="6" s="1"/>
  <c r="A19" i="6" s="1"/>
  <c r="A21" i="6" s="1"/>
  <c r="A22" i="6" s="1"/>
  <c r="A24" i="6" s="1"/>
  <c r="A26" i="6" s="1"/>
  <c r="A28" i="6" s="1"/>
  <c r="A30" i="6" s="1"/>
  <c r="A32" i="6" s="1"/>
  <c r="A34" i="6" s="1"/>
  <c r="A37" i="6" s="1"/>
  <c r="F9" i="6"/>
  <c r="G9" i="6" s="1"/>
  <c r="L9" i="6" s="1"/>
  <c r="F10" i="6"/>
  <c r="G10" i="6" s="1"/>
  <c r="L10" i="6" s="1"/>
  <c r="F12" i="6"/>
  <c r="F13" i="6"/>
  <c r="G13" i="6" s="1"/>
  <c r="L13" i="6" s="1"/>
  <c r="F14" i="6"/>
  <c r="K14" i="6" s="1"/>
  <c r="G14" i="6"/>
  <c r="L14" i="6" s="1"/>
  <c r="F15" i="6"/>
  <c r="G15" i="6" s="1"/>
  <c r="L15" i="6" s="1"/>
  <c r="K15" i="6"/>
  <c r="D16" i="6"/>
  <c r="I16" i="6" s="1"/>
  <c r="F17" i="6"/>
  <c r="G17" i="6" s="1"/>
  <c r="L17" i="6" s="1"/>
  <c r="D18" i="6"/>
  <c r="I18" i="6"/>
  <c r="F19" i="6"/>
  <c r="K19" i="6" s="1"/>
  <c r="G19" i="6"/>
  <c r="L19" i="6" s="1"/>
  <c r="D20" i="6"/>
  <c r="I20" i="6" s="1"/>
  <c r="J20" i="6" s="1"/>
  <c r="L20" i="6" s="1"/>
  <c r="F21" i="6"/>
  <c r="G21" i="6" s="1"/>
  <c r="K21" i="6"/>
  <c r="L21" i="6"/>
  <c r="F22" i="6"/>
  <c r="G22" i="6" s="1"/>
  <c r="L22" i="6" s="1"/>
  <c r="K22" i="6"/>
  <c r="F24" i="6"/>
  <c r="G24" i="6" s="1"/>
  <c r="L24" i="6" s="1"/>
  <c r="D25" i="6"/>
  <c r="F25" i="6"/>
  <c r="H25" i="6"/>
  <c r="F26" i="6"/>
  <c r="G26" i="6" s="1"/>
  <c r="L26" i="6" s="1"/>
  <c r="K26" i="6"/>
  <c r="D27" i="6"/>
  <c r="F27" i="6" s="1"/>
  <c r="G27" i="6" s="1"/>
  <c r="H27" i="6"/>
  <c r="F28" i="6"/>
  <c r="G28" i="6" s="1"/>
  <c r="L28" i="6" s="1"/>
  <c r="D29" i="6"/>
  <c r="H29" i="6"/>
  <c r="F30" i="6"/>
  <c r="G30" i="6" s="1"/>
  <c r="L30" i="6" s="1"/>
  <c r="K30" i="6"/>
  <c r="D31" i="6"/>
  <c r="H31" i="6"/>
  <c r="F32" i="6"/>
  <c r="G32" i="6" s="1"/>
  <c r="L32" i="6" s="1"/>
  <c r="I33" i="6"/>
  <c r="J33" i="6" s="1"/>
  <c r="L33" i="6" s="1"/>
  <c r="F34" i="6"/>
  <c r="I35" i="6"/>
  <c r="F37" i="6"/>
  <c r="K37" i="6" s="1"/>
  <c r="G37" i="6"/>
  <c r="L37" i="6" s="1"/>
  <c r="F8" i="3"/>
  <c r="A33" i="3"/>
  <c r="A35" i="3" s="1"/>
  <c r="F28" i="3"/>
  <c r="K28" i="3" s="1"/>
  <c r="F32" i="3"/>
  <c r="G32" i="3" s="1"/>
  <c r="L32" i="3" s="1"/>
  <c r="G33" i="3"/>
  <c r="L33" i="3" s="1"/>
  <c r="F35" i="3"/>
  <c r="F40" i="3"/>
  <c r="G40" i="3" s="1"/>
  <c r="L40" i="3" s="1"/>
  <c r="F8" i="2"/>
  <c r="G8" i="2" s="1"/>
  <c r="L8" i="2" s="1"/>
  <c r="F9" i="2"/>
  <c r="G9" i="2" s="1"/>
  <c r="L9" i="2" s="1"/>
  <c r="A10" i="2"/>
  <c r="A12" i="2" s="1"/>
  <c r="A14" i="2" s="1"/>
  <c r="A15" i="2" s="1"/>
  <c r="F10" i="2"/>
  <c r="K10" i="2" s="1"/>
  <c r="I11" i="2"/>
  <c r="J11" i="2" s="1"/>
  <c r="L11" i="2" s="1"/>
  <c r="F12" i="2"/>
  <c r="G12" i="2" s="1"/>
  <c r="L12" i="2" s="1"/>
  <c r="I13" i="2"/>
  <c r="J13" i="2" s="1"/>
  <c r="L13" i="2" s="1"/>
  <c r="F14" i="2"/>
  <c r="G14" i="2" s="1"/>
  <c r="L14" i="2" s="1"/>
  <c r="D15" i="2"/>
  <c r="F15" i="2" s="1"/>
  <c r="E21" i="2"/>
  <c r="F21" i="2" s="1"/>
  <c r="H22" i="2"/>
  <c r="I22" i="2" s="1"/>
  <c r="E23" i="2"/>
  <c r="F23" i="2" s="1"/>
  <c r="H24" i="2"/>
  <c r="F27" i="2"/>
  <c r="I28" i="2"/>
  <c r="K28" i="2" s="1"/>
  <c r="J28" i="2"/>
  <c r="L28" i="2" s="1"/>
  <c r="F30" i="2"/>
  <c r="G30" i="2" s="1"/>
  <c r="L30" i="2" s="1"/>
  <c r="I33" i="8" l="1"/>
  <c r="I27" i="6"/>
  <c r="J27" i="6" s="1"/>
  <c r="K9" i="6"/>
  <c r="G8" i="3"/>
  <c r="L8" i="3" s="1"/>
  <c r="F41" i="3"/>
  <c r="I31" i="6"/>
  <c r="J31" i="6" s="1"/>
  <c r="L31" i="6" s="1"/>
  <c r="I24" i="7"/>
  <c r="J24" i="7" s="1"/>
  <c r="G8" i="6"/>
  <c r="L8" i="6" s="1"/>
  <c r="K8" i="6"/>
  <c r="K33" i="6"/>
  <c r="I25" i="6"/>
  <c r="J25" i="6" s="1"/>
  <c r="K13" i="6"/>
  <c r="K13" i="7"/>
  <c r="J18" i="2"/>
  <c r="L18" i="2" s="1"/>
  <c r="I29" i="6"/>
  <c r="G18" i="7"/>
  <c r="L18" i="7" s="1"/>
  <c r="K16" i="7"/>
  <c r="A37" i="3"/>
  <c r="A40" i="3" s="1"/>
  <c r="G28" i="3"/>
  <c r="L28" i="3" s="1"/>
  <c r="K40" i="3"/>
  <c r="K32" i="3"/>
  <c r="I36" i="3"/>
  <c r="K36" i="3" s="1"/>
  <c r="K8" i="3"/>
  <c r="K12" i="2"/>
  <c r="K30" i="2"/>
  <c r="K14" i="2"/>
  <c r="A17" i="2"/>
  <c r="A19" i="2" s="1"/>
  <c r="A21" i="2" s="1"/>
  <c r="A23" i="2" s="1"/>
  <c r="G10" i="2"/>
  <c r="L10" i="2" s="1"/>
  <c r="I24" i="2"/>
  <c r="J24" i="2" s="1"/>
  <c r="L24" i="2" s="1"/>
  <c r="K11" i="2"/>
  <c r="I25" i="8"/>
  <c r="J25" i="8" s="1"/>
  <c r="L25" i="8" s="1"/>
  <c r="I37" i="8"/>
  <c r="J37" i="8" s="1"/>
  <c r="L37" i="8" s="1"/>
  <c r="A20" i="8"/>
  <c r="A22" i="8" s="1"/>
  <c r="A24" i="8" s="1"/>
  <c r="A26" i="8" s="1"/>
  <c r="A28" i="8" s="1"/>
  <c r="A30" i="8" s="1"/>
  <c r="A32" i="8" s="1"/>
  <c r="A34" i="8" s="1"/>
  <c r="A36" i="8" s="1"/>
  <c r="A38" i="8" s="1"/>
  <c r="A40" i="8" s="1"/>
  <c r="A43" i="8" s="1"/>
  <c r="A44" i="8" s="1"/>
  <c r="A46" i="8" s="1"/>
  <c r="I31" i="8"/>
  <c r="K31" i="8" s="1"/>
  <c r="G30" i="8"/>
  <c r="L30" i="8" s="1"/>
  <c r="I29" i="8"/>
  <c r="K29" i="8" s="1"/>
  <c r="K28" i="8"/>
  <c r="G28" i="8"/>
  <c r="L28" i="8" s="1"/>
  <c r="K20" i="8"/>
  <c r="G34" i="8"/>
  <c r="L34" i="8" s="1"/>
  <c r="K34" i="8"/>
  <c r="G36" i="8"/>
  <c r="L36" i="8" s="1"/>
  <c r="K36" i="8"/>
  <c r="G38" i="8"/>
  <c r="L38" i="8" s="1"/>
  <c r="K38" i="8"/>
  <c r="K32" i="8"/>
  <c r="K14" i="8"/>
  <c r="K24" i="8"/>
  <c r="K26" i="8"/>
  <c r="G19" i="8"/>
  <c r="L19" i="8" s="1"/>
  <c r="K22" i="8"/>
  <c r="K27" i="8"/>
  <c r="K16" i="8"/>
  <c r="K44" i="8"/>
  <c r="G13" i="8"/>
  <c r="L13" i="8" s="1"/>
  <c r="G8" i="8"/>
  <c r="L8" i="8" s="1"/>
  <c r="K17" i="8"/>
  <c r="J17" i="8"/>
  <c r="L17" i="8" s="1"/>
  <c r="G43" i="8"/>
  <c r="L43" i="8" s="1"/>
  <c r="K43" i="8"/>
  <c r="K37" i="8"/>
  <c r="K15" i="8"/>
  <c r="J15" i="8"/>
  <c r="L15" i="8" s="1"/>
  <c r="K35" i="8"/>
  <c r="J35" i="8"/>
  <c r="L35" i="8" s="1"/>
  <c r="K33" i="8"/>
  <c r="J33" i="8"/>
  <c r="L33" i="8" s="1"/>
  <c r="J41" i="8"/>
  <c r="L41" i="8" s="1"/>
  <c r="K41" i="8"/>
  <c r="G9" i="8"/>
  <c r="L9" i="8" s="1"/>
  <c r="G10" i="8"/>
  <c r="L10" i="8" s="1"/>
  <c r="G11" i="8"/>
  <c r="L11" i="8" s="1"/>
  <c r="G18" i="8"/>
  <c r="L18" i="8" s="1"/>
  <c r="F23" i="8"/>
  <c r="F47" i="8" s="1"/>
  <c r="J39" i="8"/>
  <c r="L39" i="8" s="1"/>
  <c r="G40" i="8"/>
  <c r="L40" i="8" s="1"/>
  <c r="G46" i="8"/>
  <c r="L46" i="8" s="1"/>
  <c r="G15" i="2"/>
  <c r="L15" i="2" s="1"/>
  <c r="K15" i="2"/>
  <c r="G35" i="3"/>
  <c r="L35" i="3" s="1"/>
  <c r="K35" i="3"/>
  <c r="G27" i="2"/>
  <c r="L27" i="2" s="1"/>
  <c r="K27" i="2"/>
  <c r="G23" i="2"/>
  <c r="L23" i="2" s="1"/>
  <c r="K23" i="2"/>
  <c r="G21" i="2"/>
  <c r="L21" i="2" s="1"/>
  <c r="K21" i="2"/>
  <c r="J22" i="2"/>
  <c r="L22" i="2" s="1"/>
  <c r="K22" i="2"/>
  <c r="G25" i="6"/>
  <c r="K25" i="6"/>
  <c r="G12" i="6"/>
  <c r="L12" i="6" s="1"/>
  <c r="K12" i="6"/>
  <c r="F38" i="6"/>
  <c r="K28" i="6"/>
  <c r="J16" i="6"/>
  <c r="L16" i="6" s="1"/>
  <c r="K16" i="6"/>
  <c r="K24" i="7"/>
  <c r="K19" i="7"/>
  <c r="K13" i="2"/>
  <c r="J35" i="6"/>
  <c r="L35" i="6" s="1"/>
  <c r="K35" i="6"/>
  <c r="G10" i="7"/>
  <c r="L10" i="7" s="1"/>
  <c r="K10" i="7"/>
  <c r="K8" i="2"/>
  <c r="G34" i="6"/>
  <c r="L34" i="6" s="1"/>
  <c r="K34" i="6"/>
  <c r="K32" i="6"/>
  <c r="K27" i="6"/>
  <c r="J18" i="6"/>
  <c r="L18" i="6" s="1"/>
  <c r="K18" i="6"/>
  <c r="L24" i="7"/>
  <c r="G23" i="7"/>
  <c r="L23" i="7" s="1"/>
  <c r="K23" i="7"/>
  <c r="J15" i="7"/>
  <c r="L15" i="7" s="1"/>
  <c r="K15" i="7"/>
  <c r="I25" i="7"/>
  <c r="F31" i="2"/>
  <c r="E4" i="1" s="1"/>
  <c r="K9" i="2"/>
  <c r="K33" i="3"/>
  <c r="K31" i="6"/>
  <c r="L27" i="6"/>
  <c r="K20" i="6"/>
  <c r="J17" i="7"/>
  <c r="L17" i="7" s="1"/>
  <c r="K17" i="7"/>
  <c r="F25" i="7"/>
  <c r="G8" i="7"/>
  <c r="L8" i="7" s="1"/>
  <c r="K8" i="7"/>
  <c r="K24" i="6"/>
  <c r="K17" i="6"/>
  <c r="K10" i="6"/>
  <c r="K9" i="7"/>
  <c r="K25" i="8" l="1"/>
  <c r="J29" i="6"/>
  <c r="L29" i="6" s="1"/>
  <c r="K29" i="6"/>
  <c r="K38" i="6" s="1"/>
  <c r="L38" i="6" s="1"/>
  <c r="I38" i="6"/>
  <c r="L25" i="6"/>
  <c r="J36" i="3"/>
  <c r="L36" i="3" s="1"/>
  <c r="I41" i="3"/>
  <c r="J41" i="3" s="1"/>
  <c r="A25" i="2"/>
  <c r="A27" i="2" s="1"/>
  <c r="A30" i="2" s="1"/>
  <c r="I31" i="2"/>
  <c r="J31" i="2" s="1"/>
  <c r="K24" i="2"/>
  <c r="K31" i="2" s="1"/>
  <c r="L31" i="2" s="1"/>
  <c r="G47" i="8"/>
  <c r="J31" i="8"/>
  <c r="L31" i="8" s="1"/>
  <c r="I47" i="8"/>
  <c r="J47" i="8" s="1"/>
  <c r="J29" i="8"/>
  <c r="L29" i="8" s="1"/>
  <c r="G23" i="8"/>
  <c r="L23" i="8" s="1"/>
  <c r="K23" i="8"/>
  <c r="K47" i="8" s="1"/>
  <c r="L47" i="8" s="1"/>
  <c r="D8" i="1"/>
  <c r="J25" i="7"/>
  <c r="G41" i="3"/>
  <c r="J38" i="6"/>
  <c r="G31" i="2"/>
  <c r="H4" i="1" s="1"/>
  <c r="H6" i="1"/>
  <c r="E6" i="1"/>
  <c r="K41" i="3"/>
  <c r="L41" i="3" s="1"/>
  <c r="K25" i="7"/>
  <c r="L25" i="7" s="1"/>
  <c r="G25" i="7"/>
  <c r="G38" i="6"/>
  <c r="G8" i="1" l="1"/>
  <c r="C8" i="1"/>
  <c r="F8" i="1"/>
  <c r="E5" i="1"/>
  <c r="E3" i="1"/>
  <c r="H5" i="1"/>
  <c r="H3" i="1"/>
  <c r="E7" i="1"/>
  <c r="H7" i="1"/>
  <c r="E8" i="1" l="1"/>
  <c r="H8" i="1"/>
</calcChain>
</file>

<file path=xl/sharedStrings.xml><?xml version="1.0" encoding="utf-8"?>
<sst xmlns="http://schemas.openxmlformats.org/spreadsheetml/2006/main" count="483" uniqueCount="162">
  <si>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</si>
  <si>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</si>
  <si>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</si>
  <si>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</si>
  <si>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</si>
  <si>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</si>
  <si>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</si>
  <si>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</si>
  <si>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</si>
  <si>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испытания</t>
  </si>
  <si>
    <t xml:space="preserve">Испытания изоляции кабеля повышенным напряжением </t>
  </si>
  <si>
    <t>Пусконаладочные работы</t>
  </si>
  <si>
    <t>м</t>
  </si>
  <si>
    <t>Лента сигнальная ЛСЭ-300</t>
  </si>
  <si>
    <t>11.1</t>
  </si>
  <si>
    <t>Укладка ленты сигнальной ЛСЭ-600 в траншею</t>
  </si>
  <si>
    <t>цена по счету</t>
  </si>
  <si>
    <t>Лоток лестничный ЛЛ 2000х200мм</t>
  </si>
  <si>
    <t>10.1</t>
  </si>
  <si>
    <t>Установка лотка лестничного ЛЛ 2000х200мм (6шт.)</t>
  </si>
  <si>
    <t>Труба ПНД гофрированная Ф110мм</t>
  </si>
  <si>
    <t>9.1</t>
  </si>
  <si>
    <t>Монтаж трубы  ПНД гофрированной Ф110мм</t>
  </si>
  <si>
    <t>шт.</t>
  </si>
  <si>
    <t>Муфта соединительная 10кВ 3СТп-10-70/120</t>
  </si>
  <si>
    <t>8.1</t>
  </si>
  <si>
    <t>Монтаж муфты соединительной 10кВ 3СТп-10-70/120</t>
  </si>
  <si>
    <t xml:space="preserve">Кабель АВБШвнг(А)-LS 3х70-6кВ </t>
  </si>
  <si>
    <t>7.1</t>
  </si>
  <si>
    <t>Прокладка кабеля в траншее</t>
  </si>
  <si>
    <t>6.1</t>
  </si>
  <si>
    <t xml:space="preserve">Прокладка кабеля с автовышки на высоте 6м </t>
  </si>
  <si>
    <t>Переустройство кабельных линий</t>
  </si>
  <si>
    <t>т</t>
  </si>
  <si>
    <t>Погрузка лишнего грунта в автосамосвалы</t>
  </si>
  <si>
    <t>м3</t>
  </si>
  <si>
    <t>Обратная засыпка грунта вручную</t>
  </si>
  <si>
    <t>Песок природный  средний</t>
  </si>
  <si>
    <t>3.1</t>
  </si>
  <si>
    <t>Обратная засыпка песком вручную</t>
  </si>
  <si>
    <t>2.1</t>
  </si>
  <si>
    <t xml:space="preserve">Устройство песчаного основания </t>
  </si>
  <si>
    <t xml:space="preserve">Разработка грунта вручную </t>
  </si>
  <si>
    <t>Земляные работы</t>
  </si>
  <si>
    <t>Точки 28-28А-28Б-28В</t>
  </si>
  <si>
    <t>131-23-ЭС2. Переустройство кабельных линий 28-28А; 28Б-28В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</si>
  <si>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</si>
  <si>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</si>
  <si>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</si>
  <si>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</si>
  <si>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</si>
  <si>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</si>
  <si>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</si>
  <si>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</si>
  <si>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</si>
  <si>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</si>
  <si>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</si>
  <si>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20.1</t>
  </si>
  <si>
    <t>19.1</t>
  </si>
  <si>
    <t>18.1</t>
  </si>
  <si>
    <t>17.1</t>
  </si>
  <si>
    <t>16.1</t>
  </si>
  <si>
    <t>Пена двухкомпонентная огнезащитная DN1201</t>
  </si>
  <si>
    <t>15.1</t>
  </si>
  <si>
    <t>Заделка труб пеной двухкомпонентной огнезащитной DN1201</t>
  </si>
  <si>
    <t>14.1</t>
  </si>
  <si>
    <t>Уплотнение грунта пневматическими трамбовками</t>
  </si>
  <si>
    <t>Защита песком кабельных линий в траншее с последующим уплотнением</t>
  </si>
  <si>
    <t xml:space="preserve">Устройство песчаного основания h=0,1м </t>
  </si>
  <si>
    <t>Доработка грунта в траншее вручную</t>
  </si>
  <si>
    <t>Ранее этих работ не было, стоимости из 217 пути</t>
  </si>
  <si>
    <t>Погрузка строительного мусора в автосамосвалы</t>
  </si>
  <si>
    <t>Ранее этих работ не было, стоимости из ГП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</si>
  <si>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</si>
  <si>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</si>
  <si>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 xml:space="preserve">Резка асфальтового покрытия фрезой </t>
  </si>
  <si>
    <t>1</t>
  </si>
  <si>
    <t>Разборка дорожных покрытий</t>
  </si>
  <si>
    <t>сметная стоимость</t>
  </si>
  <si>
    <t>Заделка футляров (гильзы) цементно-песчаным раствором (с учетом материала)</t>
  </si>
  <si>
    <t>Подготовка отверстий в бетонных конструкциях под футляры (устройство гильз)</t>
  </si>
  <si>
    <t>Сопутствующие работы</t>
  </si>
  <si>
    <t>Муфта концевая 4ПКТп(б) -1 70/120</t>
  </si>
  <si>
    <t>Монтаж муфты концевой термоусаживаемой на напряжение до 1 кВ 4ПКТп(б) -1 70/120</t>
  </si>
  <si>
    <t>Кабель АВБШв-1 сеч. 4х95мм2</t>
  </si>
  <si>
    <t>Прокладка кабеля АВБШв-1 4х95 в траншее</t>
  </si>
  <si>
    <t>Прокладка кабеля АВБШв-1 сеч. 4х95мм2 в ТП7 по металлоконструкциям с креплением</t>
  </si>
  <si>
    <t xml:space="preserve">Прокладка кабеля АВБШв-1 сеч. 4х95мм2 по стенам с метал. креплением  </t>
  </si>
  <si>
    <t>Труба ПЭ 100 SDR 17- 110х6,6</t>
  </si>
  <si>
    <t>13.1</t>
  </si>
  <si>
    <t>Прокладка труб из полиэтилена 160 SDR 17,6</t>
  </si>
  <si>
    <t>12.1</t>
  </si>
  <si>
    <t xml:space="preserve">Устройство ввода кабеля в здание в футляре из труб ПЭ 100 SDR 17- 110х6,6 L=2,0 м. на </t>
  </si>
  <si>
    <t>Разработка грунта в траншее вручную</t>
  </si>
  <si>
    <t xml:space="preserve">Разработка грунта механизированным способом </t>
  </si>
  <si>
    <t>Кабель АСБл-3х95 -6 кВ</t>
  </si>
  <si>
    <t>Прокладка кабеля АСБл-3х95 -6 кВ в траншее</t>
  </si>
  <si>
    <t>Прокладка кабеля АСБл-3х95 -6 кВ в трубе</t>
  </si>
  <si>
    <t xml:space="preserve">Труба ПН ф160мм </t>
  </si>
  <si>
    <t xml:space="preserve">Прокладка труб ПН ф160мм </t>
  </si>
  <si>
    <t xml:space="preserve">Труба ПН ф110мм </t>
  </si>
  <si>
    <t xml:space="preserve">Прокладка труб ПН ф110мм </t>
  </si>
  <si>
    <t xml:space="preserve">Обратная засыпка траншеи песком </t>
  </si>
  <si>
    <t>стоимости из 217 пути</t>
  </si>
  <si>
    <t>стоимости из ГП</t>
  </si>
  <si>
    <t>131-23-ЭС2. Переустройство кабельных линий на участке т.1 (цех 417)-т.12 (цех ММЗ)</t>
  </si>
  <si>
    <t>Труба разъемная ПВХ ф110мм</t>
  </si>
  <si>
    <t xml:space="preserve">Прокладка футляров разъемных из труб ПВХ разборных ф110мм для подземной укладки </t>
  </si>
  <si>
    <t>131-23-ЭС2. Защита кабельных линий на участке ПК07+10 (ж/д пути 33, 35,37, 39)</t>
  </si>
  <si>
    <t>131-23-ЭС2. ТП7-склад цеха №75</t>
  </si>
  <si>
    <t>Затягивание  кабеля АВБШв-1 сеч. 4х95мм2 в футляр</t>
  </si>
  <si>
    <t>Прокладка  кабеля АВБШв-1 сеч. 4х95мм2 в трубе</t>
  </si>
  <si>
    <t>131-23-ЭС1. Цех№121/18</t>
  </si>
  <si>
    <t xml:space="preserve">	Демонтаж кабельных линий от т.1 до т.4 (ТП №30)</t>
  </si>
  <si>
    <t xml:space="preserve">Демонтаж кабеля АВБШв-1 4х120 с наружной стены здания </t>
  </si>
  <si>
    <t>Монтаж КЛ от т.1 до т.5 (ТП №30)</t>
  </si>
  <si>
    <t>Установка лотка для прокладки кабеля по стене здания</t>
  </si>
  <si>
    <t xml:space="preserve">Лоток лестничный оц. Ллу 30 6000х300х150 </t>
  </si>
  <si>
    <t>Соединитель лотка СЛПр 150 оц</t>
  </si>
  <si>
    <t xml:space="preserve">Болт М8х20 оц. </t>
  </si>
  <si>
    <t xml:space="preserve">Гайка М8 </t>
  </si>
  <si>
    <t xml:space="preserve">Шайба 8 увеличенная </t>
  </si>
  <si>
    <t>Консоль 41х41х1000 цинк</t>
  </si>
  <si>
    <t>Болт М8х70 оц</t>
  </si>
  <si>
    <t>Гайка М8 с фланцем.</t>
  </si>
  <si>
    <t>Укосина 41 усиливающая длиной 250мм оц.</t>
  </si>
  <si>
    <t>Болт М8х30 оц.</t>
  </si>
  <si>
    <t xml:space="preserve">Шайба плоская 8 оц. </t>
  </si>
  <si>
    <t>Гайка канальная М8.</t>
  </si>
  <si>
    <t xml:space="preserve">Шпилька М12 l=300мм </t>
  </si>
  <si>
    <t xml:space="preserve">Шайба плоская 12 </t>
  </si>
  <si>
    <t xml:space="preserve">Гайка М12 </t>
  </si>
  <si>
    <t>Болт анкерный 12х120 (80939 Партнер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</si>
  <si>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</si>
  <si>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</si>
  <si>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</si>
  <si>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</si>
  <si>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</si>
  <si>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</si>
  <si>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</si>
  <si>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</si>
  <si>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</si>
  <si>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</si>
  <si>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</si>
  <si>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</si>
  <si>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</si>
  <si>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</si>
  <si>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</si>
  <si>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 xml:space="preserve">Прокладка сущ. кабеля АВБШв-1 4х120 внутри здания по лоткам </t>
  </si>
  <si>
    <t xml:space="preserve">Прокладка сущ. кабеля ВВГнг 4х50 внутри здания по лоткам </t>
  </si>
  <si>
    <t>Монтаж муфты соединительной 10кВ 4ПСТБ-1 (70-120) (НГ)</t>
  </si>
  <si>
    <t>Муфта соединительная  4ПСТБ-1 (70-120) (НГ)</t>
  </si>
  <si>
    <t>5.1</t>
  </si>
  <si>
    <t>Пробивка отверстий ф80 в кирпичной стене здания под устройство гильз для прохода кабеля</t>
  </si>
  <si>
    <t xml:space="preserve">Устройство гильзы из трубы стальной ф57 на вводах в здание </t>
  </si>
  <si>
    <t>Труба стальная электросварная ф57х3,5.</t>
  </si>
  <si>
    <t>Заделка прохода гильз цементно-песчаным раствором М100</t>
  </si>
  <si>
    <t>Цементно-песчаный раствор М100</t>
  </si>
  <si>
    <t>стоимость монтажа с К=0,7</t>
  </si>
  <si>
    <t>стоимость из НВК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</si>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</sst>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41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5" fillId="0" borderId="4" xfId="2" applyFont="1" applyBorder="1" applyAlignment="1">
      <alignment horizontal="left" vertical="center" wrapText="1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horizontal="center"/>
    </xf>
    <xf numFmtId="43" fontId="15" fillId="4" borderId="1" xfId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1" fontId="5" fillId="5" borderId="1" xfId="0" applyNumberFormat="1" applyFont="1" applyFill="1" applyBorder="1" applyAlignment="1">
      <alignment horizontal="right" vertical="center" wrapText="1"/>
    </xf>
    <xf numFmtId="0" fontId="5" fillId="4" borderId="1" xfId="2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43" fontId="5" fillId="0" borderId="1" xfId="1" applyFont="1" applyBorder="1" applyAlignment="1">
      <alignment vertical="center"/>
    </xf>
    <xf numFmtId="0" fontId="2" fillId="4" borderId="0" xfId="0" applyFont="1" applyFill="1"/>
    <xf numFmtId="0" fontId="3" fillId="0" borderId="1" xfId="0" applyFont="1" applyBorder="1" applyAlignment="1">
      <alignment vertical="center" wrapText="1"/>
    </xf>
    <xf numFmtId="0" fontId="11" fillId="4" borderId="4" xfId="2" applyFont="1" applyFill="1" applyBorder="1" applyAlignment="1">
      <alignment horizontal="left" vertical="center" wrapText="1"/>
    </xf>
    <xf numFmtId="167" fontId="5" fillId="5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3" fontId="5" fillId="5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vertical="center"/>
    </xf>
    <xf numFmtId="43" fontId="17" fillId="0" borderId="1" xfId="1" applyFont="1" applyBorder="1"/>
    <xf numFmtId="165" fontId="16" fillId="0" borderId="0" xfId="1" applyNumberFormat="1" applyFont="1"/>
    <xf numFmtId="165" fontId="12" fillId="0" borderId="0" xfId="1" applyNumberFormat="1" applyFont="1"/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vertical="center" wrapText="1"/>
    </xf>
    <xf numFmtId="0" fontId="5" fillId="8" borderId="4" xfId="2" applyFont="1" applyFill="1" applyBorder="1" applyAlignment="1">
      <alignment horizontal="left" vertical="center" wrapText="1"/>
    </xf>
    <xf numFmtId="167" fontId="5" fillId="7" borderId="1" xfId="0" applyNumberFormat="1" applyFont="1" applyFill="1" applyBorder="1" applyAlignment="1">
      <alignment vertical="center" wrapText="1"/>
    </xf>
    <xf numFmtId="0" fontId="5" fillId="7" borderId="4" xfId="2" applyFont="1" applyFill="1" applyBorder="1" applyAlignment="1">
      <alignment horizontal="left" vertical="center" wrapText="1"/>
    </xf>
    <xf numFmtId="0" fontId="12" fillId="7" borderId="0" xfId="0" applyFont="1" applyFill="1"/>
    <xf numFmtId="0" fontId="12" fillId="8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6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0" t="s">
        <v>7</v>
      </c>
      <c r="B1" s="120" t="s">
        <v>6</v>
      </c>
      <c r="C1" s="121" t="s">
        <v>5</v>
      </c>
      <c r="D1" s="121"/>
      <c r="E1" s="121"/>
      <c r="F1" s="122" t="s">
        <v>4</v>
      </c>
      <c r="G1" s="122"/>
      <c r="H1" s="122"/>
    </row>
    <row r="2" spans="1:9" ht="28.5" x14ac:dyDescent="0.25">
      <c r="A2" s="120"/>
      <c r="B2" s="120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25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25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25">
      <c r="A6" s="15">
        <f>A5+1</f>
        <v>4</v>
      </c>
      <c r="B6" s="14"/>
      <c r="C6" s="13"/>
      <c r="D6" s="12"/>
      <c r="E6" s="11">
        <f>C6+D6</f>
        <v>0</v>
      </c>
      <c r="F6" s="10"/>
      <c r="G6" s="9"/>
      <c r="H6" s="8">
        <f>F6+G6</f>
        <v>0</v>
      </c>
      <c r="I6" s="7"/>
    </row>
    <row r="7" spans="1:9" x14ac:dyDescent="0.25">
      <c r="A7" s="15">
        <f>A6+1</f>
        <v>5</v>
      </c>
      <c r="B7" s="85"/>
      <c r="C7" s="13"/>
      <c r="D7" s="12"/>
      <c r="E7" s="11">
        <f>C7+D7</f>
        <v>0</v>
      </c>
      <c r="F7" s="10"/>
      <c r="G7" s="9"/>
      <c r="H7" s="8">
        <f>F7+G7</f>
        <v>0</v>
      </c>
      <c r="I7" s="7"/>
    </row>
    <row r="8" spans="1:9" x14ac:dyDescent="0.25">
      <c r="A8" s="6"/>
      <c r="B8" s="5" t="s">
        <v>0</v>
      </c>
      <c r="C8" s="4">
        <f t="shared" ref="C8:H8" si="0">SUM(C3:C7)</f>
        <v>0</v>
      </c>
      <c r="D8" s="4">
        <f t="shared" si="0"/>
        <v>0</v>
      </c>
      <c r="E8" s="4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2"/>
    </row>
    <row r="9" spans="1:9" x14ac:dyDescent="0.25">
      <c r="A9" s="1"/>
      <c r="B9" s="1"/>
      <c r="C9" s="1"/>
      <c r="D9" s="1"/>
      <c r="E9" s="1"/>
      <c r="I9" s="2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A931-83FF-4A85-8B89-C07054686D2E}">
  <sheetPr>
    <tabColor theme="9" tint="0.79998168889431442"/>
  </sheetPr>
  <dimension ref="A1:M44"/>
  <sheetViews>
    <sheetView tabSelected="1" view="pageBreakPreview" zoomScaleNormal="100" zoomScaleSheetLayoutView="100" workbookViewId="0">
      <selection activeCell="M8" sqref="M8"/>
    </sheetView>
  </sheetViews>
  <sheetFormatPr defaultColWidth="8.85546875" defaultRowHeight="15" x14ac:dyDescent="0.25"/>
  <cols>
    <col min="1" max="1" width="12.140625" style="48" bestFit="1" customWidth="1"/>
    <col min="2" max="2" width="65.140625" style="48" customWidth="1"/>
    <col min="3" max="3" width="12.28515625" style="48" customWidth="1"/>
    <col min="4" max="4" width="11" style="48" bestFit="1" customWidth="1"/>
    <col min="5" max="5" width="15.140625" style="48" customWidth="1"/>
    <col min="6" max="6" width="16" style="48" customWidth="1"/>
    <col min="7" max="7" width="17.140625" style="98" customWidth="1"/>
    <col min="8" max="8" width="16.140625" style="98" customWidth="1"/>
    <col min="9" max="12" width="16.140625" style="48" customWidth="1"/>
    <col min="13" max="13" width="55.42578125" style="48" customWidth="1"/>
    <col min="14" max="16384" width="8.85546875" style="48"/>
  </cols>
  <sheetData>
    <row r="1" spans="1:13" ht="14.45" customHeight="1" x14ac:dyDescent="0.25">
      <c r="A1" s="128" t="s">
        <v>7</v>
      </c>
      <c r="B1" s="131" t="s">
        <v>56</v>
      </c>
      <c r="C1" s="134" t="s">
        <v>55</v>
      </c>
      <c r="D1" s="134" t="s">
        <v>54</v>
      </c>
      <c r="E1" s="135" t="s">
        <v>53</v>
      </c>
      <c r="F1" s="136"/>
      <c r="G1" s="136"/>
      <c r="H1" s="136"/>
      <c r="I1" s="136"/>
      <c r="J1" s="136"/>
      <c r="K1" s="136"/>
      <c r="L1" s="136"/>
    </row>
    <row r="2" spans="1:13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</row>
    <row r="3" spans="1:13" ht="27.75" customHeight="1" x14ac:dyDescent="0.25">
      <c r="A3" s="129"/>
      <c r="B3" s="132"/>
      <c r="C3" s="134"/>
      <c r="D3" s="134"/>
      <c r="E3" s="134" t="s">
        <v>52</v>
      </c>
      <c r="F3" s="134"/>
      <c r="G3" s="134"/>
      <c r="H3" s="134" t="s">
        <v>51</v>
      </c>
      <c r="I3" s="134"/>
      <c r="J3" s="134"/>
      <c r="K3" s="139" t="s">
        <v>50</v>
      </c>
      <c r="L3" s="139"/>
    </row>
    <row r="4" spans="1:13" ht="56.1" customHeight="1" x14ac:dyDescent="0.25">
      <c r="A4" s="130"/>
      <c r="B4" s="133"/>
      <c r="C4" s="134"/>
      <c r="D4" s="134"/>
      <c r="E4" s="88" t="s">
        <v>49</v>
      </c>
      <c r="F4" s="88" t="s">
        <v>48</v>
      </c>
      <c r="G4" s="92" t="s">
        <v>47</v>
      </c>
      <c r="H4" s="88" t="s">
        <v>49</v>
      </c>
      <c r="I4" s="88" t="s">
        <v>48</v>
      </c>
      <c r="J4" s="92" t="s">
        <v>47</v>
      </c>
      <c r="K4" s="88" t="s">
        <v>46</v>
      </c>
      <c r="L4" s="88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 s="48"/>
    </row>
    <row r="6" spans="1:13" ht="20.25" customHeight="1" x14ac:dyDescent="0.25">
      <c r="A6" s="72"/>
      <c r="B6" s="123" t="s">
        <v>112</v>
      </c>
      <c r="C6" s="124"/>
      <c r="D6" s="124"/>
      <c r="E6" s="71"/>
      <c r="F6" s="70"/>
      <c r="G6" s="69"/>
      <c r="H6" s="69"/>
      <c r="I6" s="69"/>
      <c r="J6" s="69"/>
      <c r="K6" s="69"/>
      <c r="L6" s="69"/>
    </row>
    <row r="7" spans="1:13" ht="20.25" customHeight="1" x14ac:dyDescent="0.25">
      <c r="A7" s="42"/>
      <c r="B7" s="66" t="s">
        <v>113</v>
      </c>
      <c r="C7" s="65"/>
      <c r="D7" s="64"/>
      <c r="E7" s="62"/>
      <c r="F7" s="62"/>
      <c r="G7" s="93"/>
      <c r="H7" s="94"/>
      <c r="I7" s="25"/>
      <c r="J7" s="25"/>
      <c r="K7" s="26"/>
      <c r="L7" s="25"/>
    </row>
    <row r="8" spans="1:13" ht="20.25" customHeight="1" x14ac:dyDescent="0.25">
      <c r="A8" s="99" t="s">
        <v>76</v>
      </c>
      <c r="B8" s="100" t="s">
        <v>114</v>
      </c>
      <c r="C8" s="101" t="s">
        <v>12</v>
      </c>
      <c r="D8" s="102">
        <v>452.76</v>
      </c>
      <c r="E8" s="103">
        <f>E27*70%</f>
        <v>192.185</v>
      </c>
      <c r="F8" s="103">
        <f>ROUND(E8*D8,2)</f>
        <v>87013.68</v>
      </c>
      <c r="G8" s="103">
        <f>ROUND(F8*1.2,2)</f>
        <v>104416.42</v>
      </c>
      <c r="H8" s="104"/>
      <c r="I8" s="103"/>
      <c r="J8" s="103"/>
      <c r="K8" s="105">
        <f t="shared" ref="K8:L8" si="0">F8+I8</f>
        <v>87013.68</v>
      </c>
      <c r="L8" s="103">
        <f t="shared" si="0"/>
        <v>104416.42</v>
      </c>
      <c r="M8" s="140" t="s">
        <v>158</v>
      </c>
    </row>
    <row r="9" spans="1:13" ht="18.75" customHeight="1" x14ac:dyDescent="0.25">
      <c r="A9" s="65"/>
      <c r="B9" s="59" t="s">
        <v>115</v>
      </c>
      <c r="C9" s="31"/>
      <c r="D9" s="34"/>
      <c r="E9" s="26"/>
      <c r="F9" s="83"/>
      <c r="G9" s="83"/>
      <c r="H9" s="52"/>
      <c r="I9" s="25"/>
      <c r="J9" s="25"/>
      <c r="K9" s="26"/>
      <c r="L9" s="25"/>
    </row>
    <row r="10" spans="1:13" ht="18.75" customHeight="1" x14ac:dyDescent="0.25">
      <c r="A10" s="106">
        <f>A8+1</f>
        <v>2</v>
      </c>
      <c r="B10" s="107" t="s">
        <v>116</v>
      </c>
      <c r="C10" s="106" t="s">
        <v>12</v>
      </c>
      <c r="D10" s="108">
        <f>87</f>
        <v>87</v>
      </c>
      <c r="E10" s="109">
        <v>1632.8</v>
      </c>
      <c r="F10" s="110">
        <f>ROUND(E10*D10,2)</f>
        <v>142053.6</v>
      </c>
      <c r="G10" s="110">
        <f>ROUND(F10*1.2,2)</f>
        <v>170464.32</v>
      </c>
      <c r="H10" s="111"/>
      <c r="I10" s="110"/>
      <c r="J10" s="110"/>
      <c r="K10" s="109">
        <f t="shared" ref="K10:K11" si="1">F10+I10</f>
        <v>142053.6</v>
      </c>
      <c r="L10" s="110">
        <f t="shared" ref="L10:L11" si="2">G10+J10</f>
        <v>170464.32</v>
      </c>
      <c r="M10" s="51"/>
    </row>
    <row r="11" spans="1:13" ht="18.75" customHeight="1" x14ac:dyDescent="0.25">
      <c r="A11" s="112" t="s">
        <v>40</v>
      </c>
      <c r="B11" s="50" t="s">
        <v>117</v>
      </c>
      <c r="C11" s="40" t="s">
        <v>12</v>
      </c>
      <c r="D11" s="49">
        <v>87</v>
      </c>
      <c r="E11" s="90"/>
      <c r="F11" s="95"/>
      <c r="G11" s="95"/>
      <c r="H11" s="95">
        <v>2236.42</v>
      </c>
      <c r="I11" s="95">
        <f>ROUND(H11*D11,2)</f>
        <v>194568.54</v>
      </c>
      <c r="J11" s="95">
        <f>ROUND(I11*1.2,2)</f>
        <v>233482.25</v>
      </c>
      <c r="K11" s="90">
        <f t="shared" si="1"/>
        <v>194568.54</v>
      </c>
      <c r="L11" s="95">
        <f t="shared" si="2"/>
        <v>233482.25</v>
      </c>
      <c r="M11" s="48" t="s">
        <v>16</v>
      </c>
    </row>
    <row r="12" spans="1:13" ht="18.75" customHeight="1" x14ac:dyDescent="0.25">
      <c r="A12" s="112" t="s">
        <v>133</v>
      </c>
      <c r="B12" s="50" t="s">
        <v>118</v>
      </c>
      <c r="C12" s="40" t="s">
        <v>23</v>
      </c>
      <c r="D12" s="49">
        <v>28</v>
      </c>
      <c r="E12" s="90"/>
      <c r="F12" s="95"/>
      <c r="G12" s="95"/>
      <c r="H12" s="95">
        <v>312.12</v>
      </c>
      <c r="I12" s="95">
        <f t="shared" ref="I12:I26" si="3">ROUND(H12*D12,2)</f>
        <v>8739.36</v>
      </c>
      <c r="J12" s="95">
        <f t="shared" ref="J12:J26" si="4">ROUND(I12*1.2,2)</f>
        <v>10487.23</v>
      </c>
      <c r="K12" s="90">
        <f t="shared" ref="K12:K27" si="5">F12+I12</f>
        <v>8739.36</v>
      </c>
      <c r="L12" s="95">
        <f t="shared" ref="L12:L27" si="6">G12+J12</f>
        <v>10487.23</v>
      </c>
      <c r="M12" s="48" t="s">
        <v>16</v>
      </c>
    </row>
    <row r="13" spans="1:13" ht="18.75" customHeight="1" x14ac:dyDescent="0.25">
      <c r="A13" s="112" t="s">
        <v>134</v>
      </c>
      <c r="B13" s="50" t="s">
        <v>119</v>
      </c>
      <c r="C13" s="40" t="s">
        <v>23</v>
      </c>
      <c r="D13" s="49">
        <v>112</v>
      </c>
      <c r="E13" s="90"/>
      <c r="F13" s="95"/>
      <c r="G13" s="95"/>
      <c r="H13" s="95">
        <v>3.78</v>
      </c>
      <c r="I13" s="95">
        <f t="shared" si="3"/>
        <v>423.36</v>
      </c>
      <c r="J13" s="95">
        <f t="shared" si="4"/>
        <v>508.03</v>
      </c>
      <c r="K13" s="90">
        <f t="shared" si="5"/>
        <v>423.36</v>
      </c>
      <c r="L13" s="95">
        <f t="shared" si="6"/>
        <v>508.03</v>
      </c>
      <c r="M13" s="48" t="s">
        <v>16</v>
      </c>
    </row>
    <row r="14" spans="1:13" ht="18.75" customHeight="1" x14ac:dyDescent="0.25">
      <c r="A14" s="112" t="s">
        <v>135</v>
      </c>
      <c r="B14" s="50" t="s">
        <v>120</v>
      </c>
      <c r="C14" s="40" t="s">
        <v>23</v>
      </c>
      <c r="D14" s="49">
        <v>112</v>
      </c>
      <c r="E14" s="90"/>
      <c r="F14" s="95"/>
      <c r="G14" s="95"/>
      <c r="H14" s="95">
        <v>2.9</v>
      </c>
      <c r="I14" s="95">
        <f t="shared" si="3"/>
        <v>324.8</v>
      </c>
      <c r="J14" s="95">
        <f t="shared" si="4"/>
        <v>389.76</v>
      </c>
      <c r="K14" s="90">
        <f t="shared" si="5"/>
        <v>324.8</v>
      </c>
      <c r="L14" s="95">
        <f t="shared" si="6"/>
        <v>389.76</v>
      </c>
      <c r="M14" s="48" t="s">
        <v>16</v>
      </c>
    </row>
    <row r="15" spans="1:13" ht="18.75" customHeight="1" x14ac:dyDescent="0.25">
      <c r="A15" s="112" t="s">
        <v>136</v>
      </c>
      <c r="B15" s="50" t="s">
        <v>121</v>
      </c>
      <c r="C15" s="40" t="s">
        <v>23</v>
      </c>
      <c r="D15" s="49">
        <v>224</v>
      </c>
      <c r="E15" s="90"/>
      <c r="F15" s="95"/>
      <c r="G15" s="95"/>
      <c r="H15" s="95">
        <v>5.25</v>
      </c>
      <c r="I15" s="95">
        <f t="shared" si="3"/>
        <v>1176</v>
      </c>
      <c r="J15" s="95">
        <f t="shared" si="4"/>
        <v>1411.2</v>
      </c>
      <c r="K15" s="90">
        <f t="shared" si="5"/>
        <v>1176</v>
      </c>
      <c r="L15" s="95">
        <f t="shared" si="6"/>
        <v>1411.2</v>
      </c>
      <c r="M15" s="48" t="s">
        <v>16</v>
      </c>
    </row>
    <row r="16" spans="1:13" ht="18.75" customHeight="1" x14ac:dyDescent="0.25">
      <c r="A16" s="112" t="s">
        <v>137</v>
      </c>
      <c r="B16" s="50" t="s">
        <v>122</v>
      </c>
      <c r="C16" s="40" t="s">
        <v>23</v>
      </c>
      <c r="D16" s="49">
        <v>30</v>
      </c>
      <c r="E16" s="90"/>
      <c r="F16" s="95"/>
      <c r="G16" s="95"/>
      <c r="H16" s="95">
        <v>921.79</v>
      </c>
      <c r="I16" s="95">
        <f t="shared" si="3"/>
        <v>27653.7</v>
      </c>
      <c r="J16" s="95">
        <f t="shared" si="4"/>
        <v>33184.44</v>
      </c>
      <c r="K16" s="90">
        <f t="shared" si="5"/>
        <v>27653.7</v>
      </c>
      <c r="L16" s="95">
        <f t="shared" si="6"/>
        <v>33184.44</v>
      </c>
      <c r="M16" s="48" t="s">
        <v>16</v>
      </c>
    </row>
    <row r="17" spans="1:13" ht="18.75" customHeight="1" x14ac:dyDescent="0.25">
      <c r="A17" s="112" t="s">
        <v>138</v>
      </c>
      <c r="B17" s="50" t="s">
        <v>123</v>
      </c>
      <c r="C17" s="40" t="s">
        <v>23</v>
      </c>
      <c r="D17" s="49">
        <v>60</v>
      </c>
      <c r="E17" s="90"/>
      <c r="F17" s="95"/>
      <c r="G17" s="95"/>
      <c r="H17" s="95">
        <v>8.24</v>
      </c>
      <c r="I17" s="95">
        <f t="shared" si="3"/>
        <v>494.4</v>
      </c>
      <c r="J17" s="95">
        <f t="shared" si="4"/>
        <v>593.28</v>
      </c>
      <c r="K17" s="90">
        <f t="shared" si="5"/>
        <v>494.4</v>
      </c>
      <c r="L17" s="95">
        <f t="shared" si="6"/>
        <v>593.28</v>
      </c>
      <c r="M17" s="48" t="s">
        <v>16</v>
      </c>
    </row>
    <row r="18" spans="1:13" ht="18.75" customHeight="1" x14ac:dyDescent="0.25">
      <c r="A18" s="112" t="s">
        <v>139</v>
      </c>
      <c r="B18" s="50" t="s">
        <v>124</v>
      </c>
      <c r="C18" s="40" t="s">
        <v>23</v>
      </c>
      <c r="D18" s="49">
        <v>68</v>
      </c>
      <c r="E18" s="90"/>
      <c r="F18" s="95"/>
      <c r="G18" s="95"/>
      <c r="H18" s="95">
        <v>2.9</v>
      </c>
      <c r="I18" s="95">
        <f t="shared" si="3"/>
        <v>197.2</v>
      </c>
      <c r="J18" s="95">
        <f t="shared" si="4"/>
        <v>236.64</v>
      </c>
      <c r="K18" s="90">
        <f t="shared" si="5"/>
        <v>197.2</v>
      </c>
      <c r="L18" s="95">
        <f t="shared" si="6"/>
        <v>236.64</v>
      </c>
      <c r="M18" s="48" t="s">
        <v>16</v>
      </c>
    </row>
    <row r="19" spans="1:13" ht="18.75" customHeight="1" x14ac:dyDescent="0.25">
      <c r="A19" s="112" t="s">
        <v>140</v>
      </c>
      <c r="B19" s="50" t="s">
        <v>125</v>
      </c>
      <c r="C19" s="40" t="s">
        <v>23</v>
      </c>
      <c r="D19" s="49">
        <v>30</v>
      </c>
      <c r="E19" s="90"/>
      <c r="F19" s="95"/>
      <c r="G19" s="95"/>
      <c r="H19" s="95">
        <v>374.63</v>
      </c>
      <c r="I19" s="95">
        <f t="shared" si="3"/>
        <v>11238.9</v>
      </c>
      <c r="J19" s="95">
        <f t="shared" si="4"/>
        <v>13486.68</v>
      </c>
      <c r="K19" s="90">
        <f t="shared" si="5"/>
        <v>11238.9</v>
      </c>
      <c r="L19" s="95">
        <f t="shared" si="6"/>
        <v>13486.68</v>
      </c>
      <c r="M19" s="48" t="s">
        <v>16</v>
      </c>
    </row>
    <row r="20" spans="1:13" ht="18.75" customHeight="1" x14ac:dyDescent="0.25">
      <c r="A20" s="112" t="s">
        <v>141</v>
      </c>
      <c r="B20" s="50" t="s">
        <v>126</v>
      </c>
      <c r="C20" s="40" t="s">
        <v>23</v>
      </c>
      <c r="D20" s="49">
        <v>30</v>
      </c>
      <c r="E20" s="90"/>
      <c r="F20" s="95"/>
      <c r="G20" s="95"/>
      <c r="H20" s="95">
        <v>4.74</v>
      </c>
      <c r="I20" s="95">
        <f t="shared" si="3"/>
        <v>142.19999999999999</v>
      </c>
      <c r="J20" s="95">
        <f t="shared" si="4"/>
        <v>170.64</v>
      </c>
      <c r="K20" s="90">
        <f t="shared" si="5"/>
        <v>142.19999999999999</v>
      </c>
      <c r="L20" s="95">
        <f t="shared" si="6"/>
        <v>170.64</v>
      </c>
      <c r="M20" s="48" t="s">
        <v>16</v>
      </c>
    </row>
    <row r="21" spans="1:13" ht="18.75" customHeight="1" x14ac:dyDescent="0.25">
      <c r="A21" s="112" t="s">
        <v>142</v>
      </c>
      <c r="B21" s="50" t="s">
        <v>127</v>
      </c>
      <c r="C21" s="40" t="s">
        <v>23</v>
      </c>
      <c r="D21" s="49">
        <v>30</v>
      </c>
      <c r="E21" s="90"/>
      <c r="F21" s="95"/>
      <c r="G21" s="95"/>
      <c r="H21" s="95">
        <v>53.59</v>
      </c>
      <c r="I21" s="95">
        <f t="shared" si="3"/>
        <v>1607.7</v>
      </c>
      <c r="J21" s="95">
        <f t="shared" si="4"/>
        <v>1929.24</v>
      </c>
      <c r="K21" s="90">
        <f t="shared" si="5"/>
        <v>1607.7</v>
      </c>
      <c r="L21" s="95">
        <f t="shared" si="6"/>
        <v>1929.24</v>
      </c>
      <c r="M21" s="48" t="s">
        <v>16</v>
      </c>
    </row>
    <row r="22" spans="1:13" ht="18.75" customHeight="1" x14ac:dyDescent="0.25">
      <c r="A22" s="112" t="s">
        <v>143</v>
      </c>
      <c r="B22" s="50" t="s">
        <v>128</v>
      </c>
      <c r="C22" s="40" t="s">
        <v>23</v>
      </c>
      <c r="D22" s="49">
        <v>30</v>
      </c>
      <c r="E22" s="90"/>
      <c r="F22" s="95"/>
      <c r="G22" s="95"/>
      <c r="H22" s="95">
        <v>24</v>
      </c>
      <c r="I22" s="95">
        <f t="shared" si="3"/>
        <v>720</v>
      </c>
      <c r="J22" s="95">
        <f t="shared" si="4"/>
        <v>864</v>
      </c>
      <c r="K22" s="90">
        <f t="shared" si="5"/>
        <v>720</v>
      </c>
      <c r="L22" s="95">
        <f t="shared" si="6"/>
        <v>864</v>
      </c>
      <c r="M22" s="48" t="s">
        <v>16</v>
      </c>
    </row>
    <row r="23" spans="1:13" ht="18.75" customHeight="1" x14ac:dyDescent="0.25">
      <c r="A23" s="112" t="s">
        <v>144</v>
      </c>
      <c r="B23" s="50" t="s">
        <v>129</v>
      </c>
      <c r="C23" s="40" t="s">
        <v>23</v>
      </c>
      <c r="D23" s="49">
        <v>60</v>
      </c>
      <c r="E23" s="90"/>
      <c r="F23" s="95"/>
      <c r="G23" s="95"/>
      <c r="H23" s="95">
        <v>42</v>
      </c>
      <c r="I23" s="95">
        <f t="shared" si="3"/>
        <v>2520</v>
      </c>
      <c r="J23" s="95">
        <f t="shared" si="4"/>
        <v>3024</v>
      </c>
      <c r="K23" s="90">
        <f t="shared" si="5"/>
        <v>2520</v>
      </c>
      <c r="L23" s="95">
        <f t="shared" si="6"/>
        <v>3024</v>
      </c>
      <c r="M23" s="48" t="s">
        <v>16</v>
      </c>
    </row>
    <row r="24" spans="1:13" ht="18.75" customHeight="1" x14ac:dyDescent="0.25">
      <c r="A24" s="112" t="s">
        <v>145</v>
      </c>
      <c r="B24" s="50" t="s">
        <v>130</v>
      </c>
      <c r="C24" s="40" t="s">
        <v>23</v>
      </c>
      <c r="D24" s="49">
        <v>150</v>
      </c>
      <c r="E24" s="90"/>
      <c r="F24" s="95"/>
      <c r="G24" s="95"/>
      <c r="H24" s="95">
        <v>5.25</v>
      </c>
      <c r="I24" s="95">
        <f t="shared" si="3"/>
        <v>787.5</v>
      </c>
      <c r="J24" s="95">
        <f t="shared" si="4"/>
        <v>945</v>
      </c>
      <c r="K24" s="90">
        <f t="shared" si="5"/>
        <v>787.5</v>
      </c>
      <c r="L24" s="95">
        <f t="shared" si="6"/>
        <v>945</v>
      </c>
      <c r="M24" s="48" t="s">
        <v>16</v>
      </c>
    </row>
    <row r="25" spans="1:13" ht="18.75" customHeight="1" x14ac:dyDescent="0.25">
      <c r="A25" s="112" t="s">
        <v>146</v>
      </c>
      <c r="B25" s="50" t="s">
        <v>131</v>
      </c>
      <c r="C25" s="40" t="s">
        <v>23</v>
      </c>
      <c r="D25" s="49">
        <v>120</v>
      </c>
      <c r="E25" s="90"/>
      <c r="F25" s="95"/>
      <c r="G25" s="95"/>
      <c r="H25" s="95">
        <v>2.99</v>
      </c>
      <c r="I25" s="95">
        <f t="shared" si="3"/>
        <v>358.8</v>
      </c>
      <c r="J25" s="95">
        <f t="shared" si="4"/>
        <v>430.56</v>
      </c>
      <c r="K25" s="90">
        <f t="shared" si="5"/>
        <v>358.8</v>
      </c>
      <c r="L25" s="95">
        <f t="shared" si="6"/>
        <v>430.56</v>
      </c>
      <c r="M25" s="48" t="s">
        <v>16</v>
      </c>
    </row>
    <row r="26" spans="1:13" ht="18.75" customHeight="1" x14ac:dyDescent="0.25">
      <c r="A26" s="112" t="s">
        <v>147</v>
      </c>
      <c r="B26" s="50" t="s">
        <v>132</v>
      </c>
      <c r="C26" s="40" t="s">
        <v>23</v>
      </c>
      <c r="D26" s="49">
        <v>30</v>
      </c>
      <c r="E26" s="90"/>
      <c r="F26" s="95"/>
      <c r="G26" s="95"/>
      <c r="H26" s="95">
        <v>82</v>
      </c>
      <c r="I26" s="95">
        <f t="shared" si="3"/>
        <v>2460</v>
      </c>
      <c r="J26" s="95">
        <f t="shared" si="4"/>
        <v>2952</v>
      </c>
      <c r="K26" s="90">
        <f t="shared" si="5"/>
        <v>2460</v>
      </c>
      <c r="L26" s="95">
        <f t="shared" si="6"/>
        <v>2952</v>
      </c>
      <c r="M26" s="48" t="s">
        <v>16</v>
      </c>
    </row>
    <row r="27" spans="1:13" ht="24" customHeight="1" x14ac:dyDescent="0.25">
      <c r="A27" s="101">
        <f>A10+1</f>
        <v>3</v>
      </c>
      <c r="B27" s="100" t="s">
        <v>148</v>
      </c>
      <c r="C27" s="101" t="s">
        <v>12</v>
      </c>
      <c r="D27" s="102">
        <v>266</v>
      </c>
      <c r="E27" s="105">
        <v>274.55</v>
      </c>
      <c r="F27" s="103">
        <f>ROUND(E27*D27,2)</f>
        <v>73030.3</v>
      </c>
      <c r="G27" s="103">
        <f>ROUND(F27*1.2,2)</f>
        <v>87636.36</v>
      </c>
      <c r="H27" s="113"/>
      <c r="I27" s="103"/>
      <c r="J27" s="103"/>
      <c r="K27" s="105">
        <f t="shared" si="5"/>
        <v>73030.3</v>
      </c>
      <c r="L27" s="103">
        <f t="shared" si="6"/>
        <v>87636.36</v>
      </c>
      <c r="M27" s="51"/>
    </row>
    <row r="28" spans="1:13" ht="18.75" customHeight="1" x14ac:dyDescent="0.25">
      <c r="A28" s="101">
        <f>A27+1</f>
        <v>4</v>
      </c>
      <c r="B28" s="100" t="s">
        <v>149</v>
      </c>
      <c r="C28" s="101" t="s">
        <v>12</v>
      </c>
      <c r="D28" s="102">
        <v>62</v>
      </c>
      <c r="E28" s="105">
        <v>274.55</v>
      </c>
      <c r="F28" s="103">
        <f>ROUND(E28*D28,2)</f>
        <v>17022.099999999999</v>
      </c>
      <c r="G28" s="103">
        <f>ROUND(F28*1.2,2)</f>
        <v>20426.52</v>
      </c>
      <c r="H28" s="113"/>
      <c r="I28" s="103"/>
      <c r="J28" s="103"/>
      <c r="K28" s="105">
        <f t="shared" ref="K28:K38" si="7">F28+I28</f>
        <v>17022.099999999999</v>
      </c>
      <c r="L28" s="103">
        <f t="shared" ref="L28:L38" si="8">G28+J28</f>
        <v>20426.52</v>
      </c>
      <c r="M28" s="51"/>
    </row>
    <row r="29" spans="1:13" ht="21" customHeight="1" x14ac:dyDescent="0.25">
      <c r="A29" s="101">
        <f>A28+1</f>
        <v>5</v>
      </c>
      <c r="B29" s="100" t="s">
        <v>150</v>
      </c>
      <c r="C29" s="101" t="s">
        <v>23</v>
      </c>
      <c r="D29" s="114">
        <v>2</v>
      </c>
      <c r="E29" s="105">
        <v>6715.55</v>
      </c>
      <c r="F29" s="103">
        <f>ROUND(E29*D29,2)</f>
        <v>13431.1</v>
      </c>
      <c r="G29" s="103">
        <f>ROUND(F29*1.2,2)</f>
        <v>16117.32</v>
      </c>
      <c r="H29" s="113"/>
      <c r="I29" s="103"/>
      <c r="J29" s="103"/>
      <c r="K29" s="105">
        <f t="shared" ref="K29:K30" si="9">F29+I29</f>
        <v>13431.1</v>
      </c>
      <c r="L29" s="103">
        <f t="shared" ref="L29:L30" si="10">G29+J29</f>
        <v>16117.32</v>
      </c>
      <c r="M29" s="51"/>
    </row>
    <row r="30" spans="1:13" ht="21" customHeight="1" x14ac:dyDescent="0.25">
      <c r="A30" s="112" t="s">
        <v>152</v>
      </c>
      <c r="B30" s="41" t="s">
        <v>151</v>
      </c>
      <c r="C30" s="40" t="s">
        <v>23</v>
      </c>
      <c r="D30" s="49">
        <v>2</v>
      </c>
      <c r="E30" s="90"/>
      <c r="F30" s="95"/>
      <c r="G30" s="95"/>
      <c r="H30" s="95">
        <v>3488</v>
      </c>
      <c r="I30" s="95">
        <f>ROUND(H30*D30,2)</f>
        <v>6976</v>
      </c>
      <c r="J30" s="95">
        <f>ROUND(I30*1.2,2)</f>
        <v>8371.2000000000007</v>
      </c>
      <c r="K30" s="90">
        <f t="shared" si="9"/>
        <v>6976</v>
      </c>
      <c r="L30" s="95">
        <f t="shared" si="10"/>
        <v>8371.2000000000007</v>
      </c>
      <c r="M30" s="51" t="s">
        <v>16</v>
      </c>
    </row>
    <row r="31" spans="1:13" ht="21" customHeight="1" x14ac:dyDescent="0.25">
      <c r="A31" s="42"/>
      <c r="B31" s="86" t="s">
        <v>81</v>
      </c>
      <c r="C31" s="65"/>
      <c r="D31" s="64"/>
      <c r="E31" s="26"/>
      <c r="F31" s="25"/>
      <c r="G31" s="25"/>
      <c r="H31" s="25"/>
      <c r="I31" s="25"/>
      <c r="J31" s="25"/>
      <c r="K31" s="26"/>
      <c r="L31" s="25"/>
      <c r="M31" s="51"/>
    </row>
    <row r="32" spans="1:13" ht="34.5" customHeight="1" x14ac:dyDescent="0.25">
      <c r="A32" s="106">
        <f>A29+1</f>
        <v>6</v>
      </c>
      <c r="B32" s="115" t="s">
        <v>153</v>
      </c>
      <c r="C32" s="106" t="s">
        <v>23</v>
      </c>
      <c r="D32" s="108">
        <v>2</v>
      </c>
      <c r="E32" s="109">
        <f>ROUND(685.19*1.33,2)</f>
        <v>911.3</v>
      </c>
      <c r="F32" s="110">
        <f>ROUND(E32*D32,2)</f>
        <v>1822.6</v>
      </c>
      <c r="G32" s="110">
        <f>ROUND(F32*1.2,2)</f>
        <v>2187.12</v>
      </c>
      <c r="H32" s="111"/>
      <c r="I32" s="110"/>
      <c r="J32" s="110"/>
      <c r="K32" s="109">
        <f t="shared" si="7"/>
        <v>1822.6</v>
      </c>
      <c r="L32" s="110">
        <f t="shared" si="8"/>
        <v>2187.12</v>
      </c>
      <c r="M32" s="51"/>
    </row>
    <row r="33" spans="1:13" ht="18.75" customHeight="1" x14ac:dyDescent="0.25">
      <c r="A33" s="106">
        <f>A32+1</f>
        <v>7</v>
      </c>
      <c r="B33" s="107" t="s">
        <v>154</v>
      </c>
      <c r="C33" s="106" t="s">
        <v>23</v>
      </c>
      <c r="D33" s="108">
        <v>2</v>
      </c>
      <c r="E33" s="109">
        <v>924</v>
      </c>
      <c r="F33" s="110">
        <f>ROUND(E33*D33,2)</f>
        <v>1848</v>
      </c>
      <c r="G33" s="110">
        <f>ROUND(F33*1.2,2)</f>
        <v>2217.6</v>
      </c>
      <c r="H33" s="111"/>
      <c r="I33" s="110"/>
      <c r="J33" s="110"/>
      <c r="K33" s="109">
        <f t="shared" si="7"/>
        <v>1848</v>
      </c>
      <c r="L33" s="110">
        <f t="shared" si="8"/>
        <v>2217.6</v>
      </c>
      <c r="M33" s="51"/>
    </row>
    <row r="34" spans="1:13" ht="21" customHeight="1" x14ac:dyDescent="0.25">
      <c r="A34" s="112" t="s">
        <v>28</v>
      </c>
      <c r="B34" s="41" t="s">
        <v>155</v>
      </c>
      <c r="C34" s="40" t="s">
        <v>12</v>
      </c>
      <c r="D34" s="39">
        <v>0.48</v>
      </c>
      <c r="E34" s="90"/>
      <c r="F34" s="95"/>
      <c r="G34" s="95"/>
      <c r="H34" s="95">
        <v>980</v>
      </c>
      <c r="I34" s="95">
        <f>ROUND(H34*D34,2)</f>
        <v>470.4</v>
      </c>
      <c r="J34" s="95">
        <f>ROUND(I34*1.2,2)</f>
        <v>564.48</v>
      </c>
      <c r="K34" s="90">
        <f t="shared" si="7"/>
        <v>470.4</v>
      </c>
      <c r="L34" s="95">
        <f t="shared" si="8"/>
        <v>564.48</v>
      </c>
      <c r="M34" s="51" t="s">
        <v>16</v>
      </c>
    </row>
    <row r="35" spans="1:13" ht="21.75" customHeight="1" x14ac:dyDescent="0.25">
      <c r="A35" s="101">
        <f>A33+1</f>
        <v>8</v>
      </c>
      <c r="B35" s="100" t="s">
        <v>156</v>
      </c>
      <c r="C35" s="101" t="s">
        <v>35</v>
      </c>
      <c r="D35" s="116">
        <v>2E-3</v>
      </c>
      <c r="E35" s="105">
        <v>8327.42</v>
      </c>
      <c r="F35" s="103">
        <f>ROUND(E35*D35,2)</f>
        <v>16.649999999999999</v>
      </c>
      <c r="G35" s="103">
        <f>ROUND(F35*1.2,2)</f>
        <v>19.98</v>
      </c>
      <c r="H35" s="113"/>
      <c r="I35" s="103"/>
      <c r="J35" s="103"/>
      <c r="K35" s="105">
        <f t="shared" si="7"/>
        <v>16.649999999999999</v>
      </c>
      <c r="L35" s="103">
        <f t="shared" si="8"/>
        <v>19.98</v>
      </c>
      <c r="M35" s="48" t="s">
        <v>159</v>
      </c>
    </row>
    <row r="36" spans="1:13" ht="18.75" customHeight="1" x14ac:dyDescent="0.25">
      <c r="A36" s="112" t="s">
        <v>25</v>
      </c>
      <c r="B36" s="41" t="s">
        <v>157</v>
      </c>
      <c r="C36" s="40" t="s">
        <v>12</v>
      </c>
      <c r="D36" s="87">
        <f>D35*1.02</f>
        <v>2.0400000000000001E-3</v>
      </c>
      <c r="E36" s="90"/>
      <c r="F36" s="95"/>
      <c r="G36" s="95"/>
      <c r="H36" s="95">
        <v>3657.5</v>
      </c>
      <c r="I36" s="95">
        <f>ROUND(H36*D36,2)</f>
        <v>7.46</v>
      </c>
      <c r="J36" s="95">
        <f>ROUND(I36*1.2,2)</f>
        <v>8.9499999999999993</v>
      </c>
      <c r="K36" s="90">
        <f t="shared" si="7"/>
        <v>7.46</v>
      </c>
      <c r="L36" s="95">
        <f t="shared" si="8"/>
        <v>8.9499999999999993</v>
      </c>
    </row>
    <row r="37" spans="1:13" ht="18.75" customHeight="1" x14ac:dyDescent="0.25">
      <c r="A37" s="101">
        <f>A35+1</f>
        <v>9</v>
      </c>
      <c r="B37" s="117" t="s">
        <v>64</v>
      </c>
      <c r="C37" s="101" t="s">
        <v>23</v>
      </c>
      <c r="D37" s="114">
        <v>2</v>
      </c>
      <c r="E37" s="105">
        <v>1877.2569999999998</v>
      </c>
      <c r="F37" s="103">
        <f>ROUND(E37*D37,2)</f>
        <v>3754.51</v>
      </c>
      <c r="G37" s="103">
        <f>ROUND(F37*1.2,2)</f>
        <v>4505.41</v>
      </c>
      <c r="H37" s="113"/>
      <c r="I37" s="103"/>
      <c r="J37" s="103"/>
      <c r="K37" s="105">
        <f t="shared" si="7"/>
        <v>3754.51</v>
      </c>
      <c r="L37" s="103">
        <f t="shared" si="8"/>
        <v>4505.41</v>
      </c>
    </row>
    <row r="38" spans="1:13" ht="18.75" customHeight="1" x14ac:dyDescent="0.25">
      <c r="A38" s="112" t="s">
        <v>21</v>
      </c>
      <c r="B38" s="41" t="s">
        <v>62</v>
      </c>
      <c r="C38" s="40" t="s">
        <v>23</v>
      </c>
      <c r="D38" s="77">
        <v>2</v>
      </c>
      <c r="E38" s="90"/>
      <c r="F38" s="95"/>
      <c r="G38" s="95"/>
      <c r="H38" s="95">
        <v>7628.5</v>
      </c>
      <c r="I38" s="95">
        <f>ROUND(H38*D38,2)</f>
        <v>15257</v>
      </c>
      <c r="J38" s="95">
        <f>ROUND(I38*1.2,2)</f>
        <v>18308.400000000001</v>
      </c>
      <c r="K38" s="90">
        <f t="shared" si="7"/>
        <v>15257</v>
      </c>
      <c r="L38" s="95">
        <f t="shared" si="8"/>
        <v>18308.400000000001</v>
      </c>
    </row>
    <row r="39" spans="1:13" x14ac:dyDescent="0.25">
      <c r="A39" s="65"/>
      <c r="B39" s="35" t="s">
        <v>11</v>
      </c>
      <c r="C39" s="31"/>
      <c r="D39" s="34"/>
      <c r="E39" s="91"/>
      <c r="F39" s="25"/>
      <c r="G39" s="25"/>
      <c r="H39" s="94"/>
      <c r="I39" s="25"/>
      <c r="J39" s="25"/>
      <c r="K39" s="26"/>
      <c r="L39" s="25"/>
    </row>
    <row r="40" spans="1:13" ht="21" customHeight="1" x14ac:dyDescent="0.25">
      <c r="A40" s="106">
        <f>A37+1</f>
        <v>10</v>
      </c>
      <c r="B40" s="107" t="s">
        <v>10</v>
      </c>
      <c r="C40" s="106" t="s">
        <v>9</v>
      </c>
      <c r="D40" s="108">
        <v>12</v>
      </c>
      <c r="E40" s="109">
        <v>12000</v>
      </c>
      <c r="F40" s="110">
        <f>ROUND(E40*D40,2)</f>
        <v>144000</v>
      </c>
      <c r="G40" s="110">
        <f>ROUND(F40*1.2,2)</f>
        <v>172800</v>
      </c>
      <c r="H40" s="111"/>
      <c r="I40" s="110"/>
      <c r="J40" s="110"/>
      <c r="K40" s="109">
        <f>F40+I40</f>
        <v>144000</v>
      </c>
      <c r="L40" s="110">
        <f>G40+J40</f>
        <v>172800</v>
      </c>
      <c r="M40" s="51"/>
    </row>
    <row r="41" spans="1:13" s="89" customFormat="1" ht="22.5" customHeight="1" x14ac:dyDescent="0.3">
      <c r="A41" s="125" t="s">
        <v>8</v>
      </c>
      <c r="B41" s="126"/>
      <c r="C41" s="126"/>
      <c r="D41" s="126"/>
      <c r="E41" s="127"/>
      <c r="F41" s="96">
        <f>SUM(F7:F40)</f>
        <v>483992.54</v>
      </c>
      <c r="G41" s="96">
        <f>ROUND(F41*1.2,2)</f>
        <v>580791.05000000005</v>
      </c>
      <c r="H41" s="97"/>
      <c r="I41" s="96">
        <f>SUM(I7:I40)</f>
        <v>276123.32</v>
      </c>
      <c r="J41" s="96">
        <f>ROUND(I41*1.2,2)</f>
        <v>331347.98</v>
      </c>
      <c r="K41" s="96">
        <f>SUM(K7:K40)</f>
        <v>760115.86</v>
      </c>
      <c r="L41" s="96">
        <f>ROUND(K41*1.2,2)</f>
        <v>912139.03</v>
      </c>
    </row>
    <row r="43" spans="1:13" x14ac:dyDescent="0.25">
      <c r="B43" s="118" t="s">
        <v>160</v>
      </c>
    </row>
    <row r="44" spans="1:13" x14ac:dyDescent="0.25">
      <c r="B44" s="119" t="s">
        <v>161</v>
      </c>
    </row>
  </sheetData>
  <mergeCells count="10">
    <mergeCell ref="B6:D6"/>
    <mergeCell ref="A41:E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47"/>
  <sheetViews>
    <sheetView view="pageBreakPreview" topLeftCell="A16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8" t="s">
        <v>7</v>
      </c>
      <c r="B1" s="131" t="s">
        <v>56</v>
      </c>
      <c r="C1" s="134" t="s">
        <v>55</v>
      </c>
      <c r="D1" s="134" t="s">
        <v>54</v>
      </c>
      <c r="E1" s="135" t="s">
        <v>53</v>
      </c>
      <c r="F1" s="136"/>
      <c r="G1" s="136"/>
      <c r="H1" s="136"/>
      <c r="I1" s="136"/>
      <c r="J1" s="136"/>
      <c r="K1" s="136"/>
      <c r="L1" s="136"/>
    </row>
    <row r="2" spans="1:13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</row>
    <row r="3" spans="1:13" ht="27.75" customHeight="1" x14ac:dyDescent="0.25">
      <c r="A3" s="129"/>
      <c r="B3" s="132"/>
      <c r="C3" s="134"/>
      <c r="D3" s="134"/>
      <c r="E3" s="134" t="s">
        <v>52</v>
      </c>
      <c r="F3" s="134"/>
      <c r="G3" s="134"/>
      <c r="H3" s="134" t="s">
        <v>51</v>
      </c>
      <c r="I3" s="134"/>
      <c r="J3" s="134"/>
      <c r="K3" s="120" t="s">
        <v>50</v>
      </c>
      <c r="L3" s="120"/>
    </row>
    <row r="4" spans="1:13" ht="56.1" customHeight="1" x14ac:dyDescent="0.25">
      <c r="A4" s="130"/>
      <c r="B4" s="133"/>
      <c r="C4" s="134"/>
      <c r="D4" s="13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123" t="s">
        <v>109</v>
      </c>
      <c r="C6" s="124"/>
      <c r="D6" s="12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42" t="s">
        <v>76</v>
      </c>
      <c r="B8" s="78" t="s">
        <v>75</v>
      </c>
      <c r="C8" s="65" t="s">
        <v>12</v>
      </c>
      <c r="D8" s="79">
        <v>162.13999999999999</v>
      </c>
      <c r="E8" s="83">
        <v>1900</v>
      </c>
      <c r="F8" s="46">
        <f>ROUND(E8*D8,2)</f>
        <v>308066</v>
      </c>
      <c r="G8" s="46">
        <f>ROUND(F8*1.2,2)</f>
        <v>369679.2</v>
      </c>
      <c r="H8" s="52"/>
      <c r="I8" s="27"/>
      <c r="J8" s="27"/>
      <c r="K8" s="81">
        <f t="shared" ref="K8:L11" si="0">F8+I8</f>
        <v>308066</v>
      </c>
      <c r="L8" s="46">
        <f t="shared" si="0"/>
        <v>369679.2</v>
      </c>
      <c r="M8" s="82"/>
    </row>
    <row r="9" spans="1:13" ht="18.75" customHeight="1" x14ac:dyDescent="0.25">
      <c r="A9" s="42">
        <f>A8+1</f>
        <v>2</v>
      </c>
      <c r="B9" s="78" t="s">
        <v>74</v>
      </c>
      <c r="C9" s="65" t="s">
        <v>35</v>
      </c>
      <c r="D9" s="79">
        <v>9.24</v>
      </c>
      <c r="E9" s="25">
        <f>ROUND(65055.24/(297.03*0.05),2)</f>
        <v>4380.38</v>
      </c>
      <c r="F9" s="46">
        <f>ROUND(E9*D9,2)</f>
        <v>40474.71</v>
      </c>
      <c r="G9" s="46">
        <f>ROUND(F9*1.2,2)</f>
        <v>48569.65</v>
      </c>
      <c r="H9" s="52"/>
      <c r="I9" s="27"/>
      <c r="J9" s="27"/>
      <c r="K9" s="81">
        <f t="shared" si="0"/>
        <v>40474.71</v>
      </c>
      <c r="L9" s="46">
        <f t="shared" si="0"/>
        <v>48569.65</v>
      </c>
      <c r="M9" s="48" t="s">
        <v>72</v>
      </c>
    </row>
    <row r="10" spans="1:13" ht="18.75" customHeight="1" x14ac:dyDescent="0.25">
      <c r="A10" s="42">
        <f>A9+1</f>
        <v>3</v>
      </c>
      <c r="B10" s="78" t="s">
        <v>73</v>
      </c>
      <c r="C10" s="65" t="s">
        <v>35</v>
      </c>
      <c r="D10" s="79">
        <v>9.73</v>
      </c>
      <c r="E10" s="52">
        <v>304</v>
      </c>
      <c r="F10" s="46">
        <f>ROUND(E10*D10,2)</f>
        <v>2957.92</v>
      </c>
      <c r="G10" s="46">
        <f>ROUND(F10*1.2,2)</f>
        <v>3549.5</v>
      </c>
      <c r="H10" s="27"/>
      <c r="I10" s="27"/>
      <c r="J10" s="27"/>
      <c r="K10" s="81">
        <f t="shared" si="0"/>
        <v>2957.92</v>
      </c>
      <c r="L10" s="27">
        <f t="shared" si="0"/>
        <v>3549.5</v>
      </c>
      <c r="M10" s="48" t="s">
        <v>72</v>
      </c>
    </row>
    <row r="11" spans="1:13" ht="18.75" customHeight="1" x14ac:dyDescent="0.25">
      <c r="A11" s="42">
        <f>A10+1</f>
        <v>4</v>
      </c>
      <c r="B11" s="78" t="s">
        <v>71</v>
      </c>
      <c r="C11" s="65" t="s">
        <v>35</v>
      </c>
      <c r="D11" s="79">
        <f>D9+D10</f>
        <v>18.97</v>
      </c>
      <c r="E11" s="25">
        <v>544.86</v>
      </c>
      <c r="F11" s="46">
        <f>ROUND(E11*D11,2)</f>
        <v>10335.99</v>
      </c>
      <c r="G11" s="46">
        <f>ROUND(F11*1.2,2)</f>
        <v>12403.19</v>
      </c>
      <c r="H11" s="52"/>
      <c r="I11" s="27"/>
      <c r="J11" s="27"/>
      <c r="K11" s="81">
        <f t="shared" si="0"/>
        <v>10335.99</v>
      </c>
      <c r="L11" s="27">
        <f t="shared" si="0"/>
        <v>12403.19</v>
      </c>
      <c r="M11" s="48" t="s">
        <v>70</v>
      </c>
    </row>
    <row r="12" spans="1:13" ht="18.75" customHeight="1" x14ac:dyDescent="0.25">
      <c r="A12" s="33"/>
      <c r="B12" s="59" t="s">
        <v>43</v>
      </c>
      <c r="C12" s="31"/>
      <c r="D12" s="30"/>
      <c r="E12" s="52"/>
      <c r="F12" s="25"/>
      <c r="G12" s="25"/>
      <c r="H12" s="52"/>
      <c r="I12" s="25"/>
      <c r="J12" s="25"/>
      <c r="K12" s="26"/>
      <c r="L12" s="25"/>
      <c r="M12" s="48"/>
    </row>
    <row r="13" spans="1:13" ht="18.75" customHeight="1" x14ac:dyDescent="0.25">
      <c r="A13" s="80">
        <f>A11+1</f>
        <v>5</v>
      </c>
      <c r="B13" s="78" t="s">
        <v>93</v>
      </c>
      <c r="C13" s="31" t="s">
        <v>35</v>
      </c>
      <c r="D13" s="34">
        <v>39.4</v>
      </c>
      <c r="E13" s="52">
        <v>1688.1499999999999</v>
      </c>
      <c r="F13" s="46">
        <f>ROUND(E13*D13,2)</f>
        <v>66513.11</v>
      </c>
      <c r="G13" s="46">
        <f>ROUND(F13*1.2,2)</f>
        <v>79815.73</v>
      </c>
      <c r="H13" s="52"/>
      <c r="I13" s="25"/>
      <c r="J13" s="25"/>
      <c r="K13" s="26">
        <f t="shared" ref="K13:L20" si="1">F13+I13</f>
        <v>66513.11</v>
      </c>
      <c r="L13" s="25">
        <f t="shared" si="1"/>
        <v>79815.73</v>
      </c>
      <c r="M13" s="48"/>
    </row>
    <row r="14" spans="1:13" ht="18.75" customHeight="1" x14ac:dyDescent="0.25">
      <c r="A14" s="33">
        <f>A13+1</f>
        <v>6</v>
      </c>
      <c r="B14" s="78" t="s">
        <v>68</v>
      </c>
      <c r="C14" s="65" t="s">
        <v>35</v>
      </c>
      <c r="D14" s="79">
        <v>4.8600000000000003</v>
      </c>
      <c r="E14" s="52">
        <v>1310.05</v>
      </c>
      <c r="F14" s="46">
        <f>ROUND(E14*D14,2)</f>
        <v>6366.84</v>
      </c>
      <c r="G14" s="46">
        <f>ROUND(F14*1.2,2)</f>
        <v>7640.21</v>
      </c>
      <c r="H14" s="27"/>
      <c r="I14" s="44"/>
      <c r="J14" s="44"/>
      <c r="K14" s="26">
        <f t="shared" si="1"/>
        <v>6366.84</v>
      </c>
      <c r="L14" s="25">
        <f t="shared" si="1"/>
        <v>7640.21</v>
      </c>
      <c r="M14" s="48"/>
    </row>
    <row r="15" spans="1:13" ht="18.75" customHeight="1" x14ac:dyDescent="0.25">
      <c r="A15" s="42" t="s">
        <v>30</v>
      </c>
      <c r="B15" s="41" t="s">
        <v>37</v>
      </c>
      <c r="C15" s="40" t="s">
        <v>35</v>
      </c>
      <c r="D15" s="39">
        <f>D14*1.1</f>
        <v>5.346000000000001</v>
      </c>
      <c r="E15" s="38"/>
      <c r="F15" s="36"/>
      <c r="G15" s="36"/>
      <c r="H15" s="36">
        <v>1191.3</v>
      </c>
      <c r="I15" s="36">
        <f>ROUND(H15*D15,2)</f>
        <v>6368.69</v>
      </c>
      <c r="J15" s="36">
        <f>ROUND(I15*1.2,2)</f>
        <v>7642.43</v>
      </c>
      <c r="K15" s="37">
        <f t="shared" si="1"/>
        <v>6368.69</v>
      </c>
      <c r="L15" s="36">
        <f t="shared" si="1"/>
        <v>7642.43</v>
      </c>
      <c r="M15" s="48"/>
    </row>
    <row r="16" spans="1:13" ht="29.25" customHeight="1" x14ac:dyDescent="0.25">
      <c r="A16" s="33">
        <f>A14+1</f>
        <v>7</v>
      </c>
      <c r="B16" s="32" t="s">
        <v>67</v>
      </c>
      <c r="C16" s="31" t="s">
        <v>35</v>
      </c>
      <c r="D16" s="34">
        <v>16.29</v>
      </c>
      <c r="E16" s="52">
        <v>1310.05</v>
      </c>
      <c r="F16" s="46">
        <f>ROUND(E16*D16,2)</f>
        <v>21340.71</v>
      </c>
      <c r="G16" s="46">
        <f>ROUND(F16*1.2,2)</f>
        <v>25608.85</v>
      </c>
      <c r="H16" s="27"/>
      <c r="I16" s="25"/>
      <c r="J16" s="25"/>
      <c r="K16" s="26">
        <f t="shared" si="1"/>
        <v>21340.71</v>
      </c>
      <c r="L16" s="25">
        <f t="shared" si="1"/>
        <v>25608.85</v>
      </c>
      <c r="M16" s="48"/>
    </row>
    <row r="17" spans="1:13" ht="18.75" customHeight="1" x14ac:dyDescent="0.25">
      <c r="A17" s="42" t="s">
        <v>28</v>
      </c>
      <c r="B17" s="41" t="s">
        <v>37</v>
      </c>
      <c r="C17" s="40" t="s">
        <v>35</v>
      </c>
      <c r="D17" s="39">
        <f>D16*1.1</f>
        <v>17.919</v>
      </c>
      <c r="E17" s="38"/>
      <c r="F17" s="36"/>
      <c r="G17" s="36"/>
      <c r="H17" s="36">
        <v>1191.3</v>
      </c>
      <c r="I17" s="36">
        <f>ROUND(H17*D17,2)</f>
        <v>21346.9</v>
      </c>
      <c r="J17" s="36">
        <f>ROUND(I17*1.2,2)</f>
        <v>25616.28</v>
      </c>
      <c r="K17" s="37">
        <f t="shared" si="1"/>
        <v>21346.9</v>
      </c>
      <c r="L17" s="36">
        <f t="shared" si="1"/>
        <v>25616.28</v>
      </c>
      <c r="M17" s="48"/>
    </row>
    <row r="18" spans="1:13" ht="18.75" customHeight="1" x14ac:dyDescent="0.25">
      <c r="A18" s="33">
        <f>A16+1</f>
        <v>8</v>
      </c>
      <c r="B18" s="32" t="s">
        <v>36</v>
      </c>
      <c r="C18" s="31" t="s">
        <v>35</v>
      </c>
      <c r="D18" s="34">
        <v>36</v>
      </c>
      <c r="E18" s="52">
        <v>854.05</v>
      </c>
      <c r="F18" s="46">
        <f>ROUND(E18*D18,2)</f>
        <v>30745.8</v>
      </c>
      <c r="G18" s="46">
        <f>ROUND(F18*1.2,2)</f>
        <v>36894.959999999999</v>
      </c>
      <c r="H18" s="52"/>
      <c r="I18" s="25"/>
      <c r="J18" s="25"/>
      <c r="K18" s="26">
        <f t="shared" si="1"/>
        <v>30745.8</v>
      </c>
      <c r="L18" s="25">
        <f t="shared" si="1"/>
        <v>36894.959999999999</v>
      </c>
      <c r="M18" s="48"/>
    </row>
    <row r="19" spans="1:13" ht="18.75" customHeight="1" x14ac:dyDescent="0.25">
      <c r="A19" s="33">
        <f>A18+1</f>
        <v>9</v>
      </c>
      <c r="B19" s="32" t="s">
        <v>66</v>
      </c>
      <c r="C19" s="31" t="s">
        <v>35</v>
      </c>
      <c r="D19" s="34">
        <v>36</v>
      </c>
      <c r="E19" s="52">
        <v>188.1</v>
      </c>
      <c r="F19" s="46">
        <f>ROUND(E19*D19,2)</f>
        <v>6771.6</v>
      </c>
      <c r="G19" s="46">
        <f>ROUND(F19*1.2,2)</f>
        <v>8125.92</v>
      </c>
      <c r="H19" s="26"/>
      <c r="I19" s="27"/>
      <c r="J19" s="27"/>
      <c r="K19" s="26">
        <f t="shared" si="1"/>
        <v>6771.6</v>
      </c>
      <c r="L19" s="25">
        <f t="shared" si="1"/>
        <v>8125.92</v>
      </c>
      <c r="M19" s="48"/>
    </row>
    <row r="20" spans="1:13" ht="18.75" customHeight="1" x14ac:dyDescent="0.25">
      <c r="A20" s="33">
        <f>A19+1</f>
        <v>10</v>
      </c>
      <c r="B20" s="32" t="s">
        <v>34</v>
      </c>
      <c r="C20" s="31" t="s">
        <v>33</v>
      </c>
      <c r="D20" s="34">
        <v>42.5</v>
      </c>
      <c r="E20" s="52">
        <v>308.75</v>
      </c>
      <c r="F20" s="46">
        <f>ROUND(E20*D20,2)</f>
        <v>13121.88</v>
      </c>
      <c r="G20" s="46">
        <f>ROUND(F20*1.2,2)</f>
        <v>15746.26</v>
      </c>
      <c r="H20" s="52"/>
      <c r="I20" s="25"/>
      <c r="J20" s="25"/>
      <c r="K20" s="26">
        <f t="shared" si="1"/>
        <v>13121.88</v>
      </c>
      <c r="L20" s="25">
        <f t="shared" si="1"/>
        <v>15746.26</v>
      </c>
      <c r="M20" s="48"/>
    </row>
    <row r="21" spans="1:13" ht="18.75" customHeight="1" x14ac:dyDescent="0.25">
      <c r="A21" s="33"/>
      <c r="B21" s="59" t="s">
        <v>32</v>
      </c>
      <c r="C21" s="31"/>
      <c r="D21" s="34"/>
      <c r="E21" s="52"/>
      <c r="F21" s="46"/>
      <c r="G21" s="46"/>
      <c r="H21" s="52"/>
      <c r="I21" s="25"/>
      <c r="J21" s="25"/>
      <c r="K21" s="26"/>
      <c r="L21" s="25"/>
      <c r="M21" s="48"/>
    </row>
    <row r="22" spans="1:13" ht="33.75" customHeight="1" x14ac:dyDescent="0.25">
      <c r="A22" s="33">
        <f>A20+1</f>
        <v>11</v>
      </c>
      <c r="B22" s="32" t="s">
        <v>92</v>
      </c>
      <c r="C22" s="31" t="s">
        <v>23</v>
      </c>
      <c r="D22" s="30">
        <v>4</v>
      </c>
      <c r="E22" s="52">
        <v>14574.85</v>
      </c>
      <c r="F22" s="46">
        <f>ROUND(E22*D22,2)</f>
        <v>58299.4</v>
      </c>
      <c r="G22" s="46">
        <f>ROUND(F22*1.2,2)</f>
        <v>69959.28</v>
      </c>
      <c r="H22" s="45"/>
      <c r="I22" s="44"/>
      <c r="J22" s="44"/>
      <c r="K22" s="26">
        <f t="shared" ref="K22:K41" si="2">F22+I22</f>
        <v>58299.4</v>
      </c>
      <c r="L22" s="25">
        <f t="shared" ref="L22:L41" si="3">G22+J22</f>
        <v>69959.28</v>
      </c>
      <c r="M22" s="51" t="s">
        <v>78</v>
      </c>
    </row>
    <row r="23" spans="1:13" ht="18.75" customHeight="1" x14ac:dyDescent="0.25">
      <c r="A23" s="42" t="s">
        <v>14</v>
      </c>
      <c r="B23" s="41" t="s">
        <v>88</v>
      </c>
      <c r="C23" s="40" t="s">
        <v>12</v>
      </c>
      <c r="D23" s="39">
        <f>1.02*8</f>
        <v>8.16</v>
      </c>
      <c r="E23" s="38"/>
      <c r="F23" s="36">
        <f>ROUND(E23*D23,2)</f>
        <v>0</v>
      </c>
      <c r="G23" s="36">
        <f>ROUND(F23*1.2,2)</f>
        <v>0</v>
      </c>
      <c r="H23" s="36">
        <f>ROUND(137.5*1.15,2)</f>
        <v>158.13</v>
      </c>
      <c r="I23" s="36">
        <f>ROUND(H23*D23,2)</f>
        <v>1290.3399999999999</v>
      </c>
      <c r="J23" s="36">
        <f>ROUND(I23*1.2,2)</f>
        <v>1548.41</v>
      </c>
      <c r="K23" s="37">
        <f t="shared" si="2"/>
        <v>1290.3399999999999</v>
      </c>
      <c r="L23" s="36">
        <f t="shared" si="3"/>
        <v>1548.41</v>
      </c>
      <c r="M23" s="68" t="s">
        <v>16</v>
      </c>
    </row>
    <row r="24" spans="1:13" ht="18.75" customHeight="1" x14ac:dyDescent="0.25">
      <c r="A24" s="33">
        <f>A22+1</f>
        <v>12</v>
      </c>
      <c r="B24" s="32" t="s">
        <v>90</v>
      </c>
      <c r="C24" s="31" t="s">
        <v>12</v>
      </c>
      <c r="D24" s="34">
        <v>60.36</v>
      </c>
      <c r="E24" s="52">
        <v>966.15</v>
      </c>
      <c r="F24" s="46">
        <f>ROUND(E24*D24,2)</f>
        <v>58316.81</v>
      </c>
      <c r="G24" s="46">
        <f>ROUND(F24*1.2,2)</f>
        <v>69980.17</v>
      </c>
      <c r="H24" s="45"/>
      <c r="I24" s="44"/>
      <c r="J24" s="44"/>
      <c r="K24" s="26">
        <f t="shared" si="2"/>
        <v>58316.81</v>
      </c>
      <c r="L24" s="25">
        <f t="shared" si="3"/>
        <v>69980.17</v>
      </c>
    </row>
    <row r="25" spans="1:13" ht="18.75" customHeight="1" x14ac:dyDescent="0.25">
      <c r="A25" s="42" t="s">
        <v>91</v>
      </c>
      <c r="B25" s="41" t="s">
        <v>88</v>
      </c>
      <c r="C25" s="40" t="s">
        <v>12</v>
      </c>
      <c r="D25" s="39">
        <f>1.02*60.36</f>
        <v>61.5672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9735.6200000000008</v>
      </c>
      <c r="J25" s="36">
        <f>ROUND(I25*1.2,2)</f>
        <v>11682.74</v>
      </c>
      <c r="K25" s="37">
        <f t="shared" si="2"/>
        <v>9735.6200000000008</v>
      </c>
      <c r="L25" s="36">
        <f t="shared" si="3"/>
        <v>11682.74</v>
      </c>
      <c r="M25" s="68" t="s">
        <v>16</v>
      </c>
    </row>
    <row r="26" spans="1:13" ht="18.75" customHeight="1" x14ac:dyDescent="0.25">
      <c r="A26" s="65">
        <f>A24+1</f>
        <v>13</v>
      </c>
      <c r="B26" s="47" t="s">
        <v>64</v>
      </c>
      <c r="C26" s="31" t="s">
        <v>23</v>
      </c>
      <c r="D26" s="30">
        <v>4</v>
      </c>
      <c r="E26" s="29">
        <v>1877.2569999999998</v>
      </c>
      <c r="F26" s="46">
        <f>ROUND(E26*D26,2)</f>
        <v>7509.03</v>
      </c>
      <c r="G26" s="46">
        <f>ROUND(F26*1.2,2)</f>
        <v>9010.84</v>
      </c>
      <c r="H26" s="45"/>
      <c r="I26" s="44"/>
      <c r="J26" s="44"/>
      <c r="K26" s="26">
        <f t="shared" si="2"/>
        <v>7509.03</v>
      </c>
      <c r="L26" s="25">
        <f t="shared" si="3"/>
        <v>9010.84</v>
      </c>
    </row>
    <row r="27" spans="1:13" ht="18.75" customHeight="1" x14ac:dyDescent="0.25">
      <c r="A27" s="42" t="s">
        <v>89</v>
      </c>
      <c r="B27" s="41" t="s">
        <v>62</v>
      </c>
      <c r="C27" s="40" t="s">
        <v>23</v>
      </c>
      <c r="D27" s="77">
        <v>4</v>
      </c>
      <c r="E27" s="38"/>
      <c r="F27" s="36"/>
      <c r="G27" s="36"/>
      <c r="H27" s="36">
        <v>7628.5</v>
      </c>
      <c r="I27" s="36">
        <f>ROUND(H27*D27,2)</f>
        <v>30514</v>
      </c>
      <c r="J27" s="36">
        <f>ROUND(I27*1.2,2)</f>
        <v>36616.800000000003</v>
      </c>
      <c r="K27" s="37">
        <f t="shared" si="2"/>
        <v>30514</v>
      </c>
      <c r="L27" s="36">
        <f t="shared" si="3"/>
        <v>36616.800000000003</v>
      </c>
    </row>
    <row r="28" spans="1:13" ht="24.75" customHeight="1" x14ac:dyDescent="0.25">
      <c r="A28" s="65">
        <f>A26+1</f>
        <v>14</v>
      </c>
      <c r="B28" s="32" t="s">
        <v>110</v>
      </c>
      <c r="C28" s="65" t="s">
        <v>12</v>
      </c>
      <c r="D28" s="30">
        <v>8</v>
      </c>
      <c r="E28" s="52">
        <v>167.2</v>
      </c>
      <c r="F28" s="46">
        <f>ROUND(E28*D28,2)</f>
        <v>1337.6</v>
      </c>
      <c r="G28" s="46">
        <f>ROUND(F28*1.2,2)</f>
        <v>1605.12</v>
      </c>
      <c r="H28" s="45"/>
      <c r="I28" s="44"/>
      <c r="J28" s="44"/>
      <c r="K28" s="26">
        <f t="shared" si="2"/>
        <v>1337.6</v>
      </c>
      <c r="L28" s="25">
        <f t="shared" si="3"/>
        <v>1605.12</v>
      </c>
      <c r="M28" s="24"/>
    </row>
    <row r="29" spans="1:13" ht="18.75" customHeight="1" x14ac:dyDescent="0.25">
      <c r="A29" s="42" t="s">
        <v>65</v>
      </c>
      <c r="B29" s="41" t="s">
        <v>84</v>
      </c>
      <c r="C29" s="40" t="s">
        <v>12</v>
      </c>
      <c r="D29" s="39">
        <f>D28*1.02</f>
        <v>8.16</v>
      </c>
      <c r="E29" s="38"/>
      <c r="F29" s="36"/>
      <c r="G29" s="36"/>
      <c r="H29" s="36">
        <f>ROUND(671.5*1.15,2)</f>
        <v>772.23</v>
      </c>
      <c r="I29" s="36">
        <f>ROUND(H29*D29,2)</f>
        <v>6301.4</v>
      </c>
      <c r="J29" s="36">
        <f>ROUND(I29*1.2,2)</f>
        <v>7561.68</v>
      </c>
      <c r="K29" s="37">
        <f t="shared" si="2"/>
        <v>6301.4</v>
      </c>
      <c r="L29" s="36">
        <f t="shared" si="3"/>
        <v>7561.68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111</v>
      </c>
      <c r="C30" s="65" t="s">
        <v>12</v>
      </c>
      <c r="D30" s="34">
        <v>60.34</v>
      </c>
      <c r="E30" s="52">
        <v>167.2</v>
      </c>
      <c r="F30" s="46">
        <f>ROUND(E30*D30,2)</f>
        <v>10088.85</v>
      </c>
      <c r="G30" s="46">
        <f>ROUND(F30*1.2,2)</f>
        <v>12106.62</v>
      </c>
      <c r="H30" s="45"/>
      <c r="I30" s="44"/>
      <c r="J30" s="44"/>
      <c r="K30" s="26">
        <f t="shared" si="2"/>
        <v>10088.85</v>
      </c>
      <c r="L30" s="25">
        <f t="shared" si="3"/>
        <v>12106.62</v>
      </c>
      <c r="M30" s="24"/>
    </row>
    <row r="31" spans="1:13" ht="18.75" customHeight="1" x14ac:dyDescent="0.25">
      <c r="A31" s="42" t="s">
        <v>63</v>
      </c>
      <c r="B31" s="41" t="s">
        <v>84</v>
      </c>
      <c r="C31" s="40" t="s">
        <v>12</v>
      </c>
      <c r="D31" s="39">
        <f>D30*1.02</f>
        <v>61.546800000000005</v>
      </c>
      <c r="E31" s="38"/>
      <c r="F31" s="36"/>
      <c r="G31" s="36"/>
      <c r="H31" s="36">
        <f>ROUND(671.5*1.15,2)</f>
        <v>772.23</v>
      </c>
      <c r="I31" s="36">
        <f>ROUND(H31*D31,2)</f>
        <v>47528.29</v>
      </c>
      <c r="J31" s="36">
        <f>ROUND(I31*1.2,2)</f>
        <v>57033.95</v>
      </c>
      <c r="K31" s="37">
        <f t="shared" si="2"/>
        <v>47528.29</v>
      </c>
      <c r="L31" s="36">
        <f t="shared" si="3"/>
        <v>57033.95</v>
      </c>
      <c r="M31" s="68" t="s">
        <v>16</v>
      </c>
    </row>
    <row r="32" spans="1:13" ht="33" customHeight="1" x14ac:dyDescent="0.25">
      <c r="A32" s="65">
        <f>A30+1</f>
        <v>16</v>
      </c>
      <c r="B32" s="32" t="s">
        <v>87</v>
      </c>
      <c r="C32" s="65" t="s">
        <v>12</v>
      </c>
      <c r="D32" s="34">
        <v>44.7</v>
      </c>
      <c r="E32" s="52">
        <f>ROUND(489.19*1.33,2)</f>
        <v>650.62</v>
      </c>
      <c r="F32" s="46">
        <f>ROUND(E32*D32,2)</f>
        <v>29082.71</v>
      </c>
      <c r="G32" s="46">
        <f>ROUND(F32*1.2,2)</f>
        <v>34899.25</v>
      </c>
      <c r="H32" s="45"/>
      <c r="I32" s="44"/>
      <c r="J32" s="44"/>
      <c r="K32" s="26">
        <f t="shared" si="2"/>
        <v>29082.71</v>
      </c>
      <c r="L32" s="25">
        <f t="shared" si="3"/>
        <v>34899.25</v>
      </c>
      <c r="M32" s="24"/>
    </row>
    <row r="33" spans="1:13" ht="18.75" customHeight="1" x14ac:dyDescent="0.25">
      <c r="A33" s="42" t="s">
        <v>61</v>
      </c>
      <c r="B33" s="41" t="s">
        <v>84</v>
      </c>
      <c r="C33" s="40" t="s">
        <v>12</v>
      </c>
      <c r="D33" s="39">
        <f>D32*1.02</f>
        <v>45.594000000000001</v>
      </c>
      <c r="E33" s="38"/>
      <c r="F33" s="36"/>
      <c r="G33" s="36"/>
      <c r="H33" s="36">
        <f>ROUND(671.5*1.15,2)</f>
        <v>772.23</v>
      </c>
      <c r="I33" s="36">
        <f>ROUND(H33*D33,2)</f>
        <v>35209.050000000003</v>
      </c>
      <c r="J33" s="36">
        <f>ROUND(I33*1.2,2)</f>
        <v>42250.86</v>
      </c>
      <c r="K33" s="37">
        <f t="shared" si="2"/>
        <v>35209.050000000003</v>
      </c>
      <c r="L33" s="36">
        <f t="shared" si="3"/>
        <v>42250.86</v>
      </c>
      <c r="M33" s="68" t="s">
        <v>16</v>
      </c>
    </row>
    <row r="34" spans="1:13" ht="30.75" customHeight="1" x14ac:dyDescent="0.25">
      <c r="A34" s="65">
        <f>A32+1</f>
        <v>17</v>
      </c>
      <c r="B34" s="32" t="s">
        <v>86</v>
      </c>
      <c r="C34" s="65" t="s">
        <v>12</v>
      </c>
      <c r="D34" s="34">
        <v>16</v>
      </c>
      <c r="E34" s="52">
        <f>ROUND(489.19*1.33,2)</f>
        <v>650.62</v>
      </c>
      <c r="F34" s="46">
        <f>ROUND(E34*D34,2)</f>
        <v>10409.92</v>
      </c>
      <c r="G34" s="46">
        <f>ROUND(F34*1.2,2)</f>
        <v>12491.9</v>
      </c>
      <c r="H34" s="45"/>
      <c r="I34" s="44"/>
      <c r="J34" s="44"/>
      <c r="K34" s="26">
        <f t="shared" si="2"/>
        <v>10409.92</v>
      </c>
      <c r="L34" s="25">
        <f t="shared" si="3"/>
        <v>12491.9</v>
      </c>
      <c r="M34" s="24"/>
    </row>
    <row r="35" spans="1:13" ht="18.75" customHeight="1" x14ac:dyDescent="0.25">
      <c r="A35" s="42" t="s">
        <v>60</v>
      </c>
      <c r="B35" s="41" t="s">
        <v>84</v>
      </c>
      <c r="C35" s="40" t="s">
        <v>12</v>
      </c>
      <c r="D35" s="39">
        <f>D34*1.02</f>
        <v>16.32</v>
      </c>
      <c r="E35" s="38"/>
      <c r="F35" s="36"/>
      <c r="G35" s="36"/>
      <c r="H35" s="36">
        <f>ROUND(671.5*1.15,2)</f>
        <v>772.23</v>
      </c>
      <c r="I35" s="36">
        <f>ROUND(H35*D35,2)</f>
        <v>12602.79</v>
      </c>
      <c r="J35" s="36">
        <f>ROUND(I35*1.2,2)</f>
        <v>15123.35</v>
      </c>
      <c r="K35" s="37">
        <f t="shared" si="2"/>
        <v>12602.79</v>
      </c>
      <c r="L35" s="36">
        <f t="shared" si="3"/>
        <v>15123.35</v>
      </c>
      <c r="M35" s="68" t="s">
        <v>16</v>
      </c>
    </row>
    <row r="36" spans="1:13" ht="18.75" customHeight="1" x14ac:dyDescent="0.25">
      <c r="A36" s="65">
        <f>A34+1</f>
        <v>18</v>
      </c>
      <c r="B36" s="32" t="s">
        <v>85</v>
      </c>
      <c r="C36" s="65" t="s">
        <v>12</v>
      </c>
      <c r="D36" s="34">
        <v>100.28</v>
      </c>
      <c r="E36" s="52">
        <v>79.8</v>
      </c>
      <c r="F36" s="46">
        <f>ROUND(E36*D36,2)</f>
        <v>8002.34</v>
      </c>
      <c r="G36" s="46">
        <f>ROUND(F36*1.2,2)</f>
        <v>9602.81</v>
      </c>
      <c r="H36" s="45"/>
      <c r="I36" s="44"/>
      <c r="J36" s="44"/>
      <c r="K36" s="26">
        <f t="shared" si="2"/>
        <v>8002.34</v>
      </c>
      <c r="L36" s="25">
        <f t="shared" si="3"/>
        <v>9602.81</v>
      </c>
      <c r="M36" s="68"/>
    </row>
    <row r="37" spans="1:13" ht="18.75" customHeight="1" x14ac:dyDescent="0.25">
      <c r="A37" s="42" t="s">
        <v>59</v>
      </c>
      <c r="B37" s="41" t="s">
        <v>84</v>
      </c>
      <c r="C37" s="40" t="s">
        <v>12</v>
      </c>
      <c r="D37" s="39">
        <f>D36*1.02</f>
        <v>102.2856</v>
      </c>
      <c r="E37" s="38"/>
      <c r="F37" s="36"/>
      <c r="G37" s="36"/>
      <c r="H37" s="36">
        <f>ROUND(671.5*1.15,2)</f>
        <v>772.23</v>
      </c>
      <c r="I37" s="36">
        <f>ROUND(H37*D37,2)</f>
        <v>78988.009999999995</v>
      </c>
      <c r="J37" s="36">
        <f>ROUND(I37*1.2,2)</f>
        <v>94785.61</v>
      </c>
      <c r="K37" s="37">
        <f t="shared" si="2"/>
        <v>78988.009999999995</v>
      </c>
      <c r="L37" s="36">
        <f t="shared" si="3"/>
        <v>94785.61</v>
      </c>
      <c r="M37" s="68" t="s">
        <v>16</v>
      </c>
    </row>
    <row r="38" spans="1:13" ht="18.75" customHeight="1" x14ac:dyDescent="0.25">
      <c r="A38" s="65">
        <f>A36+1</f>
        <v>19</v>
      </c>
      <c r="B38" s="47" t="s">
        <v>15</v>
      </c>
      <c r="C38" s="31" t="s">
        <v>12</v>
      </c>
      <c r="D38" s="34">
        <v>102</v>
      </c>
      <c r="E38" s="29">
        <v>17.53</v>
      </c>
      <c r="F38" s="46">
        <f>ROUND(E38*D38,2)</f>
        <v>1788.06</v>
      </c>
      <c r="G38" s="46">
        <f>ROUND(F38*1.2,2)</f>
        <v>2145.67</v>
      </c>
      <c r="H38" s="45"/>
      <c r="I38" s="44"/>
      <c r="J38" s="44"/>
      <c r="K38" s="26">
        <f t="shared" si="2"/>
        <v>1788.06</v>
      </c>
      <c r="L38" s="25">
        <f t="shared" si="3"/>
        <v>2145.67</v>
      </c>
      <c r="M38" s="68"/>
    </row>
    <row r="39" spans="1:13" ht="18.75" customHeight="1" x14ac:dyDescent="0.25">
      <c r="A39" s="42" t="s">
        <v>58</v>
      </c>
      <c r="B39" s="41" t="s">
        <v>13</v>
      </c>
      <c r="C39" s="40" t="s">
        <v>12</v>
      </c>
      <c r="D39" s="39">
        <v>102</v>
      </c>
      <c r="E39" s="38"/>
      <c r="F39" s="36"/>
      <c r="G39" s="36"/>
      <c r="H39" s="36">
        <v>18.34</v>
      </c>
      <c r="I39" s="36">
        <f>ROUND(H39*D39,2)</f>
        <v>1870.68</v>
      </c>
      <c r="J39" s="36">
        <f>ROUND(I39*1.2,2)</f>
        <v>2244.8200000000002</v>
      </c>
      <c r="K39" s="37">
        <f t="shared" si="2"/>
        <v>1870.68</v>
      </c>
      <c r="L39" s="36">
        <f t="shared" si="3"/>
        <v>2244.8200000000002</v>
      </c>
    </row>
    <row r="40" spans="1:13" ht="33.75" customHeight="1" x14ac:dyDescent="0.25">
      <c r="A40" s="65">
        <f>A38+1</f>
        <v>20</v>
      </c>
      <c r="B40" s="32" t="s">
        <v>83</v>
      </c>
      <c r="C40" s="31" t="s">
        <v>23</v>
      </c>
      <c r="D40" s="30">
        <v>4</v>
      </c>
      <c r="E40" s="52">
        <f>ROUND(11914.9*1.33,2)</f>
        <v>15846.82</v>
      </c>
      <c r="F40" s="46">
        <f>ROUND(E40*D40,2)</f>
        <v>63387.28</v>
      </c>
      <c r="G40" s="46">
        <f>ROUND(F40*1.2,2)</f>
        <v>76064.740000000005</v>
      </c>
      <c r="H40" s="45"/>
      <c r="I40" s="44"/>
      <c r="J40" s="44"/>
      <c r="K40" s="26">
        <f t="shared" si="2"/>
        <v>63387.28</v>
      </c>
      <c r="L40" s="25">
        <f t="shared" si="3"/>
        <v>76064.740000000005</v>
      </c>
      <c r="M40" s="24"/>
    </row>
    <row r="41" spans="1:13" ht="18.75" customHeight="1" x14ac:dyDescent="0.25">
      <c r="A41" s="42" t="s">
        <v>57</v>
      </c>
      <c r="B41" s="41" t="s">
        <v>82</v>
      </c>
      <c r="C41" s="40" t="s">
        <v>23</v>
      </c>
      <c r="D41" s="49">
        <v>4</v>
      </c>
      <c r="E41" s="38"/>
      <c r="F41" s="36"/>
      <c r="G41" s="36"/>
      <c r="H41" s="36">
        <f>ROUND(2510/1.2*1.15,2)</f>
        <v>2405.42</v>
      </c>
      <c r="I41" s="36">
        <f>ROUND(H41*D41,2)</f>
        <v>9621.68</v>
      </c>
      <c r="J41" s="36">
        <f>ROUND(I41*1.2,2)</f>
        <v>11546.02</v>
      </c>
      <c r="K41" s="37">
        <f t="shared" si="2"/>
        <v>9621.68</v>
      </c>
      <c r="L41" s="36">
        <f t="shared" si="3"/>
        <v>11546.02</v>
      </c>
      <c r="M41" s="68" t="s">
        <v>16</v>
      </c>
    </row>
    <row r="42" spans="1:13" ht="18.75" customHeight="1" x14ac:dyDescent="0.25">
      <c r="A42" s="33"/>
      <c r="B42" s="35" t="s">
        <v>81</v>
      </c>
      <c r="C42" s="31"/>
      <c r="D42" s="30"/>
      <c r="E42" s="29"/>
      <c r="F42" s="27"/>
      <c r="G42" s="27"/>
      <c r="H42" s="28"/>
      <c r="I42" s="27"/>
      <c r="J42" s="27"/>
      <c r="K42" s="26"/>
      <c r="L42" s="25"/>
      <c r="M42" s="24"/>
    </row>
    <row r="43" spans="1:13" ht="31.5" customHeight="1" x14ac:dyDescent="0.25">
      <c r="A43" s="33">
        <f>A40+1</f>
        <v>21</v>
      </c>
      <c r="B43" s="32" t="s">
        <v>80</v>
      </c>
      <c r="C43" s="31" t="s">
        <v>23</v>
      </c>
      <c r="D43" s="30">
        <v>4</v>
      </c>
      <c r="E43" s="29">
        <f>ROUND(685.19*1.33,2)</f>
        <v>911.3</v>
      </c>
      <c r="F43" s="46">
        <f>ROUND(E43*D43,2)</f>
        <v>3645.2</v>
      </c>
      <c r="G43" s="46">
        <f>ROUND(F43*1.2,2)</f>
        <v>4374.24</v>
      </c>
      <c r="H43" s="45"/>
      <c r="I43" s="44"/>
      <c r="J43" s="44"/>
      <c r="K43" s="26">
        <f>F43+I43</f>
        <v>3645.2</v>
      </c>
      <c r="L43" s="25">
        <f>G43+J43</f>
        <v>4374.24</v>
      </c>
      <c r="M43" s="24"/>
    </row>
    <row r="44" spans="1:13" ht="30" customHeight="1" x14ac:dyDescent="0.25">
      <c r="A44" s="33">
        <f>A43+1</f>
        <v>22</v>
      </c>
      <c r="B44" s="32" t="s">
        <v>79</v>
      </c>
      <c r="C44" s="31" t="s">
        <v>23</v>
      </c>
      <c r="D44" s="30">
        <v>4</v>
      </c>
      <c r="E44" s="29">
        <v>2958.25</v>
      </c>
      <c r="F44" s="46">
        <f>ROUND(E44*D44,2)</f>
        <v>11833</v>
      </c>
      <c r="G44" s="46">
        <f>ROUND(F44*1.2,2)</f>
        <v>14199.6</v>
      </c>
      <c r="H44" s="45"/>
      <c r="I44" s="44"/>
      <c r="J44" s="44"/>
      <c r="K44" s="26">
        <f>F44+I44</f>
        <v>11833</v>
      </c>
      <c r="L44" s="25">
        <f>G44+J44</f>
        <v>14199.6</v>
      </c>
      <c r="M44" s="51" t="s">
        <v>78</v>
      </c>
    </row>
    <row r="45" spans="1:13" ht="18.75" customHeight="1" x14ac:dyDescent="0.25">
      <c r="A45" s="33"/>
      <c r="B45" s="35" t="s">
        <v>11</v>
      </c>
      <c r="C45" s="31"/>
      <c r="D45" s="34"/>
      <c r="E45" s="29"/>
      <c r="F45" s="27"/>
      <c r="G45" s="27"/>
      <c r="H45" s="28"/>
      <c r="I45" s="27"/>
      <c r="J45" s="27"/>
      <c r="K45" s="26"/>
      <c r="L45" s="25"/>
      <c r="M45" s="48"/>
    </row>
    <row r="46" spans="1:13" ht="18.75" customHeight="1" x14ac:dyDescent="0.25">
      <c r="A46" s="33">
        <f>A44+1</f>
        <v>23</v>
      </c>
      <c r="B46" s="32" t="s">
        <v>10</v>
      </c>
      <c r="C46" s="31" t="s">
        <v>9</v>
      </c>
      <c r="D46" s="30">
        <v>2</v>
      </c>
      <c r="E46" s="29">
        <v>12000</v>
      </c>
      <c r="F46" s="27">
        <f>ROUND(E46*D46,2)</f>
        <v>24000</v>
      </c>
      <c r="G46" s="27">
        <f>ROUND(F46*1.2,2)</f>
        <v>28800</v>
      </c>
      <c r="H46" s="28"/>
      <c r="I46" s="27"/>
      <c r="J46" s="27"/>
      <c r="K46" s="26">
        <f>F46+I46</f>
        <v>24000</v>
      </c>
      <c r="L46" s="25">
        <f>G46+J46</f>
        <v>28800</v>
      </c>
      <c r="M46" s="51" t="s">
        <v>78</v>
      </c>
    </row>
    <row r="47" spans="1:13" s="21" customFormat="1" ht="23.25" customHeight="1" x14ac:dyDescent="0.3">
      <c r="A47" s="125" t="s">
        <v>8</v>
      </c>
      <c r="B47" s="126"/>
      <c r="C47" s="126"/>
      <c r="D47" s="126"/>
      <c r="E47" s="127"/>
      <c r="F47" s="22">
        <f>SUM(F7:F46)</f>
        <v>794394.76</v>
      </c>
      <c r="G47" s="22">
        <f>ROUND(F47*1.2,2)</f>
        <v>953273.71</v>
      </c>
      <c r="H47" s="23"/>
      <c r="I47" s="22">
        <f>SUM(I7:I46)</f>
        <v>261377.44999999995</v>
      </c>
      <c r="J47" s="22">
        <f>ROUND(I47*1.2,2)</f>
        <v>313652.94</v>
      </c>
      <c r="K47" s="22">
        <f>SUM(K7:K46)</f>
        <v>1055772.2100000002</v>
      </c>
      <c r="L47" s="22">
        <f>ROUND(K47*1.2,2)</f>
        <v>1266926.6499999999</v>
      </c>
    </row>
  </sheetData>
  <mergeCells count="10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2ED1-6F38-4AE2-AE06-DD3EBACF037B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8" t="s">
        <v>7</v>
      </c>
      <c r="B1" s="131" t="s">
        <v>56</v>
      </c>
      <c r="C1" s="134" t="s">
        <v>55</v>
      </c>
      <c r="D1" s="134" t="s">
        <v>54</v>
      </c>
      <c r="E1" s="135" t="s">
        <v>53</v>
      </c>
      <c r="F1" s="136"/>
      <c r="G1" s="136"/>
      <c r="H1" s="136"/>
      <c r="I1" s="136"/>
      <c r="J1" s="136"/>
      <c r="K1" s="136"/>
      <c r="L1" s="136"/>
    </row>
    <row r="2" spans="1:13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</row>
    <row r="3" spans="1:13" ht="27.75" customHeight="1" x14ac:dyDescent="0.25">
      <c r="A3" s="129"/>
      <c r="B3" s="132"/>
      <c r="C3" s="134"/>
      <c r="D3" s="134"/>
      <c r="E3" s="134" t="s">
        <v>52</v>
      </c>
      <c r="F3" s="134"/>
      <c r="G3" s="134"/>
      <c r="H3" s="134" t="s">
        <v>51</v>
      </c>
      <c r="I3" s="134"/>
      <c r="J3" s="134"/>
      <c r="K3" s="120" t="s">
        <v>50</v>
      </c>
      <c r="L3" s="120"/>
    </row>
    <row r="4" spans="1:13" ht="56.1" customHeight="1" x14ac:dyDescent="0.25">
      <c r="A4" s="130"/>
      <c r="B4" s="133"/>
      <c r="C4" s="134"/>
      <c r="D4" s="13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123" t="s">
        <v>45</v>
      </c>
      <c r="C6" s="124"/>
      <c r="D6" s="12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44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33"/>
      <c r="B8" s="59" t="s">
        <v>43</v>
      </c>
      <c r="C8" s="31"/>
      <c r="D8" s="30"/>
      <c r="E8" s="52"/>
      <c r="F8" s="25">
        <f>ROUND(E8*D8,2)</f>
        <v>0</v>
      </c>
      <c r="G8" s="25">
        <f>ROUND(F8*1.2,2)</f>
        <v>0</v>
      </c>
      <c r="H8" s="52"/>
      <c r="I8" s="25"/>
      <c r="J8" s="25"/>
      <c r="K8" s="26">
        <f t="shared" ref="K8:L15" si="0">F8+I8</f>
        <v>0</v>
      </c>
      <c r="L8" s="25">
        <f t="shared" si="0"/>
        <v>0</v>
      </c>
    </row>
    <row r="9" spans="1:13" ht="18.75" customHeight="1" x14ac:dyDescent="0.25">
      <c r="A9" s="33">
        <v>1</v>
      </c>
      <c r="B9" s="32" t="s">
        <v>42</v>
      </c>
      <c r="C9" s="31" t="s">
        <v>35</v>
      </c>
      <c r="D9" s="34">
        <v>16.309999999999999</v>
      </c>
      <c r="E9" s="52">
        <v>1688.1499999999999</v>
      </c>
      <c r="F9" s="46">
        <f>ROUND(E9*D9,2)</f>
        <v>27533.73</v>
      </c>
      <c r="G9" s="46">
        <f>ROUND(F9*1.2,2)</f>
        <v>33040.480000000003</v>
      </c>
      <c r="H9" s="52"/>
      <c r="I9" s="25"/>
      <c r="J9" s="25"/>
      <c r="K9" s="26">
        <f t="shared" si="0"/>
        <v>27533.73</v>
      </c>
      <c r="L9" s="25">
        <f t="shared" si="0"/>
        <v>33040.480000000003</v>
      </c>
    </row>
    <row r="10" spans="1:13" ht="18.75" customHeight="1" x14ac:dyDescent="0.25">
      <c r="A10" s="33">
        <f>A9+1</f>
        <v>2</v>
      </c>
      <c r="B10" s="32" t="s">
        <v>41</v>
      </c>
      <c r="C10" s="31" t="s">
        <v>35</v>
      </c>
      <c r="D10" s="34">
        <v>1.36</v>
      </c>
      <c r="E10" s="52">
        <v>1310.05</v>
      </c>
      <c r="F10" s="46">
        <f>ROUND(E10*D10,2)</f>
        <v>1781.67</v>
      </c>
      <c r="G10" s="46">
        <f>ROUND(F10*1.2,2)</f>
        <v>2138</v>
      </c>
      <c r="H10" s="27"/>
      <c r="I10" s="25"/>
      <c r="J10" s="25"/>
      <c r="K10" s="26">
        <f t="shared" si="0"/>
        <v>1781.67</v>
      </c>
      <c r="L10" s="25">
        <f t="shared" si="0"/>
        <v>2138</v>
      </c>
    </row>
    <row r="11" spans="1:13" ht="18.75" customHeight="1" x14ac:dyDescent="0.25">
      <c r="A11" s="42" t="s">
        <v>40</v>
      </c>
      <c r="B11" s="41" t="s">
        <v>37</v>
      </c>
      <c r="C11" s="40" t="s">
        <v>35</v>
      </c>
      <c r="D11" s="39">
        <f>D10*1.1</f>
        <v>1.4960000000000002</v>
      </c>
      <c r="E11" s="38"/>
      <c r="F11" s="36"/>
      <c r="G11" s="36"/>
      <c r="H11" s="36">
        <v>1191.3</v>
      </c>
      <c r="I11" s="36">
        <f>ROUND(H11*D11,2)</f>
        <v>1782.18</v>
      </c>
      <c r="J11" s="36">
        <f>ROUND(I11*1.2,2)</f>
        <v>2138.62</v>
      </c>
      <c r="K11" s="37">
        <f t="shared" si="0"/>
        <v>1782.18</v>
      </c>
      <c r="L11" s="36">
        <f t="shared" si="0"/>
        <v>2138.62</v>
      </c>
    </row>
    <row r="12" spans="1:13" ht="18.75" customHeight="1" x14ac:dyDescent="0.25">
      <c r="A12" s="33">
        <f>A10+1</f>
        <v>3</v>
      </c>
      <c r="B12" s="32" t="s">
        <v>39</v>
      </c>
      <c r="C12" s="31" t="s">
        <v>35</v>
      </c>
      <c r="D12" s="34">
        <v>3.81</v>
      </c>
      <c r="E12" s="52">
        <v>1310.05</v>
      </c>
      <c r="F12" s="46">
        <f>ROUND(E12*D12,2)</f>
        <v>4991.29</v>
      </c>
      <c r="G12" s="46">
        <f>ROUND(F12*1.2,2)</f>
        <v>5989.55</v>
      </c>
      <c r="H12" s="27"/>
      <c r="I12" s="25"/>
      <c r="J12" s="25"/>
      <c r="K12" s="26">
        <f t="shared" si="0"/>
        <v>4991.29</v>
      </c>
      <c r="L12" s="25">
        <f t="shared" si="0"/>
        <v>5989.55</v>
      </c>
    </row>
    <row r="13" spans="1:13" ht="18.75" customHeight="1" x14ac:dyDescent="0.25">
      <c r="A13" s="42" t="s">
        <v>38</v>
      </c>
      <c r="B13" s="41" t="s">
        <v>37</v>
      </c>
      <c r="C13" s="40" t="s">
        <v>35</v>
      </c>
      <c r="D13" s="39">
        <f>D12*1.1</f>
        <v>4.1910000000000007</v>
      </c>
      <c r="E13" s="38"/>
      <c r="F13" s="36"/>
      <c r="G13" s="36"/>
      <c r="H13" s="36">
        <v>1191.3</v>
      </c>
      <c r="I13" s="36">
        <f>ROUND(H13*D13,2)</f>
        <v>4992.74</v>
      </c>
      <c r="J13" s="36">
        <f>ROUND(I13*1.2,2)</f>
        <v>5991.29</v>
      </c>
      <c r="K13" s="37">
        <f t="shared" si="0"/>
        <v>4992.74</v>
      </c>
      <c r="L13" s="36">
        <f t="shared" si="0"/>
        <v>5991.29</v>
      </c>
    </row>
    <row r="14" spans="1:13" ht="18.75" customHeight="1" x14ac:dyDescent="0.25">
      <c r="A14" s="33">
        <f>A12+1</f>
        <v>4</v>
      </c>
      <c r="B14" s="32" t="s">
        <v>36</v>
      </c>
      <c r="C14" s="31" t="s">
        <v>35</v>
      </c>
      <c r="D14" s="34">
        <v>10.74</v>
      </c>
      <c r="E14" s="52">
        <v>854.05</v>
      </c>
      <c r="F14" s="46">
        <f>ROUND(E14*D14,2)</f>
        <v>9172.5</v>
      </c>
      <c r="G14" s="46">
        <f>ROUND(F14*1.2,2)</f>
        <v>11007</v>
      </c>
      <c r="H14" s="52"/>
      <c r="I14" s="25"/>
      <c r="J14" s="25"/>
      <c r="K14" s="26">
        <f t="shared" si="0"/>
        <v>9172.5</v>
      </c>
      <c r="L14" s="25">
        <f t="shared" si="0"/>
        <v>11007</v>
      </c>
    </row>
    <row r="15" spans="1:13" ht="18.75" customHeight="1" x14ac:dyDescent="0.25">
      <c r="A15" s="33">
        <f>A14+1</f>
        <v>5</v>
      </c>
      <c r="B15" s="32" t="s">
        <v>34</v>
      </c>
      <c r="C15" s="31" t="s">
        <v>33</v>
      </c>
      <c r="D15" s="34">
        <f>5.57*1.9</f>
        <v>10.583</v>
      </c>
      <c r="E15" s="52">
        <v>308.75</v>
      </c>
      <c r="F15" s="27">
        <f>ROUND(E15*D15,2)</f>
        <v>3267.5</v>
      </c>
      <c r="G15" s="27">
        <f>ROUND(F15*1.2,2)</f>
        <v>3921</v>
      </c>
      <c r="H15" s="28"/>
      <c r="I15" s="27"/>
      <c r="J15" s="27"/>
      <c r="K15" s="26">
        <f t="shared" si="0"/>
        <v>3267.5</v>
      </c>
      <c r="L15" s="25">
        <f t="shared" si="0"/>
        <v>3921</v>
      </c>
    </row>
    <row r="16" spans="1:13" ht="18.75" customHeight="1" x14ac:dyDescent="0.25">
      <c r="A16" s="33"/>
      <c r="B16" s="59" t="s">
        <v>32</v>
      </c>
      <c r="C16" s="58"/>
      <c r="D16" s="57"/>
      <c r="E16" s="56"/>
      <c r="F16" s="53"/>
      <c r="G16" s="53"/>
      <c r="H16" s="55"/>
      <c r="I16" s="53"/>
      <c r="J16" s="53"/>
      <c r="K16" s="54"/>
      <c r="L16" s="53"/>
      <c r="M16" s="24"/>
    </row>
    <row r="17" spans="1:13" ht="18.75" customHeight="1" x14ac:dyDescent="0.25">
      <c r="A17" s="33">
        <f>A15+1</f>
        <v>6</v>
      </c>
      <c r="B17" s="32" t="s">
        <v>22</v>
      </c>
      <c r="C17" s="31" t="s">
        <v>12</v>
      </c>
      <c r="D17" s="34">
        <v>42.87</v>
      </c>
      <c r="E17" s="52">
        <v>966.15</v>
      </c>
      <c r="F17" s="46">
        <f>ROUND(E17*D17,2)</f>
        <v>41418.85</v>
      </c>
      <c r="G17" s="46">
        <f>ROUND(F17*1.2,2)</f>
        <v>49702.62</v>
      </c>
      <c r="H17" s="45"/>
      <c r="I17" s="44"/>
      <c r="J17" s="44"/>
      <c r="K17" s="26">
        <f t="shared" ref="K17:K28" si="1">F17+I17</f>
        <v>41418.85</v>
      </c>
      <c r="L17" s="25">
        <f t="shared" ref="L17:L28" si="2">G17+J17</f>
        <v>49702.62</v>
      </c>
      <c r="M17" s="48"/>
    </row>
    <row r="18" spans="1:13" ht="18.75" customHeight="1" x14ac:dyDescent="0.25">
      <c r="A18" s="42" t="s">
        <v>30</v>
      </c>
      <c r="B18" s="41" t="s">
        <v>20</v>
      </c>
      <c r="C18" s="40" t="s">
        <v>12</v>
      </c>
      <c r="D18" s="39">
        <f>1.02*42.87</f>
        <v>43.727399999999996</v>
      </c>
      <c r="E18" s="38"/>
      <c r="F18" s="36"/>
      <c r="G18" s="36"/>
      <c r="H18" s="36">
        <f>ROUND(137.5*1.15,2)</f>
        <v>158.13</v>
      </c>
      <c r="I18" s="36">
        <f>ROUND(H18*D18,2)</f>
        <v>6914.61</v>
      </c>
      <c r="J18" s="36">
        <f>ROUND(I18*1.2,2)</f>
        <v>8297.5300000000007</v>
      </c>
      <c r="K18" s="37">
        <f t="shared" si="1"/>
        <v>6914.61</v>
      </c>
      <c r="L18" s="36">
        <f t="shared" si="2"/>
        <v>8297.5300000000007</v>
      </c>
      <c r="M18" s="68" t="s">
        <v>16</v>
      </c>
    </row>
    <row r="19" spans="1:13" ht="18.75" customHeight="1" x14ac:dyDescent="0.25">
      <c r="A19" s="33">
        <f>A17+1</f>
        <v>7</v>
      </c>
      <c r="B19" s="32" t="s">
        <v>19</v>
      </c>
      <c r="C19" s="31" t="s">
        <v>12</v>
      </c>
      <c r="D19" s="30">
        <v>6</v>
      </c>
      <c r="E19" s="52">
        <v>1632.8</v>
      </c>
      <c r="F19" s="46">
        <f>ROUND(E19*D19,2)</f>
        <v>9796.7999999999993</v>
      </c>
      <c r="G19" s="46">
        <f>ROUND(F19*1.2,2)</f>
        <v>11756.16</v>
      </c>
      <c r="H19" s="45"/>
      <c r="I19" s="44"/>
      <c r="J19" s="44"/>
      <c r="K19" s="26">
        <f t="shared" si="1"/>
        <v>9796.7999999999993</v>
      </c>
      <c r="L19" s="25">
        <f t="shared" si="2"/>
        <v>11756.16</v>
      </c>
      <c r="M19" s="24"/>
    </row>
    <row r="20" spans="1:13" ht="18.75" customHeight="1" x14ac:dyDescent="0.25">
      <c r="A20" s="42" t="s">
        <v>28</v>
      </c>
      <c r="B20" s="50" t="s">
        <v>17</v>
      </c>
      <c r="C20" s="40" t="s">
        <v>12</v>
      </c>
      <c r="D20" s="49">
        <v>6</v>
      </c>
      <c r="E20" s="38"/>
      <c r="F20" s="36"/>
      <c r="G20" s="36"/>
      <c r="H20" s="36">
        <f>ROUND(2236.42/1.2*1.15,2)</f>
        <v>2143.2399999999998</v>
      </c>
      <c r="I20" s="36">
        <f>ROUND(H20*D20,2)</f>
        <v>12859.44</v>
      </c>
      <c r="J20" s="36">
        <f>ROUND(I20*1.2,2)</f>
        <v>15431.33</v>
      </c>
      <c r="K20" s="37">
        <f t="shared" si="1"/>
        <v>12859.44</v>
      </c>
      <c r="L20" s="36">
        <f t="shared" si="2"/>
        <v>15431.33</v>
      </c>
      <c r="M20" s="68" t="s">
        <v>16</v>
      </c>
    </row>
    <row r="21" spans="1:13" ht="18.75" customHeight="1" x14ac:dyDescent="0.25">
      <c r="A21" s="33">
        <f>A19+1</f>
        <v>8</v>
      </c>
      <c r="B21" s="32" t="s">
        <v>31</v>
      </c>
      <c r="C21" s="31" t="s">
        <v>12</v>
      </c>
      <c r="D21" s="34">
        <v>223.66</v>
      </c>
      <c r="E21" s="52">
        <f>ROUND(511.84*1.33,2)</f>
        <v>680.75</v>
      </c>
      <c r="F21" s="46">
        <f>ROUND(E21*D21,2)</f>
        <v>152256.54999999999</v>
      </c>
      <c r="G21" s="46">
        <f>ROUND(F21*1.2,2)</f>
        <v>182707.86</v>
      </c>
      <c r="H21" s="45"/>
      <c r="I21" s="44"/>
      <c r="J21" s="44"/>
      <c r="K21" s="26">
        <f t="shared" si="1"/>
        <v>152256.54999999999</v>
      </c>
      <c r="L21" s="25">
        <f t="shared" si="2"/>
        <v>182707.86</v>
      </c>
      <c r="M21" s="24"/>
    </row>
    <row r="22" spans="1:13" ht="18.75" customHeight="1" x14ac:dyDescent="0.25">
      <c r="A22" s="42" t="s">
        <v>25</v>
      </c>
      <c r="B22" s="41" t="s">
        <v>27</v>
      </c>
      <c r="C22" s="40" t="s">
        <v>12</v>
      </c>
      <c r="D22" s="39">
        <f>D21*1.02</f>
        <v>228.13319999999999</v>
      </c>
      <c r="E22" s="38"/>
      <c r="F22" s="36"/>
      <c r="G22" s="36"/>
      <c r="H22" s="36">
        <f>ROUND(1200/1.2*1.15,2)</f>
        <v>1150</v>
      </c>
      <c r="I22" s="36">
        <f>ROUND(H22*D22,2)</f>
        <v>262353.18</v>
      </c>
      <c r="J22" s="36">
        <f>ROUND(I22*1.2,2)</f>
        <v>314823.82</v>
      </c>
      <c r="K22" s="37">
        <f t="shared" si="1"/>
        <v>262353.18</v>
      </c>
      <c r="L22" s="36">
        <f t="shared" si="2"/>
        <v>314823.82</v>
      </c>
      <c r="M22" s="68" t="s">
        <v>16</v>
      </c>
    </row>
    <row r="23" spans="1:13" ht="18.75" customHeight="1" x14ac:dyDescent="0.25">
      <c r="A23" s="33">
        <f>A21+1</f>
        <v>9</v>
      </c>
      <c r="B23" s="32" t="s">
        <v>29</v>
      </c>
      <c r="C23" s="31" t="s">
        <v>12</v>
      </c>
      <c r="D23" s="34">
        <v>18.739999999999998</v>
      </c>
      <c r="E23" s="52">
        <f>ROUND(209.95*1.33,2)</f>
        <v>279.23</v>
      </c>
      <c r="F23" s="46">
        <f>ROUND(E23*D23,2)</f>
        <v>5232.7700000000004</v>
      </c>
      <c r="G23" s="46">
        <f>ROUND(F23*1.2,2)</f>
        <v>6279.32</v>
      </c>
      <c r="H23" s="45"/>
      <c r="I23" s="44"/>
      <c r="J23" s="44"/>
      <c r="K23" s="26">
        <f t="shared" si="1"/>
        <v>5232.7700000000004</v>
      </c>
      <c r="L23" s="25">
        <f t="shared" si="2"/>
        <v>6279.32</v>
      </c>
      <c r="M23" s="68"/>
    </row>
    <row r="24" spans="1:13" ht="18.75" customHeight="1" x14ac:dyDescent="0.25">
      <c r="A24" s="42" t="s">
        <v>21</v>
      </c>
      <c r="B24" s="41" t="s">
        <v>27</v>
      </c>
      <c r="C24" s="40" t="s">
        <v>12</v>
      </c>
      <c r="D24" s="39">
        <f>D23*1.02</f>
        <v>19.114799999999999</v>
      </c>
      <c r="E24" s="38"/>
      <c r="F24" s="36"/>
      <c r="G24" s="36"/>
      <c r="H24" s="36">
        <f>ROUND(1200/1.2*1.15,2)</f>
        <v>1150</v>
      </c>
      <c r="I24" s="36">
        <f>ROUND(H24*D24,2)</f>
        <v>21982.02</v>
      </c>
      <c r="J24" s="36">
        <f>ROUND(I24*1.2,2)</f>
        <v>26378.42</v>
      </c>
      <c r="K24" s="37">
        <f t="shared" si="1"/>
        <v>21982.02</v>
      </c>
      <c r="L24" s="36">
        <f t="shared" si="2"/>
        <v>26378.42</v>
      </c>
      <c r="M24" s="68" t="s">
        <v>16</v>
      </c>
    </row>
    <row r="25" spans="1:13" s="43" customFormat="1" ht="18.75" customHeight="1" x14ac:dyDescent="0.25">
      <c r="A25" s="33">
        <f>A23+1</f>
        <v>10</v>
      </c>
      <c r="B25" s="47" t="s">
        <v>15</v>
      </c>
      <c r="C25" s="31" t="s">
        <v>12</v>
      </c>
      <c r="D25" s="34">
        <v>22.65</v>
      </c>
      <c r="E25" s="29">
        <v>17.53</v>
      </c>
      <c r="F25" s="46">
        <f>ROUND(E25*D25,2)</f>
        <v>397.05</v>
      </c>
      <c r="G25" s="46">
        <f>ROUND(F25*1.2,2)</f>
        <v>476.46</v>
      </c>
      <c r="H25" s="45"/>
      <c r="I25" s="44"/>
      <c r="J25" s="44"/>
      <c r="K25" s="26">
        <f t="shared" si="1"/>
        <v>397.05</v>
      </c>
      <c r="L25" s="25">
        <f t="shared" si="2"/>
        <v>476.46</v>
      </c>
      <c r="M25" s="84"/>
    </row>
    <row r="26" spans="1:13" ht="18.75" customHeight="1" x14ac:dyDescent="0.25">
      <c r="A26" s="42" t="s">
        <v>18</v>
      </c>
      <c r="B26" s="41" t="s">
        <v>13</v>
      </c>
      <c r="C26" s="40" t="s">
        <v>12</v>
      </c>
      <c r="D26" s="39">
        <v>22.65</v>
      </c>
      <c r="E26" s="38"/>
      <c r="F26" s="36"/>
      <c r="G26" s="36"/>
      <c r="H26" s="36">
        <v>18.34</v>
      </c>
      <c r="I26" s="36">
        <f>ROUND(H26*D26,2)</f>
        <v>415.4</v>
      </c>
      <c r="J26" s="36">
        <f>ROUND(I26*1.2,2)</f>
        <v>498.48</v>
      </c>
      <c r="K26" s="37">
        <f t="shared" si="1"/>
        <v>415.4</v>
      </c>
      <c r="L26" s="36">
        <f t="shared" si="2"/>
        <v>498.48</v>
      </c>
    </row>
    <row r="27" spans="1:13" ht="18.75" customHeight="1" x14ac:dyDescent="0.25">
      <c r="A27" s="33">
        <f>A25+1</f>
        <v>11</v>
      </c>
      <c r="B27" s="32" t="s">
        <v>26</v>
      </c>
      <c r="C27" s="31" t="s">
        <v>23</v>
      </c>
      <c r="D27" s="30">
        <v>4</v>
      </c>
      <c r="E27" s="52">
        <v>6715.55</v>
      </c>
      <c r="F27" s="46">
        <f>ROUND(E27*D27,2)</f>
        <v>26862.2</v>
      </c>
      <c r="G27" s="46">
        <f>ROUND(F27*1.2,2)</f>
        <v>32234.639999999999</v>
      </c>
      <c r="H27" s="45"/>
      <c r="I27" s="44"/>
      <c r="J27" s="44"/>
      <c r="K27" s="26">
        <f t="shared" si="1"/>
        <v>26862.2</v>
      </c>
      <c r="L27" s="25">
        <f t="shared" si="2"/>
        <v>32234.639999999999</v>
      </c>
      <c r="M27" s="48"/>
    </row>
    <row r="28" spans="1:13" ht="18.75" customHeight="1" x14ac:dyDescent="0.25">
      <c r="A28" s="42" t="s">
        <v>14</v>
      </c>
      <c r="B28" s="41" t="s">
        <v>24</v>
      </c>
      <c r="C28" s="40" t="s">
        <v>23</v>
      </c>
      <c r="D28" s="49">
        <v>4</v>
      </c>
      <c r="E28" s="38"/>
      <c r="F28" s="36"/>
      <c r="G28" s="36"/>
      <c r="H28" s="36">
        <v>7106</v>
      </c>
      <c r="I28" s="36">
        <f>ROUND(H28*D28,2)</f>
        <v>28424</v>
      </c>
      <c r="J28" s="36">
        <f>ROUND(I28*1.2,2)</f>
        <v>34108.800000000003</v>
      </c>
      <c r="K28" s="37">
        <f t="shared" si="1"/>
        <v>28424</v>
      </c>
      <c r="L28" s="36">
        <f t="shared" si="2"/>
        <v>34108.800000000003</v>
      </c>
      <c r="M28" s="48"/>
    </row>
    <row r="29" spans="1:13" ht="18.75" customHeight="1" x14ac:dyDescent="0.25">
      <c r="A29" s="33"/>
      <c r="B29" s="35" t="s">
        <v>11</v>
      </c>
      <c r="C29" s="31"/>
      <c r="D29" s="34"/>
      <c r="E29" s="29"/>
      <c r="F29" s="27"/>
      <c r="G29" s="27"/>
      <c r="H29" s="28"/>
      <c r="I29" s="27"/>
      <c r="J29" s="27"/>
      <c r="K29" s="26"/>
      <c r="L29" s="25"/>
    </row>
    <row r="30" spans="1:13" ht="18.75" customHeight="1" x14ac:dyDescent="0.25">
      <c r="A30" s="33">
        <f>A27+1</f>
        <v>12</v>
      </c>
      <c r="B30" s="32" t="s">
        <v>10</v>
      </c>
      <c r="C30" s="31" t="s">
        <v>9</v>
      </c>
      <c r="D30" s="30">
        <v>2</v>
      </c>
      <c r="E30" s="29">
        <v>12000</v>
      </c>
      <c r="F30" s="27">
        <f>ROUND(E30*D30,2)</f>
        <v>24000</v>
      </c>
      <c r="G30" s="27">
        <f>ROUND(F30*1.2,2)</f>
        <v>28800</v>
      </c>
      <c r="H30" s="28"/>
      <c r="I30" s="27"/>
      <c r="J30" s="27"/>
      <c r="K30" s="26">
        <f>F30+I30</f>
        <v>24000</v>
      </c>
      <c r="L30" s="25">
        <f>G30+J30</f>
        <v>28800</v>
      </c>
      <c r="M30" s="24"/>
    </row>
    <row r="31" spans="1:13" s="21" customFormat="1" ht="23.25" customHeight="1" x14ac:dyDescent="0.3">
      <c r="A31" s="125" t="s">
        <v>8</v>
      </c>
      <c r="B31" s="126"/>
      <c r="C31" s="126"/>
      <c r="D31" s="126"/>
      <c r="E31" s="127"/>
      <c r="F31" s="22">
        <f>SUM(F7:F30)</f>
        <v>306710.90999999997</v>
      </c>
      <c r="G31" s="22">
        <f>ROUND(F31*1.2,2)</f>
        <v>368053.09</v>
      </c>
      <c r="H31" s="23"/>
      <c r="I31" s="22">
        <f>SUM(I7:I30)</f>
        <v>339723.57000000007</v>
      </c>
      <c r="J31" s="22">
        <f>ROUND(I31*1.2,2)</f>
        <v>407668.28</v>
      </c>
      <c r="K31" s="22">
        <f>SUM(K7:K30)</f>
        <v>646434.4800000001</v>
      </c>
      <c r="L31" s="22">
        <f>ROUND(K31*1.2,2)</f>
        <v>775721.38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2AFC-0787-4D27-8930-5475D6BE255E}">
  <sheetPr>
    <tabColor theme="9" tint="0.79998168889431442"/>
  </sheetPr>
  <dimension ref="A1:M38"/>
  <sheetViews>
    <sheetView view="pageBreakPreview" topLeftCell="A7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8" t="s">
        <v>7</v>
      </c>
      <c r="B1" s="131" t="s">
        <v>56</v>
      </c>
      <c r="C1" s="134" t="s">
        <v>55</v>
      </c>
      <c r="D1" s="134" t="s">
        <v>54</v>
      </c>
      <c r="E1" s="135" t="s">
        <v>53</v>
      </c>
      <c r="F1" s="136"/>
      <c r="G1" s="136"/>
      <c r="H1" s="136"/>
      <c r="I1" s="136"/>
      <c r="J1" s="136"/>
      <c r="K1" s="136"/>
      <c r="L1" s="136"/>
    </row>
    <row r="2" spans="1:13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</row>
    <row r="3" spans="1:13" ht="27.75" customHeight="1" x14ac:dyDescent="0.25">
      <c r="A3" s="129"/>
      <c r="B3" s="132"/>
      <c r="C3" s="134"/>
      <c r="D3" s="134"/>
      <c r="E3" s="134" t="s">
        <v>52</v>
      </c>
      <c r="F3" s="134"/>
      <c r="G3" s="134"/>
      <c r="H3" s="134" t="s">
        <v>51</v>
      </c>
      <c r="I3" s="134"/>
      <c r="J3" s="134"/>
      <c r="K3" s="120" t="s">
        <v>50</v>
      </c>
      <c r="L3" s="120"/>
    </row>
    <row r="4" spans="1:13" ht="56.1" customHeight="1" x14ac:dyDescent="0.25">
      <c r="A4" s="130"/>
      <c r="B4" s="133"/>
      <c r="C4" s="134"/>
      <c r="D4" s="13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123" t="s">
        <v>105</v>
      </c>
      <c r="C6" s="124"/>
      <c r="D6" s="12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76</v>
      </c>
      <c r="B8" s="78" t="s">
        <v>74</v>
      </c>
      <c r="C8" s="65" t="s">
        <v>35</v>
      </c>
      <c r="D8" s="79">
        <v>9.7100000000000009</v>
      </c>
      <c r="E8" s="25">
        <f>ROUND(65055.24/(297.03*0.05),2)</f>
        <v>4380.38</v>
      </c>
      <c r="F8" s="46">
        <f>ROUND(E8*D8,2)</f>
        <v>42533.49</v>
      </c>
      <c r="G8" s="46">
        <f>ROUND(F8*1.2,2)</f>
        <v>51040.19</v>
      </c>
      <c r="H8" s="52"/>
      <c r="I8" s="27"/>
      <c r="J8" s="27"/>
      <c r="K8" s="81">
        <f t="shared" ref="K8:L10" si="0">F8+I8</f>
        <v>42533.49</v>
      </c>
      <c r="L8" s="46">
        <f t="shared" si="0"/>
        <v>51040.19</v>
      </c>
      <c r="M8" s="48" t="s">
        <v>104</v>
      </c>
    </row>
    <row r="9" spans="1:13" ht="20.25" customHeight="1" x14ac:dyDescent="0.25">
      <c r="A9" s="42">
        <f>A8+1</f>
        <v>2</v>
      </c>
      <c r="B9" s="78" t="s">
        <v>73</v>
      </c>
      <c r="C9" s="65" t="s">
        <v>35</v>
      </c>
      <c r="D9" s="79">
        <v>15.33</v>
      </c>
      <c r="E9" s="52">
        <v>304</v>
      </c>
      <c r="F9" s="46">
        <f>ROUND(E9*D9,2)</f>
        <v>4660.32</v>
      </c>
      <c r="G9" s="46">
        <f>ROUND(F9*1.2,2)</f>
        <v>5592.38</v>
      </c>
      <c r="H9" s="27"/>
      <c r="I9" s="27"/>
      <c r="J9" s="27"/>
      <c r="K9" s="81">
        <f t="shared" si="0"/>
        <v>4660.32</v>
      </c>
      <c r="L9" s="27">
        <f t="shared" si="0"/>
        <v>5592.38</v>
      </c>
      <c r="M9" s="48" t="s">
        <v>104</v>
      </c>
    </row>
    <row r="10" spans="1:13" ht="20.25" customHeight="1" x14ac:dyDescent="0.25">
      <c r="A10" s="42">
        <f>A9+1</f>
        <v>3</v>
      </c>
      <c r="B10" s="78" t="s">
        <v>71</v>
      </c>
      <c r="C10" s="65" t="s">
        <v>35</v>
      </c>
      <c r="D10" s="79">
        <v>25.04</v>
      </c>
      <c r="E10" s="25">
        <v>544.86</v>
      </c>
      <c r="F10" s="46">
        <f>ROUND(E10*D10,2)</f>
        <v>13643.29</v>
      </c>
      <c r="G10" s="46">
        <f>ROUND(F10*1.2,2)</f>
        <v>16371.95</v>
      </c>
      <c r="H10" s="52"/>
      <c r="I10" s="27"/>
      <c r="J10" s="27"/>
      <c r="K10" s="81">
        <f t="shared" si="0"/>
        <v>13643.29</v>
      </c>
      <c r="L10" s="27">
        <f t="shared" si="0"/>
        <v>16371.95</v>
      </c>
      <c r="M10" s="48" t="s">
        <v>103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0">
        <f>A10+1</f>
        <v>4</v>
      </c>
      <c r="B12" s="78" t="s">
        <v>93</v>
      </c>
      <c r="C12" s="31" t="s">
        <v>35</v>
      </c>
      <c r="D12" s="34">
        <v>38.049999999999997</v>
      </c>
      <c r="E12" s="52">
        <v>1688.1499999999999</v>
      </c>
      <c r="F12" s="46">
        <f>ROUND(E12*D12,2)</f>
        <v>64234.11</v>
      </c>
      <c r="G12" s="46">
        <f>ROUND(F12*1.2,2)</f>
        <v>77080.929999999993</v>
      </c>
      <c r="H12" s="52"/>
      <c r="I12" s="25"/>
      <c r="J12" s="25"/>
      <c r="K12" s="26">
        <f t="shared" ref="K12:K22" si="1">F12+I12</f>
        <v>64234.11</v>
      </c>
      <c r="L12" s="25">
        <f t="shared" ref="L12:L22" si="2">G12+J12</f>
        <v>77080.929999999993</v>
      </c>
    </row>
    <row r="13" spans="1:13" ht="18.75" customHeight="1" x14ac:dyDescent="0.25">
      <c r="A13" s="80">
        <f>A12+1</f>
        <v>5</v>
      </c>
      <c r="B13" s="78" t="s">
        <v>94</v>
      </c>
      <c r="C13" s="31" t="s">
        <v>35</v>
      </c>
      <c r="D13" s="34">
        <v>81.13</v>
      </c>
      <c r="E13" s="52">
        <v>308.75</v>
      </c>
      <c r="F13" s="46">
        <f>ROUND(E13*D13,2)</f>
        <v>25048.89</v>
      </c>
      <c r="G13" s="46">
        <f>ROUND(F13*1.2,2)</f>
        <v>30058.67</v>
      </c>
      <c r="H13" s="52"/>
      <c r="I13" s="25"/>
      <c r="J13" s="25"/>
      <c r="K13" s="26">
        <f t="shared" si="1"/>
        <v>25048.89</v>
      </c>
      <c r="L13" s="25">
        <f t="shared" si="2"/>
        <v>30058.67</v>
      </c>
    </row>
    <row r="14" spans="1:13" ht="18.75" customHeight="1" x14ac:dyDescent="0.25">
      <c r="A14" s="80">
        <f>A13+1</f>
        <v>6</v>
      </c>
      <c r="B14" s="78" t="s">
        <v>69</v>
      </c>
      <c r="C14" s="31" t="s">
        <v>35</v>
      </c>
      <c r="D14" s="34">
        <v>1.66</v>
      </c>
      <c r="E14" s="52">
        <v>1688.15</v>
      </c>
      <c r="F14" s="46">
        <f>ROUND(E14*D14,2)</f>
        <v>2802.33</v>
      </c>
      <c r="G14" s="46">
        <f>ROUND(F14*1.2,2)</f>
        <v>3362.8</v>
      </c>
      <c r="H14" s="52"/>
      <c r="I14" s="25"/>
      <c r="J14" s="25"/>
      <c r="K14" s="26">
        <f t="shared" si="1"/>
        <v>2802.33</v>
      </c>
      <c r="L14" s="25">
        <f t="shared" si="2"/>
        <v>3362.8</v>
      </c>
    </row>
    <row r="15" spans="1:13" ht="20.25" customHeight="1" x14ac:dyDescent="0.25">
      <c r="A15" s="80">
        <f>A14+1</f>
        <v>7</v>
      </c>
      <c r="B15" s="78" t="s">
        <v>68</v>
      </c>
      <c r="C15" s="65" t="s">
        <v>35</v>
      </c>
      <c r="D15" s="79">
        <v>9.35</v>
      </c>
      <c r="E15" s="52">
        <v>1310.05</v>
      </c>
      <c r="F15" s="46">
        <f>ROUND(E15*D15,2)</f>
        <v>12248.97</v>
      </c>
      <c r="G15" s="46">
        <f>ROUND(F15*1.2,2)</f>
        <v>14698.76</v>
      </c>
      <c r="H15" s="27"/>
      <c r="I15" s="44"/>
      <c r="J15" s="44"/>
      <c r="K15" s="26">
        <f t="shared" si="1"/>
        <v>12248.97</v>
      </c>
      <c r="L15" s="25">
        <f t="shared" si="2"/>
        <v>14698.76</v>
      </c>
    </row>
    <row r="16" spans="1:13" ht="20.25" customHeight="1" x14ac:dyDescent="0.25">
      <c r="A16" s="42" t="s">
        <v>28</v>
      </c>
      <c r="B16" s="41" t="s">
        <v>37</v>
      </c>
      <c r="C16" s="40" t="s">
        <v>35</v>
      </c>
      <c r="D16" s="39">
        <f>9.35*1.1</f>
        <v>10.285</v>
      </c>
      <c r="E16" s="38"/>
      <c r="F16" s="36"/>
      <c r="G16" s="36"/>
      <c r="H16" s="36">
        <v>1191.3</v>
      </c>
      <c r="I16" s="36">
        <f>ROUND(H16*D16,2)</f>
        <v>12252.52</v>
      </c>
      <c r="J16" s="36">
        <f>ROUND(I16*1.2,2)</f>
        <v>14703.02</v>
      </c>
      <c r="K16" s="37">
        <f t="shared" si="1"/>
        <v>12252.52</v>
      </c>
      <c r="L16" s="36">
        <f t="shared" si="2"/>
        <v>14703.02</v>
      </c>
    </row>
    <row r="17" spans="1:13" ht="18" customHeight="1" x14ac:dyDescent="0.25">
      <c r="A17" s="80">
        <f>A15+1</f>
        <v>8</v>
      </c>
      <c r="B17" s="32" t="s">
        <v>39</v>
      </c>
      <c r="C17" s="31" t="s">
        <v>35</v>
      </c>
      <c r="D17" s="34">
        <v>31.76</v>
      </c>
      <c r="E17" s="52">
        <v>1310.05</v>
      </c>
      <c r="F17" s="46">
        <f>ROUND(E17*D17,2)</f>
        <v>41607.19</v>
      </c>
      <c r="G17" s="46">
        <f>ROUND(F17*1.2,2)</f>
        <v>49928.63</v>
      </c>
      <c r="H17" s="27"/>
      <c r="I17" s="25"/>
      <c r="J17" s="25"/>
      <c r="K17" s="26">
        <f t="shared" si="1"/>
        <v>41607.19</v>
      </c>
      <c r="L17" s="25">
        <f t="shared" si="2"/>
        <v>49928.63</v>
      </c>
    </row>
    <row r="18" spans="1:13" ht="20.25" customHeight="1" x14ac:dyDescent="0.25">
      <c r="A18" s="42" t="s">
        <v>25</v>
      </c>
      <c r="B18" s="41" t="s">
        <v>37</v>
      </c>
      <c r="C18" s="40" t="s">
        <v>35</v>
      </c>
      <c r="D18" s="39">
        <f>31.76*1.1</f>
        <v>34.936000000000007</v>
      </c>
      <c r="E18" s="38"/>
      <c r="F18" s="36"/>
      <c r="G18" s="36"/>
      <c r="H18" s="36">
        <v>1191.3</v>
      </c>
      <c r="I18" s="36">
        <f>ROUND(H18*D18,2)</f>
        <v>41619.26</v>
      </c>
      <c r="J18" s="36">
        <f>ROUND(I18*1.2,2)</f>
        <v>49943.11</v>
      </c>
      <c r="K18" s="37">
        <f t="shared" si="1"/>
        <v>41619.26</v>
      </c>
      <c r="L18" s="36">
        <f t="shared" si="2"/>
        <v>49943.11</v>
      </c>
    </row>
    <row r="19" spans="1:13" ht="18.75" customHeight="1" x14ac:dyDescent="0.25">
      <c r="A19" s="80">
        <f>A17+1</f>
        <v>9</v>
      </c>
      <c r="B19" s="32" t="s">
        <v>102</v>
      </c>
      <c r="C19" s="31" t="s">
        <v>35</v>
      </c>
      <c r="D19" s="34">
        <v>102.86</v>
      </c>
      <c r="E19" s="52">
        <v>1310.05</v>
      </c>
      <c r="F19" s="46">
        <f>ROUND(E19*D19,2)</f>
        <v>134751.74</v>
      </c>
      <c r="G19" s="46">
        <f>ROUND(F19*1.2,2)</f>
        <v>161702.09</v>
      </c>
      <c r="H19" s="27"/>
      <c r="I19" s="25"/>
      <c r="J19" s="25"/>
      <c r="K19" s="26">
        <f t="shared" si="1"/>
        <v>134751.74</v>
      </c>
      <c r="L19" s="25">
        <f t="shared" si="2"/>
        <v>161702.09</v>
      </c>
    </row>
    <row r="20" spans="1:13" ht="20.25" customHeight="1" x14ac:dyDescent="0.25">
      <c r="A20" s="42" t="s">
        <v>21</v>
      </c>
      <c r="B20" s="41" t="s">
        <v>37</v>
      </c>
      <c r="C20" s="40" t="s">
        <v>35</v>
      </c>
      <c r="D20" s="39">
        <f>102.86*1.1</f>
        <v>113.14600000000002</v>
      </c>
      <c r="E20" s="38"/>
      <c r="F20" s="36"/>
      <c r="G20" s="36"/>
      <c r="H20" s="36">
        <v>1191.3</v>
      </c>
      <c r="I20" s="36">
        <f>ROUND(H20*D20,2)</f>
        <v>134790.82999999999</v>
      </c>
      <c r="J20" s="36">
        <f>ROUND(I20*1.2,2)</f>
        <v>161749</v>
      </c>
      <c r="K20" s="37">
        <f t="shared" si="1"/>
        <v>134790.82999999999</v>
      </c>
      <c r="L20" s="36">
        <f t="shared" si="2"/>
        <v>161749</v>
      </c>
    </row>
    <row r="21" spans="1:13" ht="18.75" customHeight="1" x14ac:dyDescent="0.25">
      <c r="A21" s="33">
        <f>A19+1</f>
        <v>10</v>
      </c>
      <c r="B21" s="32" t="s">
        <v>66</v>
      </c>
      <c r="C21" s="31" t="s">
        <v>35</v>
      </c>
      <c r="D21" s="34">
        <v>102.86</v>
      </c>
      <c r="E21" s="52">
        <v>188.1</v>
      </c>
      <c r="F21" s="46">
        <f>ROUND(E21*D21,2)</f>
        <v>19347.97</v>
      </c>
      <c r="G21" s="46">
        <f>ROUND(F21*1.2,2)</f>
        <v>23217.56</v>
      </c>
      <c r="H21" s="26"/>
      <c r="I21" s="27"/>
      <c r="J21" s="27"/>
      <c r="K21" s="26">
        <f t="shared" si="1"/>
        <v>19347.97</v>
      </c>
      <c r="L21" s="25">
        <f t="shared" si="2"/>
        <v>23217.56</v>
      </c>
    </row>
    <row r="22" spans="1:13" ht="18.75" customHeight="1" x14ac:dyDescent="0.25">
      <c r="A22" s="33">
        <f>A21+1</f>
        <v>11</v>
      </c>
      <c r="B22" s="32" t="s">
        <v>34</v>
      </c>
      <c r="C22" s="31" t="s">
        <v>33</v>
      </c>
      <c r="D22" s="34">
        <v>229.6</v>
      </c>
      <c r="E22" s="52">
        <v>308.75</v>
      </c>
      <c r="F22" s="46">
        <f>ROUND(E22*D22,2)</f>
        <v>70889</v>
      </c>
      <c r="G22" s="46">
        <f>ROUND(F22*1.2,2)</f>
        <v>85066.8</v>
      </c>
      <c r="H22" s="52"/>
      <c r="I22" s="25"/>
      <c r="J22" s="25"/>
      <c r="K22" s="26">
        <f t="shared" si="1"/>
        <v>70889</v>
      </c>
      <c r="L22" s="25">
        <f t="shared" si="2"/>
        <v>85066.8</v>
      </c>
    </row>
    <row r="23" spans="1:13" ht="22.5" customHeight="1" x14ac:dyDescent="0.25">
      <c r="A23" s="33"/>
      <c r="B23" s="59" t="s">
        <v>32</v>
      </c>
      <c r="C23" s="31"/>
      <c r="D23" s="34"/>
      <c r="E23" s="52"/>
      <c r="F23" s="46"/>
      <c r="G23" s="46"/>
      <c r="H23" s="52"/>
      <c r="I23" s="25"/>
      <c r="J23" s="25"/>
      <c r="K23" s="26"/>
      <c r="L23" s="25"/>
    </row>
    <row r="24" spans="1:13" ht="25.5" customHeight="1" x14ac:dyDescent="0.25">
      <c r="A24" s="33">
        <f>A22+1</f>
        <v>12</v>
      </c>
      <c r="B24" s="32" t="s">
        <v>101</v>
      </c>
      <c r="C24" s="31" t="s">
        <v>12</v>
      </c>
      <c r="D24" s="34">
        <v>186.6</v>
      </c>
      <c r="E24" s="52">
        <v>966.15</v>
      </c>
      <c r="F24" s="46">
        <f>ROUND(E24*D24,2)</f>
        <v>180283.59</v>
      </c>
      <c r="G24" s="46">
        <f>ROUND(F24*1.2,2)</f>
        <v>216340.31</v>
      </c>
      <c r="H24" s="45"/>
      <c r="I24" s="44"/>
      <c r="J24" s="44"/>
      <c r="K24" s="26">
        <f t="shared" ref="K24:K35" si="3">F24+I24</f>
        <v>180283.59</v>
      </c>
      <c r="L24" s="25">
        <f t="shared" ref="L24:L35" si="4">G24+J24</f>
        <v>216340.31</v>
      </c>
    </row>
    <row r="25" spans="1:13" ht="18.75" customHeight="1" x14ac:dyDescent="0.25">
      <c r="A25" s="42" t="s">
        <v>91</v>
      </c>
      <c r="B25" s="41" t="s">
        <v>100</v>
      </c>
      <c r="C25" s="40" t="s">
        <v>12</v>
      </c>
      <c r="D25" s="39">
        <f>1.02*186.6</f>
        <v>190.33199999999999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30097.200000000001</v>
      </c>
      <c r="J25" s="36">
        <f>ROUND(I25*1.2,2)</f>
        <v>36116.639999999999</v>
      </c>
      <c r="K25" s="37">
        <f t="shared" si="3"/>
        <v>30097.200000000001</v>
      </c>
      <c r="L25" s="36">
        <f t="shared" si="4"/>
        <v>36116.639999999999</v>
      </c>
      <c r="M25" s="68" t="s">
        <v>16</v>
      </c>
    </row>
    <row r="26" spans="1:13" ht="18.75" customHeight="1" x14ac:dyDescent="0.25">
      <c r="A26" s="65">
        <f>A24+1</f>
        <v>13</v>
      </c>
      <c r="B26" s="32" t="s">
        <v>99</v>
      </c>
      <c r="C26" s="31" t="s">
        <v>12</v>
      </c>
      <c r="D26" s="34">
        <v>24.6</v>
      </c>
      <c r="E26" s="52">
        <v>966.15</v>
      </c>
      <c r="F26" s="46">
        <f>ROUND(E26*D26,2)</f>
        <v>23767.29</v>
      </c>
      <c r="G26" s="46">
        <f>ROUND(F26*1.2,2)</f>
        <v>28520.75</v>
      </c>
      <c r="H26" s="45"/>
      <c r="I26" s="44"/>
      <c r="J26" s="44"/>
      <c r="K26" s="26">
        <f t="shared" si="3"/>
        <v>23767.29</v>
      </c>
      <c r="L26" s="25">
        <f t="shared" si="4"/>
        <v>28520.75</v>
      </c>
      <c r="M26" s="68"/>
    </row>
    <row r="27" spans="1:13" ht="18.75" customHeight="1" x14ac:dyDescent="0.25">
      <c r="A27" s="42" t="s">
        <v>89</v>
      </c>
      <c r="B27" s="41" t="s">
        <v>98</v>
      </c>
      <c r="C27" s="40" t="s">
        <v>12</v>
      </c>
      <c r="D27" s="39">
        <f>1.02*24.6</f>
        <v>25.092000000000002</v>
      </c>
      <c r="E27" s="38"/>
      <c r="F27" s="36">
        <f>ROUND(E27*D27,2)</f>
        <v>0</v>
      </c>
      <c r="G27" s="36">
        <f>ROUND(F27*1.2,2)</f>
        <v>0</v>
      </c>
      <c r="H27" s="36">
        <f>ROUND(220.83/1.2*1.15,2)</f>
        <v>211.63</v>
      </c>
      <c r="I27" s="36">
        <f>ROUND(H27*D27,2)</f>
        <v>5310.22</v>
      </c>
      <c r="J27" s="36">
        <f>ROUND(I27*1.2,2)</f>
        <v>6372.26</v>
      </c>
      <c r="K27" s="37">
        <f t="shared" si="3"/>
        <v>5310.22</v>
      </c>
      <c r="L27" s="36">
        <f t="shared" si="4"/>
        <v>6372.26</v>
      </c>
      <c r="M27" s="68" t="s">
        <v>16</v>
      </c>
    </row>
    <row r="28" spans="1:13" ht="23.25" customHeight="1" x14ac:dyDescent="0.25">
      <c r="A28" s="65">
        <f>A26+1</f>
        <v>14</v>
      </c>
      <c r="B28" s="32" t="s">
        <v>97</v>
      </c>
      <c r="C28" s="65" t="s">
        <v>12</v>
      </c>
      <c r="D28" s="34">
        <v>211.2</v>
      </c>
      <c r="E28" s="52">
        <v>167.2</v>
      </c>
      <c r="F28" s="46">
        <f>ROUND(E28*D28,2)</f>
        <v>35312.639999999999</v>
      </c>
      <c r="G28" s="46">
        <f>ROUND(F28*1.2,2)</f>
        <v>42375.17</v>
      </c>
      <c r="H28" s="45"/>
      <c r="I28" s="44"/>
      <c r="J28" s="44"/>
      <c r="K28" s="26">
        <f t="shared" si="3"/>
        <v>35312.639999999999</v>
      </c>
      <c r="L28" s="25">
        <f t="shared" si="4"/>
        <v>42375.17</v>
      </c>
      <c r="M28" s="68"/>
    </row>
    <row r="29" spans="1:13" ht="21" customHeight="1" x14ac:dyDescent="0.25">
      <c r="A29" s="42" t="s">
        <v>65</v>
      </c>
      <c r="B29" s="41" t="s">
        <v>95</v>
      </c>
      <c r="C29" s="40" t="s">
        <v>12</v>
      </c>
      <c r="D29" s="39">
        <f>211.2*1.02</f>
        <v>215.42399999999998</v>
      </c>
      <c r="E29" s="38"/>
      <c r="F29" s="36"/>
      <c r="G29" s="36"/>
      <c r="H29" s="36">
        <f>ROUND(1095.83*1.15,2)</f>
        <v>1260.2</v>
      </c>
      <c r="I29" s="36">
        <f>ROUND(H29*D29,2)</f>
        <v>271477.32</v>
      </c>
      <c r="J29" s="36">
        <f>ROUND(I29*1.2,2)</f>
        <v>325772.78000000003</v>
      </c>
      <c r="K29" s="37">
        <f t="shared" si="3"/>
        <v>271477.32</v>
      </c>
      <c r="L29" s="36">
        <f t="shared" si="4"/>
        <v>325772.78000000003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96</v>
      </c>
      <c r="C30" s="65" t="s">
        <v>12</v>
      </c>
      <c r="D30" s="34">
        <v>17.7</v>
      </c>
      <c r="E30" s="52">
        <v>79.8</v>
      </c>
      <c r="F30" s="46">
        <f>ROUND(E30*D30,2)</f>
        <v>1412.46</v>
      </c>
      <c r="G30" s="46">
        <f>ROUND(F30*1.2,2)</f>
        <v>1694.95</v>
      </c>
      <c r="H30" s="45"/>
      <c r="I30" s="44"/>
      <c r="J30" s="44"/>
      <c r="K30" s="26">
        <f t="shared" si="3"/>
        <v>1412.46</v>
      </c>
      <c r="L30" s="25">
        <f t="shared" si="4"/>
        <v>1694.95</v>
      </c>
      <c r="M30" s="68"/>
    </row>
    <row r="31" spans="1:13" ht="21" customHeight="1" x14ac:dyDescent="0.25">
      <c r="A31" s="42" t="s">
        <v>63</v>
      </c>
      <c r="B31" s="41" t="s">
        <v>95</v>
      </c>
      <c r="C31" s="40" t="s">
        <v>12</v>
      </c>
      <c r="D31" s="39">
        <f>17.7*1.02</f>
        <v>18.053999999999998</v>
      </c>
      <c r="E31" s="38"/>
      <c r="F31" s="36"/>
      <c r="G31" s="36"/>
      <c r="H31" s="36">
        <f>ROUND(1095.83*1.15,2)</f>
        <v>1260.2</v>
      </c>
      <c r="I31" s="36">
        <f>ROUND(H31*D31,2)</f>
        <v>22751.65</v>
      </c>
      <c r="J31" s="36">
        <f>ROUND(I31*1.2,2)</f>
        <v>27301.98</v>
      </c>
      <c r="K31" s="37">
        <f t="shared" si="3"/>
        <v>22751.65</v>
      </c>
      <c r="L31" s="36">
        <f t="shared" si="4"/>
        <v>27301.98</v>
      </c>
      <c r="M31" s="68" t="s">
        <v>16</v>
      </c>
    </row>
    <row r="32" spans="1:13" ht="21" customHeight="1" x14ac:dyDescent="0.25">
      <c r="A32" s="65">
        <f>A30+1</f>
        <v>16</v>
      </c>
      <c r="B32" s="47" t="s">
        <v>15</v>
      </c>
      <c r="C32" s="31" t="s">
        <v>12</v>
      </c>
      <c r="D32" s="34">
        <v>152</v>
      </c>
      <c r="E32" s="29">
        <v>17.53</v>
      </c>
      <c r="F32" s="46">
        <f>ROUND(E32*D32,2)</f>
        <v>2664.56</v>
      </c>
      <c r="G32" s="46">
        <f>ROUND(F32*1.2,2)</f>
        <v>3197.47</v>
      </c>
      <c r="H32" s="45"/>
      <c r="I32" s="44"/>
      <c r="J32" s="44"/>
      <c r="K32" s="26">
        <f t="shared" si="3"/>
        <v>2664.56</v>
      </c>
      <c r="L32" s="25">
        <f t="shared" si="4"/>
        <v>3197.47</v>
      </c>
    </row>
    <row r="33" spans="1:13" ht="21" customHeight="1" x14ac:dyDescent="0.25">
      <c r="A33" s="42" t="s">
        <v>61</v>
      </c>
      <c r="B33" s="41" t="s">
        <v>13</v>
      </c>
      <c r="C33" s="40" t="s">
        <v>12</v>
      </c>
      <c r="D33" s="39">
        <v>152</v>
      </c>
      <c r="E33" s="38"/>
      <c r="F33" s="36"/>
      <c r="G33" s="36"/>
      <c r="H33" s="36">
        <v>18.34</v>
      </c>
      <c r="I33" s="36">
        <f>ROUND(H33*D33,2)</f>
        <v>2787.68</v>
      </c>
      <c r="J33" s="36">
        <f>ROUND(I33*1.2,2)</f>
        <v>3345.22</v>
      </c>
      <c r="K33" s="37">
        <f t="shared" si="3"/>
        <v>2787.68</v>
      </c>
      <c r="L33" s="36">
        <f t="shared" si="4"/>
        <v>3345.22</v>
      </c>
    </row>
    <row r="34" spans="1:13" ht="21" customHeight="1" x14ac:dyDescent="0.25">
      <c r="A34" s="65">
        <f>A32+1</f>
        <v>17</v>
      </c>
      <c r="B34" s="32" t="s">
        <v>26</v>
      </c>
      <c r="C34" s="31" t="s">
        <v>23</v>
      </c>
      <c r="D34" s="30">
        <v>6</v>
      </c>
      <c r="E34" s="52">
        <v>6715.55</v>
      </c>
      <c r="F34" s="46">
        <f>ROUND(E34*D34,2)</f>
        <v>40293.300000000003</v>
      </c>
      <c r="G34" s="46">
        <f>ROUND(F34*1.2,2)</f>
        <v>48351.96</v>
      </c>
      <c r="H34" s="45"/>
      <c r="I34" s="44"/>
      <c r="J34" s="44"/>
      <c r="K34" s="26">
        <f t="shared" si="3"/>
        <v>40293.300000000003</v>
      </c>
      <c r="L34" s="25">
        <f t="shared" si="4"/>
        <v>48351.96</v>
      </c>
      <c r="M34" s="24"/>
    </row>
    <row r="35" spans="1:13" ht="21" customHeight="1" x14ac:dyDescent="0.25">
      <c r="A35" s="42" t="s">
        <v>60</v>
      </c>
      <c r="B35" s="41" t="s">
        <v>24</v>
      </c>
      <c r="C35" s="40" t="s">
        <v>23</v>
      </c>
      <c r="D35" s="49">
        <v>6</v>
      </c>
      <c r="E35" s="38"/>
      <c r="F35" s="36"/>
      <c r="G35" s="36"/>
      <c r="H35" s="36">
        <v>7106</v>
      </c>
      <c r="I35" s="36">
        <f>ROUND(H35*D35,2)</f>
        <v>42636</v>
      </c>
      <c r="J35" s="36">
        <f>ROUND(I35*1.2,2)</f>
        <v>51163.199999999997</v>
      </c>
      <c r="K35" s="37">
        <f t="shared" si="3"/>
        <v>42636</v>
      </c>
      <c r="L35" s="36">
        <f t="shared" si="4"/>
        <v>51163.199999999997</v>
      </c>
      <c r="M35" s="24"/>
    </row>
    <row r="36" spans="1:13" ht="15.75" x14ac:dyDescent="0.25">
      <c r="A36" s="33"/>
      <c r="B36" s="35" t="s">
        <v>11</v>
      </c>
      <c r="C36" s="31"/>
      <c r="D36" s="34"/>
      <c r="E36" s="29"/>
      <c r="F36" s="27"/>
      <c r="G36" s="27"/>
      <c r="H36" s="28"/>
      <c r="I36" s="27"/>
      <c r="J36" s="27"/>
      <c r="K36" s="26"/>
      <c r="L36" s="25"/>
    </row>
    <row r="37" spans="1:13" ht="25.5" customHeight="1" x14ac:dyDescent="0.25">
      <c r="A37" s="33">
        <f>A34+1</f>
        <v>18</v>
      </c>
      <c r="B37" s="32" t="s">
        <v>10</v>
      </c>
      <c r="C37" s="31" t="s">
        <v>9</v>
      </c>
      <c r="D37" s="30">
        <v>3</v>
      </c>
      <c r="E37" s="29">
        <v>12000</v>
      </c>
      <c r="F37" s="27">
        <f>ROUND(E37*D37,2)</f>
        <v>36000</v>
      </c>
      <c r="G37" s="27">
        <f>ROUND(F37*1.2,2)</f>
        <v>43200</v>
      </c>
      <c r="H37" s="28"/>
      <c r="I37" s="27"/>
      <c r="J37" s="27"/>
      <c r="K37" s="26">
        <f>F37+I37</f>
        <v>36000</v>
      </c>
      <c r="L37" s="25">
        <f>G37+J37</f>
        <v>43200</v>
      </c>
      <c r="M37" s="24"/>
    </row>
    <row r="38" spans="1:13" s="21" customFormat="1" ht="22.5" customHeight="1" x14ac:dyDescent="0.3">
      <c r="A38" s="125" t="s">
        <v>8</v>
      </c>
      <c r="B38" s="126"/>
      <c r="C38" s="126"/>
      <c r="D38" s="126"/>
      <c r="E38" s="127"/>
      <c r="F38" s="22">
        <f>SUM(F7:F37)</f>
        <v>751501.14</v>
      </c>
      <c r="G38" s="22">
        <f>ROUND(F38*1.2,2)</f>
        <v>901801.37</v>
      </c>
      <c r="H38" s="23"/>
      <c r="I38" s="22">
        <f>SUM(I7:I37)</f>
        <v>563722.67999999993</v>
      </c>
      <c r="J38" s="22">
        <f>ROUND(I38*1.2,2)</f>
        <v>676467.22</v>
      </c>
      <c r="K38" s="22">
        <f>SUM(K7:K37)</f>
        <v>1315223.8199999998</v>
      </c>
      <c r="L38" s="22">
        <f>ROUND(K38*1.2,2)</f>
        <v>1578268.58</v>
      </c>
    </row>
  </sheetData>
  <mergeCells count="10">
    <mergeCell ref="B6:D6"/>
    <mergeCell ref="A38:E3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F7A-1B45-4D90-A8DE-DC9ADE1BDABF}">
  <sheetPr>
    <tabColor theme="9" tint="0.79998168889431442"/>
  </sheetPr>
  <dimension ref="A1:M25"/>
  <sheetViews>
    <sheetView view="pageBreakPreview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8" t="s">
        <v>7</v>
      </c>
      <c r="B1" s="131" t="s">
        <v>56</v>
      </c>
      <c r="C1" s="134" t="s">
        <v>55</v>
      </c>
      <c r="D1" s="134" t="s">
        <v>54</v>
      </c>
      <c r="E1" s="135" t="s">
        <v>53</v>
      </c>
      <c r="F1" s="136"/>
      <c r="G1" s="136"/>
      <c r="H1" s="136"/>
      <c r="I1" s="136"/>
      <c r="J1" s="136"/>
      <c r="K1" s="136"/>
      <c r="L1" s="136"/>
    </row>
    <row r="2" spans="1:13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</row>
    <row r="3" spans="1:13" ht="27.75" customHeight="1" x14ac:dyDescent="0.25">
      <c r="A3" s="129"/>
      <c r="B3" s="132"/>
      <c r="C3" s="134"/>
      <c r="D3" s="134"/>
      <c r="E3" s="134" t="s">
        <v>52</v>
      </c>
      <c r="F3" s="134"/>
      <c r="G3" s="134"/>
      <c r="H3" s="134" t="s">
        <v>51</v>
      </c>
      <c r="I3" s="134"/>
      <c r="J3" s="134"/>
      <c r="K3" s="120" t="s">
        <v>50</v>
      </c>
      <c r="L3" s="120"/>
    </row>
    <row r="4" spans="1:13" ht="56.1" customHeight="1" x14ac:dyDescent="0.25">
      <c r="A4" s="130"/>
      <c r="B4" s="133"/>
      <c r="C4" s="134"/>
      <c r="D4" s="13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123" t="s">
        <v>108</v>
      </c>
      <c r="C6" s="124"/>
      <c r="D6" s="12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76</v>
      </c>
      <c r="B8" s="78" t="s">
        <v>74</v>
      </c>
      <c r="C8" s="65" t="s">
        <v>35</v>
      </c>
      <c r="D8" s="79">
        <v>4.0599999999999996</v>
      </c>
      <c r="E8" s="25">
        <f>ROUND(65055.24/(297.03*0.05),2)</f>
        <v>4380.38</v>
      </c>
      <c r="F8" s="46">
        <f>ROUND(E8*D8,2)</f>
        <v>17784.34</v>
      </c>
      <c r="G8" s="46">
        <f>ROUND(F8*1.2,2)</f>
        <v>21341.21</v>
      </c>
      <c r="H8" s="52"/>
      <c r="I8" s="27"/>
      <c r="J8" s="27"/>
      <c r="K8" s="81">
        <f t="shared" ref="K8:L10" si="0">F8+I8</f>
        <v>17784.34</v>
      </c>
      <c r="L8" s="46">
        <f t="shared" si="0"/>
        <v>21341.21</v>
      </c>
      <c r="M8" s="48" t="s">
        <v>104</v>
      </c>
    </row>
    <row r="9" spans="1:13" ht="20.25" customHeight="1" x14ac:dyDescent="0.25">
      <c r="A9" s="42">
        <f>A8+1</f>
        <v>2</v>
      </c>
      <c r="B9" s="78" t="s">
        <v>73</v>
      </c>
      <c r="C9" s="65" t="s">
        <v>35</v>
      </c>
      <c r="D9" s="79">
        <v>6.42</v>
      </c>
      <c r="E9" s="52">
        <v>304</v>
      </c>
      <c r="F9" s="46">
        <f>ROUND(E9*D9,2)</f>
        <v>1951.68</v>
      </c>
      <c r="G9" s="46">
        <f>ROUND(F9*1.2,2)</f>
        <v>2342.02</v>
      </c>
      <c r="H9" s="27"/>
      <c r="I9" s="27"/>
      <c r="J9" s="27"/>
      <c r="K9" s="81">
        <f t="shared" si="0"/>
        <v>1951.68</v>
      </c>
      <c r="L9" s="27">
        <f t="shared" si="0"/>
        <v>2342.02</v>
      </c>
      <c r="M9" s="48" t="s">
        <v>104</v>
      </c>
    </row>
    <row r="10" spans="1:13" ht="20.25" customHeight="1" x14ac:dyDescent="0.25">
      <c r="A10" s="42">
        <f>A9+1</f>
        <v>3</v>
      </c>
      <c r="B10" s="78" t="s">
        <v>71</v>
      </c>
      <c r="C10" s="65" t="s">
        <v>35</v>
      </c>
      <c r="D10" s="79">
        <v>10.48</v>
      </c>
      <c r="E10" s="25">
        <v>544.86</v>
      </c>
      <c r="F10" s="46">
        <f>ROUND(E10*D10,2)</f>
        <v>5710.13</v>
      </c>
      <c r="G10" s="46">
        <f>ROUND(F10*1.2,2)</f>
        <v>6852.16</v>
      </c>
      <c r="H10" s="52"/>
      <c r="I10" s="27"/>
      <c r="J10" s="27"/>
      <c r="K10" s="81">
        <f t="shared" si="0"/>
        <v>5710.13</v>
      </c>
      <c r="L10" s="27">
        <f t="shared" si="0"/>
        <v>6852.16</v>
      </c>
      <c r="M10" s="48" t="s">
        <v>103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0">
        <f>A10+1</f>
        <v>4</v>
      </c>
      <c r="B12" s="78" t="s">
        <v>94</v>
      </c>
      <c r="C12" s="31" t="s">
        <v>35</v>
      </c>
      <c r="D12" s="34">
        <v>13.1</v>
      </c>
      <c r="E12" s="52">
        <v>308.75</v>
      </c>
      <c r="F12" s="46">
        <f>ROUND(E12*D12,2)</f>
        <v>4044.63</v>
      </c>
      <c r="G12" s="46">
        <f>ROUND(F12*1.2,2)</f>
        <v>4853.5600000000004</v>
      </c>
      <c r="H12" s="52"/>
      <c r="I12" s="25"/>
      <c r="J12" s="25"/>
      <c r="K12" s="26">
        <f t="shared" ref="K12:K21" si="1">F12+I12</f>
        <v>4044.63</v>
      </c>
      <c r="L12" s="25">
        <f t="shared" ref="L12:L21" si="2">G12+J12</f>
        <v>4853.5600000000004</v>
      </c>
    </row>
    <row r="13" spans="1:13" ht="18.75" customHeight="1" x14ac:dyDescent="0.25">
      <c r="A13" s="80">
        <f>A12+1</f>
        <v>5</v>
      </c>
      <c r="B13" s="78" t="s">
        <v>69</v>
      </c>
      <c r="C13" s="31" t="s">
        <v>35</v>
      </c>
      <c r="D13" s="34">
        <v>5.62</v>
      </c>
      <c r="E13" s="52">
        <v>1688.15</v>
      </c>
      <c r="F13" s="46">
        <f>ROUND(E13*D13,2)</f>
        <v>9487.4</v>
      </c>
      <c r="G13" s="46">
        <f>ROUND(F13*1.2,2)</f>
        <v>11384.88</v>
      </c>
      <c r="H13" s="52"/>
      <c r="I13" s="25"/>
      <c r="J13" s="25"/>
      <c r="K13" s="26">
        <f t="shared" si="1"/>
        <v>9487.4</v>
      </c>
      <c r="L13" s="25">
        <f t="shared" si="2"/>
        <v>11384.88</v>
      </c>
    </row>
    <row r="14" spans="1:13" ht="20.25" customHeight="1" x14ac:dyDescent="0.25">
      <c r="A14" s="80">
        <f>A13+1</f>
        <v>6</v>
      </c>
      <c r="B14" s="78" t="s">
        <v>68</v>
      </c>
      <c r="C14" s="65" t="s">
        <v>35</v>
      </c>
      <c r="D14" s="79">
        <v>2.58</v>
      </c>
      <c r="E14" s="52">
        <v>1310.05</v>
      </c>
      <c r="F14" s="46">
        <f>ROUND(E14*D14,2)</f>
        <v>3379.93</v>
      </c>
      <c r="G14" s="46">
        <f>ROUND(F14*1.2,2)</f>
        <v>4055.92</v>
      </c>
      <c r="H14" s="27"/>
      <c r="I14" s="44"/>
      <c r="J14" s="44"/>
      <c r="K14" s="26">
        <f t="shared" si="1"/>
        <v>3379.93</v>
      </c>
      <c r="L14" s="25">
        <f t="shared" si="2"/>
        <v>4055.92</v>
      </c>
    </row>
    <row r="15" spans="1:13" ht="20.25" customHeight="1" x14ac:dyDescent="0.25">
      <c r="A15" s="42" t="s">
        <v>30</v>
      </c>
      <c r="B15" s="41" t="s">
        <v>37</v>
      </c>
      <c r="C15" s="40" t="s">
        <v>35</v>
      </c>
      <c r="D15" s="39">
        <f>ROUND(2.58*1.1,2)</f>
        <v>2.84</v>
      </c>
      <c r="E15" s="38"/>
      <c r="F15" s="36"/>
      <c r="G15" s="36"/>
      <c r="H15" s="36">
        <v>1191.3</v>
      </c>
      <c r="I15" s="36">
        <f>ROUND(H15*D15,2)</f>
        <v>3383.29</v>
      </c>
      <c r="J15" s="36">
        <f>ROUND(I15*1.2,2)</f>
        <v>4059.95</v>
      </c>
      <c r="K15" s="37">
        <f t="shared" si="1"/>
        <v>3383.29</v>
      </c>
      <c r="L15" s="36">
        <f t="shared" si="2"/>
        <v>4059.95</v>
      </c>
    </row>
    <row r="16" spans="1:13" ht="18" customHeight="1" x14ac:dyDescent="0.25">
      <c r="A16" s="80">
        <f>A14+1</f>
        <v>7</v>
      </c>
      <c r="B16" s="32" t="s">
        <v>39</v>
      </c>
      <c r="C16" s="31" t="s">
        <v>35</v>
      </c>
      <c r="D16" s="34">
        <v>7.41</v>
      </c>
      <c r="E16" s="52">
        <v>1310.05</v>
      </c>
      <c r="F16" s="46">
        <f>ROUND(E16*D16,2)</f>
        <v>9707.4699999999993</v>
      </c>
      <c r="G16" s="46">
        <f>ROUND(F16*1.2,2)</f>
        <v>11648.96</v>
      </c>
      <c r="H16" s="27"/>
      <c r="I16" s="25"/>
      <c r="J16" s="25"/>
      <c r="K16" s="26">
        <f t="shared" si="1"/>
        <v>9707.4699999999993</v>
      </c>
      <c r="L16" s="25">
        <f t="shared" si="2"/>
        <v>11648.96</v>
      </c>
    </row>
    <row r="17" spans="1:13" ht="20.25" customHeight="1" x14ac:dyDescent="0.25">
      <c r="A17" s="42" t="s">
        <v>28</v>
      </c>
      <c r="B17" s="41" t="s">
        <v>37</v>
      </c>
      <c r="C17" s="40" t="s">
        <v>35</v>
      </c>
      <c r="D17" s="39">
        <f>ROUND(7.41*1.1,2)</f>
        <v>8.15</v>
      </c>
      <c r="E17" s="38"/>
      <c r="F17" s="36"/>
      <c r="G17" s="36"/>
      <c r="H17" s="36">
        <v>1191.3</v>
      </c>
      <c r="I17" s="36">
        <f>ROUND(H17*D17,2)</f>
        <v>9709.1</v>
      </c>
      <c r="J17" s="36">
        <f>ROUND(I17*1.2,2)</f>
        <v>11650.92</v>
      </c>
      <c r="K17" s="37">
        <f t="shared" si="1"/>
        <v>9709.1</v>
      </c>
      <c r="L17" s="36">
        <f t="shared" si="2"/>
        <v>11650.92</v>
      </c>
    </row>
    <row r="18" spans="1:13" ht="18.75" customHeight="1" x14ac:dyDescent="0.25">
      <c r="A18" s="80">
        <f>A16+1</f>
        <v>8</v>
      </c>
      <c r="B18" s="32" t="s">
        <v>102</v>
      </c>
      <c r="C18" s="31" t="s">
        <v>35</v>
      </c>
      <c r="D18" s="34">
        <v>18.600000000000001</v>
      </c>
      <c r="E18" s="52">
        <v>1310.05</v>
      </c>
      <c r="F18" s="46">
        <f>ROUND(E18*D18,2)</f>
        <v>24366.93</v>
      </c>
      <c r="G18" s="46">
        <f>ROUND(F18*1.2,2)</f>
        <v>29240.32</v>
      </c>
      <c r="H18" s="27"/>
      <c r="I18" s="25"/>
      <c r="J18" s="25"/>
      <c r="K18" s="26">
        <f t="shared" si="1"/>
        <v>24366.93</v>
      </c>
      <c r="L18" s="25">
        <f t="shared" si="2"/>
        <v>29240.32</v>
      </c>
    </row>
    <row r="19" spans="1:13" ht="20.25" customHeight="1" x14ac:dyDescent="0.25">
      <c r="A19" s="42" t="s">
        <v>25</v>
      </c>
      <c r="B19" s="41" t="s">
        <v>37</v>
      </c>
      <c r="C19" s="40" t="s">
        <v>35</v>
      </c>
      <c r="D19" s="39">
        <f>ROUND(18.6*1.1,2)</f>
        <v>20.46</v>
      </c>
      <c r="E19" s="38"/>
      <c r="F19" s="36"/>
      <c r="G19" s="36"/>
      <c r="H19" s="36">
        <v>1191.3</v>
      </c>
      <c r="I19" s="36">
        <f>ROUND(H19*D19,2)</f>
        <v>24374</v>
      </c>
      <c r="J19" s="36">
        <f>ROUND(I19*1.2,2)</f>
        <v>29248.799999999999</v>
      </c>
      <c r="K19" s="37">
        <f t="shared" si="1"/>
        <v>24374</v>
      </c>
      <c r="L19" s="36">
        <f t="shared" si="2"/>
        <v>29248.799999999999</v>
      </c>
    </row>
    <row r="20" spans="1:13" ht="18.75" customHeight="1" x14ac:dyDescent="0.25">
      <c r="A20" s="33">
        <f>A18+1</f>
        <v>9</v>
      </c>
      <c r="B20" s="32" t="s">
        <v>66</v>
      </c>
      <c r="C20" s="31" t="s">
        <v>35</v>
      </c>
      <c r="D20" s="34">
        <v>18.600000000000001</v>
      </c>
      <c r="E20" s="52">
        <v>188.1</v>
      </c>
      <c r="F20" s="46">
        <f>ROUND(E20*D20,2)</f>
        <v>3498.66</v>
      </c>
      <c r="G20" s="46">
        <f>ROUND(F20*1.2,2)</f>
        <v>4198.3900000000003</v>
      </c>
      <c r="H20" s="26"/>
      <c r="I20" s="27"/>
      <c r="J20" s="27"/>
      <c r="K20" s="26">
        <f t="shared" si="1"/>
        <v>3498.66</v>
      </c>
      <c r="L20" s="25">
        <f t="shared" si="2"/>
        <v>4198.3900000000003</v>
      </c>
    </row>
    <row r="21" spans="1:13" ht="18.75" customHeight="1" x14ac:dyDescent="0.25">
      <c r="A21" s="33">
        <f>A20+1</f>
        <v>10</v>
      </c>
      <c r="B21" s="32" t="s">
        <v>34</v>
      </c>
      <c r="C21" s="31" t="s">
        <v>33</v>
      </c>
      <c r="D21" s="34">
        <v>35.57</v>
      </c>
      <c r="E21" s="52">
        <v>308.75</v>
      </c>
      <c r="F21" s="46">
        <f>ROUND(E21*D21,2)</f>
        <v>10982.24</v>
      </c>
      <c r="G21" s="46">
        <f>ROUND(F21*1.2,2)</f>
        <v>13178.69</v>
      </c>
      <c r="H21" s="52"/>
      <c r="I21" s="25"/>
      <c r="J21" s="25"/>
      <c r="K21" s="26">
        <f t="shared" si="1"/>
        <v>10982.24</v>
      </c>
      <c r="L21" s="25">
        <f t="shared" si="2"/>
        <v>13178.69</v>
      </c>
    </row>
    <row r="22" spans="1:13" ht="22.5" customHeight="1" x14ac:dyDescent="0.25">
      <c r="A22" s="33"/>
      <c r="B22" s="59" t="s">
        <v>32</v>
      </c>
      <c r="C22" s="31"/>
      <c r="D22" s="34"/>
      <c r="E22" s="52"/>
      <c r="F22" s="46"/>
      <c r="G22" s="46"/>
      <c r="H22" s="52"/>
      <c r="I22" s="25"/>
      <c r="J22" s="25"/>
      <c r="K22" s="26"/>
      <c r="L22" s="25"/>
    </row>
    <row r="23" spans="1:13" ht="33" customHeight="1" x14ac:dyDescent="0.25">
      <c r="A23" s="33">
        <f>A21+1</f>
        <v>11</v>
      </c>
      <c r="B23" s="32" t="s">
        <v>107</v>
      </c>
      <c r="C23" s="31" t="s">
        <v>12</v>
      </c>
      <c r="D23" s="34">
        <v>63.3</v>
      </c>
      <c r="E23" s="52">
        <f>966.15*2</f>
        <v>1932.3</v>
      </c>
      <c r="F23" s="46">
        <f>ROUND(E23*D23,2)</f>
        <v>122314.59</v>
      </c>
      <c r="G23" s="46">
        <f>ROUND(F23*1.2,2)</f>
        <v>146777.51</v>
      </c>
      <c r="H23" s="45"/>
      <c r="I23" s="44"/>
      <c r="J23" s="44"/>
      <c r="K23" s="26">
        <f>F23+I23</f>
        <v>122314.59</v>
      </c>
      <c r="L23" s="25">
        <f>G23+J23</f>
        <v>146777.51</v>
      </c>
      <c r="M23" s="68"/>
    </row>
    <row r="24" spans="1:13" ht="18.75" customHeight="1" x14ac:dyDescent="0.25">
      <c r="A24" s="42" t="s">
        <v>14</v>
      </c>
      <c r="B24" s="41" t="s">
        <v>106</v>
      </c>
      <c r="C24" s="40" t="s">
        <v>12</v>
      </c>
      <c r="D24" s="39">
        <f>ROUND(63.3*1.02,2)</f>
        <v>64.569999999999993</v>
      </c>
      <c r="E24" s="38"/>
      <c r="F24" s="36">
        <f>ROUND(E24*D24,2)</f>
        <v>0</v>
      </c>
      <c r="G24" s="36">
        <f>ROUND(F24*1.2,2)</f>
        <v>0</v>
      </c>
      <c r="H24" s="36">
        <f>ROUND(1250*1.15,2)</f>
        <v>1437.5</v>
      </c>
      <c r="I24" s="36">
        <f>ROUND(H24*D24,2)</f>
        <v>92819.38</v>
      </c>
      <c r="J24" s="36">
        <f>ROUND(I24*1.2,2)</f>
        <v>111383.26</v>
      </c>
      <c r="K24" s="37">
        <f>F24+I24</f>
        <v>92819.38</v>
      </c>
      <c r="L24" s="36">
        <f>G24+J24</f>
        <v>111383.26</v>
      </c>
      <c r="M24" s="68" t="s">
        <v>16</v>
      </c>
    </row>
    <row r="25" spans="1:13" s="21" customFormat="1" ht="21" customHeight="1" x14ac:dyDescent="0.3">
      <c r="A25" s="125" t="s">
        <v>8</v>
      </c>
      <c r="B25" s="126"/>
      <c r="C25" s="126"/>
      <c r="D25" s="126"/>
      <c r="E25" s="127"/>
      <c r="F25" s="22">
        <f>SUM(F7:F24)</f>
        <v>213228</v>
      </c>
      <c r="G25" s="22">
        <f>ROUND(F25*1.2,2)</f>
        <v>255873.6</v>
      </c>
      <c r="H25" s="23"/>
      <c r="I25" s="22">
        <f>SUM(I7:I24)</f>
        <v>130285.77</v>
      </c>
      <c r="J25" s="22">
        <f>ROUND(I25*1.2,2)</f>
        <v>156342.92000000001</v>
      </c>
      <c r="K25" s="22">
        <f>SUM(K7:K24)</f>
        <v>343513.77</v>
      </c>
      <c r="L25" s="22">
        <f>ROUND(K25*1.2,2)</f>
        <v>412216.52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Свод ЭС2</vt:lpstr>
      <vt:lpstr>ЭС1</vt:lpstr>
      <vt:lpstr>ТП7-склад75</vt:lpstr>
      <vt:lpstr>28-28А, 28Б-28В</vt:lpstr>
      <vt:lpstr>ЭС2 цех417-ММЗ</vt:lpstr>
      <vt:lpstr>ЭС2 Защита</vt:lpstr>
      <vt:lpstr>'28-28А, 28Б-28В'!Область_печати</vt:lpstr>
      <vt:lpstr>'Свод ЭС2'!Область_печати</vt:lpstr>
      <vt:lpstr>'ТП7-склад75'!Область_печати</vt:lpstr>
      <vt:lpstr>ЭС1!Область_печати</vt:lpstr>
      <vt:lpstr>'ЭС2 Защита'!Область_печати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2024-10-09T07:23:06Z</dcterms:modified>
</cp:coreProperties>
</file>