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E3866D1B-11DB-465D-B0B0-F48218CDE029}" xr6:coauthVersionLast="45" xr6:coauthVersionMax="45" xr10:uidLastSave="{00000000-0000-0000-0000-000000000000}"/>
  <bookViews>
    <workbookView xWindow="-120" yWindow="-120" windowWidth="29040" windowHeight="15840" xr2:uid="{D475925F-4D86-4D8A-9BB7-FC40D61966BD}"/>
  </bookViews>
  <sheets>
    <sheet name="Свод ЭС2" sheetId="1" r:id="rId1"/>
    <sheet name="ТП7-склад75" sheetId="8" r:id="rId2"/>
    <sheet name="28-28А, 28Б-28В" sheetId="2" r:id="rId3"/>
    <sheet name="1-2; 7-8" sheetId="3" r:id="rId4"/>
    <sheet name="ЭС2 цех417-ММЗ" sheetId="6" r:id="rId5"/>
    <sheet name="ЭС2 Защита" sheetId="7" r:id="rId6"/>
  </sheets>
  <definedNames>
    <definedName name="_xlnm.Print_Area" localSheetId="3">'1-2; 7-8'!$A$1:$L$47</definedName>
    <definedName name="_xlnm.Print_Area" localSheetId="2">'28-28А, 28Б-28В'!$A$1:$L$34</definedName>
    <definedName name="_xlnm.Print_Area" localSheetId="0">'Свод ЭС2'!$A$1:$H$8</definedName>
    <definedName name="_xlnm.Print_Area" localSheetId="1">'ТП7-склад75'!$A$1:$L$50</definedName>
    <definedName name="_xlnm.Print_Area" localSheetId="5">'ЭС2 Защита'!$A$1:$L$28</definedName>
    <definedName name="_xlnm.Print_Area" localSheetId="4">'ЭС2 цех417-ММЗ'!$A$1:$L$45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6" l="1"/>
  <c r="G36" i="6" s="1"/>
  <c r="I37" i="6" l="1"/>
  <c r="K37" i="6" s="1"/>
  <c r="L36" i="6"/>
  <c r="I35" i="6"/>
  <c r="K35" i="6" s="1"/>
  <c r="F34" i="6"/>
  <c r="G34" i="6" s="1"/>
  <c r="L34" i="6" s="1"/>
  <c r="I39" i="6"/>
  <c r="K39" i="6" s="1"/>
  <c r="F38" i="6"/>
  <c r="G38" i="6" s="1"/>
  <c r="L38" i="6" s="1"/>
  <c r="D31" i="6"/>
  <c r="D29" i="6"/>
  <c r="D25" i="6"/>
  <c r="D27" i="6"/>
  <c r="F21" i="6"/>
  <c r="G21" i="6" s="1"/>
  <c r="L21" i="6" s="1"/>
  <c r="D20" i="6"/>
  <c r="D18" i="6"/>
  <c r="D16" i="6"/>
  <c r="A9" i="6"/>
  <c r="F8" i="6"/>
  <c r="K8" i="6" s="1"/>
  <c r="J37" i="6" l="1"/>
  <c r="L37" i="6" s="1"/>
  <c r="K36" i="6"/>
  <c r="J35" i="6"/>
  <c r="L35" i="6" s="1"/>
  <c r="K34" i="6"/>
  <c r="K38" i="6"/>
  <c r="J39" i="6"/>
  <c r="L39" i="6" s="1"/>
  <c r="K21" i="6"/>
  <c r="G8" i="6"/>
  <c r="L8" i="6" s="1"/>
  <c r="I26" i="2"/>
  <c r="K26" i="2" s="1"/>
  <c r="F25" i="2"/>
  <c r="G25" i="2" s="1"/>
  <c r="L25" i="2" s="1"/>
  <c r="D22" i="2"/>
  <c r="D24" i="2"/>
  <c r="H20" i="2"/>
  <c r="I20" i="2" s="1"/>
  <c r="F19" i="2"/>
  <c r="K19" i="2" s="1"/>
  <c r="H18" i="2"/>
  <c r="D18" i="2"/>
  <c r="F17" i="2"/>
  <c r="K17" i="2" s="1"/>
  <c r="D11" i="2"/>
  <c r="D13" i="2"/>
  <c r="I18" i="2" l="1"/>
  <c r="K25" i="2"/>
  <c r="J26" i="2"/>
  <c r="L26" i="2" s="1"/>
  <c r="K20" i="2"/>
  <c r="J20" i="2"/>
  <c r="L20" i="2" s="1"/>
  <c r="G19" i="2"/>
  <c r="L19" i="2" s="1"/>
  <c r="K18" i="2"/>
  <c r="J18" i="2"/>
  <c r="L18" i="2" s="1"/>
  <c r="G17" i="2"/>
  <c r="L17" i="2" s="1"/>
  <c r="A4" i="1"/>
  <c r="A5" i="1" s="1"/>
  <c r="A6" i="1" s="1"/>
  <c r="A7" i="1" s="1"/>
  <c r="D37" i="8"/>
  <c r="D35" i="8"/>
  <c r="D33" i="8"/>
  <c r="H31" i="8"/>
  <c r="D31" i="8"/>
  <c r="F30" i="8"/>
  <c r="K30" i="8" s="1"/>
  <c r="D29" i="8"/>
  <c r="H29" i="8"/>
  <c r="F28" i="8"/>
  <c r="D17" i="8"/>
  <c r="I17" i="8" s="1"/>
  <c r="D15" i="8"/>
  <c r="I15" i="8" s="1"/>
  <c r="F11" i="8"/>
  <c r="K11" i="8" s="1"/>
  <c r="F46" i="8"/>
  <c r="K46" i="8" s="1"/>
  <c r="F44" i="8"/>
  <c r="G44" i="8" s="1"/>
  <c r="L44" i="8" s="1"/>
  <c r="E43" i="8"/>
  <c r="F43" i="8" s="1"/>
  <c r="H41" i="8"/>
  <c r="I41" i="8" s="1"/>
  <c r="E40" i="8"/>
  <c r="F40" i="8" s="1"/>
  <c r="K40" i="8" s="1"/>
  <c r="I39" i="8"/>
  <c r="K39" i="8" s="1"/>
  <c r="F38" i="8"/>
  <c r="H37" i="8"/>
  <c r="F36" i="8"/>
  <c r="H35" i="8"/>
  <c r="I35" i="8" s="1"/>
  <c r="F34" i="8"/>
  <c r="H33" i="8"/>
  <c r="F32" i="8"/>
  <c r="G32" i="8" s="1"/>
  <c r="L32" i="8" s="1"/>
  <c r="I27" i="8"/>
  <c r="J27" i="8" s="1"/>
  <c r="L27" i="8" s="1"/>
  <c r="F26" i="8"/>
  <c r="G26" i="8" s="1"/>
  <c r="L26" i="8" s="1"/>
  <c r="H25" i="8"/>
  <c r="D25" i="8"/>
  <c r="F25" i="8" s="1"/>
  <c r="G25" i="8" s="1"/>
  <c r="F24" i="8"/>
  <c r="G24" i="8" s="1"/>
  <c r="L24" i="8" s="1"/>
  <c r="H23" i="8"/>
  <c r="D23" i="8"/>
  <c r="F22" i="8"/>
  <c r="G22" i="8" s="1"/>
  <c r="L22" i="8" s="1"/>
  <c r="F20" i="8"/>
  <c r="G20" i="8" s="1"/>
  <c r="L20" i="8" s="1"/>
  <c r="F19" i="8"/>
  <c r="K19" i="8" s="1"/>
  <c r="F18" i="8"/>
  <c r="K18" i="8" s="1"/>
  <c r="F16" i="8"/>
  <c r="G16" i="8" s="1"/>
  <c r="L16" i="8" s="1"/>
  <c r="F14" i="8"/>
  <c r="G14" i="8" s="1"/>
  <c r="L14" i="8" s="1"/>
  <c r="F13" i="8"/>
  <c r="K13" i="8" s="1"/>
  <c r="F10" i="8"/>
  <c r="K10" i="8" s="1"/>
  <c r="E9" i="8"/>
  <c r="F9" i="8" s="1"/>
  <c r="K9" i="8" s="1"/>
  <c r="A9" i="8"/>
  <c r="A10" i="8" s="1"/>
  <c r="A11" i="8" s="1"/>
  <c r="A13" i="8" s="1"/>
  <c r="A14" i="8" s="1"/>
  <c r="A16" i="8" s="1"/>
  <c r="A18" i="8" s="1"/>
  <c r="A19" i="8" s="1"/>
  <c r="F8" i="8"/>
  <c r="K8" i="8" s="1"/>
  <c r="E8" i="7"/>
  <c r="F8" i="7" s="1"/>
  <c r="A9" i="7"/>
  <c r="A10" i="7" s="1"/>
  <c r="A12" i="7" s="1"/>
  <c r="A13" i="7" s="1"/>
  <c r="A14" i="7" s="1"/>
  <c r="A16" i="7" s="1"/>
  <c r="A18" i="7" s="1"/>
  <c r="A20" i="7" s="1"/>
  <c r="A21" i="7" s="1"/>
  <c r="A23" i="7" s="1"/>
  <c r="F9" i="7"/>
  <c r="G9" i="7" s="1"/>
  <c r="L9" i="7" s="1"/>
  <c r="F10" i="7"/>
  <c r="F12" i="7"/>
  <c r="K12" i="7" s="1"/>
  <c r="F13" i="7"/>
  <c r="G13" i="7" s="1"/>
  <c r="L13" i="7" s="1"/>
  <c r="F14" i="7"/>
  <c r="K14" i="7" s="1"/>
  <c r="D15" i="7"/>
  <c r="I15" i="7" s="1"/>
  <c r="F16" i="7"/>
  <c r="G16" i="7" s="1"/>
  <c r="L16" i="7" s="1"/>
  <c r="D17" i="7"/>
  <c r="I17" i="7" s="1"/>
  <c r="F18" i="7"/>
  <c r="K18" i="7" s="1"/>
  <c r="D19" i="7"/>
  <c r="I19" i="7" s="1"/>
  <c r="J19" i="7" s="1"/>
  <c r="L19" i="7" s="1"/>
  <c r="F20" i="7"/>
  <c r="G20" i="7" s="1"/>
  <c r="L20" i="7" s="1"/>
  <c r="F21" i="7"/>
  <c r="G21" i="7" s="1"/>
  <c r="L21" i="7" s="1"/>
  <c r="E23" i="7"/>
  <c r="F23" i="7" s="1"/>
  <c r="D24" i="7"/>
  <c r="F24" i="7" s="1"/>
  <c r="G24" i="7" s="1"/>
  <c r="H24" i="7"/>
  <c r="I24" i="7" s="1"/>
  <c r="J24" i="7" s="1"/>
  <c r="E9" i="6"/>
  <c r="F9" i="6" s="1"/>
  <c r="A10" i="6"/>
  <c r="A11" i="6" s="1"/>
  <c r="F10" i="6"/>
  <c r="G10" i="6" s="1"/>
  <c r="L10" i="6" s="1"/>
  <c r="F11" i="6"/>
  <c r="G11" i="6" s="1"/>
  <c r="L11" i="6" s="1"/>
  <c r="F13" i="6"/>
  <c r="G13" i="6" s="1"/>
  <c r="L13" i="6" s="1"/>
  <c r="F14" i="6"/>
  <c r="K14" i="6" s="1"/>
  <c r="F15" i="6"/>
  <c r="G15" i="6" s="1"/>
  <c r="L15" i="6" s="1"/>
  <c r="I16" i="6"/>
  <c r="F17" i="6"/>
  <c r="G17" i="6" s="1"/>
  <c r="L17" i="6" s="1"/>
  <c r="I18" i="6"/>
  <c r="F19" i="6"/>
  <c r="K19" i="6" s="1"/>
  <c r="I20" i="6"/>
  <c r="J20" i="6" s="1"/>
  <c r="L20" i="6" s="1"/>
  <c r="F22" i="6"/>
  <c r="G22" i="6" s="1"/>
  <c r="L22" i="6" s="1"/>
  <c r="F24" i="6"/>
  <c r="G24" i="6" s="1"/>
  <c r="L24" i="6" s="1"/>
  <c r="F25" i="6"/>
  <c r="H25" i="6"/>
  <c r="F26" i="6"/>
  <c r="G26" i="6" s="1"/>
  <c r="L26" i="6" s="1"/>
  <c r="F27" i="6"/>
  <c r="G27" i="6" s="1"/>
  <c r="H27" i="6"/>
  <c r="F28" i="6"/>
  <c r="G28" i="6" s="1"/>
  <c r="L28" i="6" s="1"/>
  <c r="H29" i="6"/>
  <c r="F30" i="6"/>
  <c r="G30" i="6" s="1"/>
  <c r="L30" i="6" s="1"/>
  <c r="H31" i="6"/>
  <c r="I31" i="6" s="1"/>
  <c r="J31" i="6" s="1"/>
  <c r="L31" i="6" s="1"/>
  <c r="F32" i="6"/>
  <c r="I33" i="6"/>
  <c r="F41" i="6"/>
  <c r="K41" i="6" s="1"/>
  <c r="F8" i="3"/>
  <c r="G8" i="3" s="1"/>
  <c r="L8" i="3" s="1"/>
  <c r="A9" i="3"/>
  <c r="A10" i="3" s="1"/>
  <c r="A11" i="3" s="1"/>
  <c r="A13" i="3" s="1"/>
  <c r="A14" i="3" s="1"/>
  <c r="A15" i="3" s="1"/>
  <c r="A17" i="3" s="1"/>
  <c r="A19" i="3" s="1"/>
  <c r="A21" i="3" s="1"/>
  <c r="A23" i="3" s="1"/>
  <c r="A24" i="3" s="1"/>
  <c r="A25" i="3" s="1"/>
  <c r="A27" i="3" s="1"/>
  <c r="A29" i="3" s="1"/>
  <c r="A31" i="3" s="1"/>
  <c r="A34" i="3" s="1"/>
  <c r="A36" i="3" s="1"/>
  <c r="A38" i="3" s="1"/>
  <c r="A40" i="3" s="1"/>
  <c r="A43" i="3" s="1"/>
  <c r="E9" i="3"/>
  <c r="F9" i="3" s="1"/>
  <c r="F10" i="3"/>
  <c r="K10" i="3" s="1"/>
  <c r="F11" i="3"/>
  <c r="F13" i="3"/>
  <c r="G13" i="3" s="1"/>
  <c r="L13" i="3" s="1"/>
  <c r="F14" i="3"/>
  <c r="K14" i="3" s="1"/>
  <c r="F15" i="3"/>
  <c r="K15" i="3" s="1"/>
  <c r="G15" i="3"/>
  <c r="L15" i="3" s="1"/>
  <c r="D16" i="3"/>
  <c r="I16" i="3" s="1"/>
  <c r="J16" i="3" s="1"/>
  <c r="L16" i="3" s="1"/>
  <c r="F17" i="3"/>
  <c r="G17" i="3" s="1"/>
  <c r="L17" i="3" s="1"/>
  <c r="D18" i="3"/>
  <c r="I18" i="3" s="1"/>
  <c r="K18" i="3" s="1"/>
  <c r="J18" i="3"/>
  <c r="L18" i="3" s="1"/>
  <c r="F19" i="3"/>
  <c r="G19" i="3" s="1"/>
  <c r="L19" i="3" s="1"/>
  <c r="D20" i="3"/>
  <c r="I20" i="3"/>
  <c r="K20" i="3" s="1"/>
  <c r="F21" i="3"/>
  <c r="K21" i="3" s="1"/>
  <c r="D22" i="3"/>
  <c r="I22" i="3" s="1"/>
  <c r="J22" i="3" s="1"/>
  <c r="L22" i="3" s="1"/>
  <c r="F23" i="3"/>
  <c r="G23" i="3" s="1"/>
  <c r="L23" i="3" s="1"/>
  <c r="F24" i="3"/>
  <c r="K24" i="3" s="1"/>
  <c r="G24" i="3"/>
  <c r="L24" i="3" s="1"/>
  <c r="F25" i="3"/>
  <c r="G25" i="3" s="1"/>
  <c r="L25" i="3" s="1"/>
  <c r="F27" i="3"/>
  <c r="K27" i="3" s="1"/>
  <c r="D28" i="3"/>
  <c r="H28" i="3"/>
  <c r="F29" i="3"/>
  <c r="G29" i="3"/>
  <c r="L29" i="3" s="1"/>
  <c r="K29" i="3"/>
  <c r="I30" i="3"/>
  <c r="J30" i="3" s="1"/>
  <c r="L30" i="3" s="1"/>
  <c r="F31" i="3"/>
  <c r="G31" i="3" s="1"/>
  <c r="L31" i="3" s="1"/>
  <c r="H32" i="3"/>
  <c r="I32" i="3" s="1"/>
  <c r="H33" i="3"/>
  <c r="I33" i="3" s="1"/>
  <c r="F34" i="3"/>
  <c r="D35" i="3"/>
  <c r="H35" i="3"/>
  <c r="F36" i="3"/>
  <c r="D37" i="3"/>
  <c r="H37" i="3"/>
  <c r="I37" i="3" s="1"/>
  <c r="F38" i="3"/>
  <c r="I39" i="3"/>
  <c r="J39" i="3" s="1"/>
  <c r="L39" i="3" s="1"/>
  <c r="K39" i="3"/>
  <c r="F40" i="3"/>
  <c r="I41" i="3"/>
  <c r="K41" i="3" s="1"/>
  <c r="F43" i="3"/>
  <c r="G43" i="3" s="1"/>
  <c r="L43" i="3" s="1"/>
  <c r="F8" i="2"/>
  <c r="G8" i="2" s="1"/>
  <c r="L8" i="2" s="1"/>
  <c r="F9" i="2"/>
  <c r="G9" i="2" s="1"/>
  <c r="L9" i="2" s="1"/>
  <c r="A10" i="2"/>
  <c r="A12" i="2" s="1"/>
  <c r="A14" i="2" s="1"/>
  <c r="A15" i="2" s="1"/>
  <c r="F10" i="2"/>
  <c r="K10" i="2" s="1"/>
  <c r="I11" i="2"/>
  <c r="J11" i="2" s="1"/>
  <c r="L11" i="2" s="1"/>
  <c r="F12" i="2"/>
  <c r="G12" i="2" s="1"/>
  <c r="L12" i="2" s="1"/>
  <c r="I13" i="2"/>
  <c r="J13" i="2" s="1"/>
  <c r="L13" i="2" s="1"/>
  <c r="F14" i="2"/>
  <c r="G14" i="2" s="1"/>
  <c r="L14" i="2" s="1"/>
  <c r="D15" i="2"/>
  <c r="F15" i="2" s="1"/>
  <c r="F21" i="2"/>
  <c r="H22" i="2"/>
  <c r="I22" i="2" s="1"/>
  <c r="F23" i="2"/>
  <c r="H24" i="2"/>
  <c r="F27" i="2"/>
  <c r="I28" i="2"/>
  <c r="K28" i="2" s="1"/>
  <c r="J28" i="2"/>
  <c r="L28" i="2" s="1"/>
  <c r="F30" i="2"/>
  <c r="G30" i="2" s="1"/>
  <c r="L30" i="2" s="1"/>
  <c r="J41" i="3" l="1"/>
  <c r="L41" i="3" s="1"/>
  <c r="I23" i="8"/>
  <c r="J23" i="8" s="1"/>
  <c r="K30" i="3"/>
  <c r="I35" i="3"/>
  <c r="K35" i="3" s="1"/>
  <c r="I28" i="3"/>
  <c r="K28" i="3" s="1"/>
  <c r="K13" i="3"/>
  <c r="I33" i="8"/>
  <c r="G27" i="3"/>
  <c r="L27" i="3" s="1"/>
  <c r="K21" i="7"/>
  <c r="K20" i="7"/>
  <c r="G14" i="7"/>
  <c r="L14" i="7" s="1"/>
  <c r="G12" i="7"/>
  <c r="L12" i="7" s="1"/>
  <c r="G41" i="6"/>
  <c r="L41" i="6" s="1"/>
  <c r="K30" i="6"/>
  <c r="K26" i="6"/>
  <c r="K22" i="6"/>
  <c r="A13" i="6"/>
  <c r="A14" i="6" s="1"/>
  <c r="A15" i="6" s="1"/>
  <c r="A17" i="6" s="1"/>
  <c r="A19" i="6" s="1"/>
  <c r="I27" i="6"/>
  <c r="J27" i="6" s="1"/>
  <c r="L27" i="6" s="1"/>
  <c r="G19" i="6"/>
  <c r="L19" i="6" s="1"/>
  <c r="K15" i="6"/>
  <c r="G14" i="6"/>
  <c r="L14" i="6" s="1"/>
  <c r="K10" i="6"/>
  <c r="K43" i="3"/>
  <c r="G10" i="3"/>
  <c r="L10" i="3" s="1"/>
  <c r="G9" i="6"/>
  <c r="L9" i="6" s="1"/>
  <c r="K9" i="6"/>
  <c r="G9" i="3"/>
  <c r="L9" i="3" s="1"/>
  <c r="K9" i="3"/>
  <c r="I25" i="6"/>
  <c r="J25" i="6" s="1"/>
  <c r="K13" i="6"/>
  <c r="K13" i="7"/>
  <c r="G21" i="3"/>
  <c r="L21" i="3" s="1"/>
  <c r="K19" i="3"/>
  <c r="K8" i="3"/>
  <c r="I29" i="6"/>
  <c r="G18" i="7"/>
  <c r="L18" i="7" s="1"/>
  <c r="K16" i="7"/>
  <c r="K22" i="3"/>
  <c r="K12" i="2"/>
  <c r="K30" i="2"/>
  <c r="K14" i="2"/>
  <c r="A17" i="2"/>
  <c r="A19" i="2" s="1"/>
  <c r="A21" i="2" s="1"/>
  <c r="A23" i="2" s="1"/>
  <c r="G10" i="2"/>
  <c r="L10" i="2" s="1"/>
  <c r="I24" i="2"/>
  <c r="J24" i="2" s="1"/>
  <c r="L24" i="2" s="1"/>
  <c r="K11" i="2"/>
  <c r="I25" i="8"/>
  <c r="J25" i="8" s="1"/>
  <c r="L25" i="8" s="1"/>
  <c r="I37" i="8"/>
  <c r="A20" i="8"/>
  <c r="A22" i="8" s="1"/>
  <c r="A24" i="8" s="1"/>
  <c r="A26" i="8" s="1"/>
  <c r="A28" i="8" s="1"/>
  <c r="A30" i="8" s="1"/>
  <c r="A32" i="8" s="1"/>
  <c r="A34" i="8" s="1"/>
  <c r="A36" i="8" s="1"/>
  <c r="A38" i="8" s="1"/>
  <c r="A40" i="8" s="1"/>
  <c r="A43" i="8" s="1"/>
  <c r="A44" i="8" s="1"/>
  <c r="A46" i="8" s="1"/>
  <c r="I31" i="8"/>
  <c r="K31" i="8" s="1"/>
  <c r="G30" i="8"/>
  <c r="L30" i="8" s="1"/>
  <c r="I29" i="8"/>
  <c r="K29" i="8" s="1"/>
  <c r="K28" i="8"/>
  <c r="G28" i="8"/>
  <c r="L28" i="8" s="1"/>
  <c r="K20" i="8"/>
  <c r="G34" i="8"/>
  <c r="L34" i="8" s="1"/>
  <c r="K34" i="8"/>
  <c r="G36" i="8"/>
  <c r="L36" i="8" s="1"/>
  <c r="K36" i="8"/>
  <c r="G38" i="8"/>
  <c r="L38" i="8" s="1"/>
  <c r="K38" i="8"/>
  <c r="K32" i="8"/>
  <c r="K14" i="8"/>
  <c r="K24" i="8"/>
  <c r="K26" i="8"/>
  <c r="G19" i="8"/>
  <c r="L19" i="8" s="1"/>
  <c r="K22" i="8"/>
  <c r="K27" i="8"/>
  <c r="K16" i="8"/>
  <c r="K44" i="8"/>
  <c r="G13" i="8"/>
  <c r="L13" i="8" s="1"/>
  <c r="G8" i="8"/>
  <c r="L8" i="8" s="1"/>
  <c r="K17" i="8"/>
  <c r="J17" i="8"/>
  <c r="L17" i="8" s="1"/>
  <c r="G43" i="8"/>
  <c r="L43" i="8" s="1"/>
  <c r="K43" i="8"/>
  <c r="K37" i="8"/>
  <c r="J37" i="8"/>
  <c r="L37" i="8" s="1"/>
  <c r="K15" i="8"/>
  <c r="J15" i="8"/>
  <c r="L15" i="8" s="1"/>
  <c r="K35" i="8"/>
  <c r="J35" i="8"/>
  <c r="L35" i="8" s="1"/>
  <c r="K33" i="8"/>
  <c r="J33" i="8"/>
  <c r="L33" i="8" s="1"/>
  <c r="J41" i="8"/>
  <c r="L41" i="8" s="1"/>
  <c r="K41" i="8"/>
  <c r="G9" i="8"/>
  <c r="L9" i="8" s="1"/>
  <c r="G10" i="8"/>
  <c r="L10" i="8" s="1"/>
  <c r="G11" i="8"/>
  <c r="L11" i="8" s="1"/>
  <c r="G18" i="8"/>
  <c r="L18" i="8" s="1"/>
  <c r="F23" i="8"/>
  <c r="F47" i="8" s="1"/>
  <c r="J39" i="8"/>
  <c r="L39" i="8" s="1"/>
  <c r="G40" i="8"/>
  <c r="L40" i="8" s="1"/>
  <c r="G46" i="8"/>
  <c r="L46" i="8" s="1"/>
  <c r="G38" i="3"/>
  <c r="L38" i="3" s="1"/>
  <c r="K38" i="3"/>
  <c r="J33" i="3"/>
  <c r="L33" i="3" s="1"/>
  <c r="K33" i="3"/>
  <c r="G15" i="2"/>
  <c r="L15" i="2" s="1"/>
  <c r="K15" i="2"/>
  <c r="G40" i="3"/>
  <c r="L40" i="3" s="1"/>
  <c r="K40" i="3"/>
  <c r="J32" i="3"/>
  <c r="L32" i="3" s="1"/>
  <c r="K32" i="3"/>
  <c r="G34" i="3"/>
  <c r="L34" i="3" s="1"/>
  <c r="K34" i="3"/>
  <c r="G36" i="3"/>
  <c r="L36" i="3" s="1"/>
  <c r="K36" i="3"/>
  <c r="G27" i="2"/>
  <c r="L27" i="2" s="1"/>
  <c r="K27" i="2"/>
  <c r="G23" i="2"/>
  <c r="L23" i="2" s="1"/>
  <c r="K23" i="2"/>
  <c r="J35" i="3"/>
  <c r="L35" i="3" s="1"/>
  <c r="G21" i="2"/>
  <c r="L21" i="2" s="1"/>
  <c r="K21" i="2"/>
  <c r="J37" i="3"/>
  <c r="L37" i="3" s="1"/>
  <c r="K37" i="3"/>
  <c r="J22" i="2"/>
  <c r="L22" i="2" s="1"/>
  <c r="K22" i="2"/>
  <c r="G25" i="6"/>
  <c r="F42" i="6"/>
  <c r="C6" i="1" s="1"/>
  <c r="K25" i="3"/>
  <c r="J20" i="3"/>
  <c r="L20" i="3" s="1"/>
  <c r="K28" i="6"/>
  <c r="J16" i="6"/>
  <c r="L16" i="6" s="1"/>
  <c r="K16" i="6"/>
  <c r="K24" i="7"/>
  <c r="K19" i="7"/>
  <c r="K13" i="2"/>
  <c r="K16" i="3"/>
  <c r="J33" i="6"/>
  <c r="L33" i="6" s="1"/>
  <c r="K33" i="6"/>
  <c r="G10" i="7"/>
  <c r="L10" i="7" s="1"/>
  <c r="K10" i="7"/>
  <c r="K8" i="2"/>
  <c r="K23" i="3"/>
  <c r="G14" i="3"/>
  <c r="L14" i="3" s="1"/>
  <c r="G32" i="6"/>
  <c r="L32" i="6" s="1"/>
  <c r="K32" i="6"/>
  <c r="J18" i="6"/>
  <c r="L18" i="6" s="1"/>
  <c r="K18" i="6"/>
  <c r="L24" i="7"/>
  <c r="F44" i="3"/>
  <c r="C5" i="1" s="1"/>
  <c r="G11" i="3"/>
  <c r="L11" i="3" s="1"/>
  <c r="K11" i="3"/>
  <c r="G23" i="7"/>
  <c r="L23" i="7" s="1"/>
  <c r="K23" i="7"/>
  <c r="J15" i="7"/>
  <c r="L15" i="7" s="1"/>
  <c r="K15" i="7"/>
  <c r="I25" i="7"/>
  <c r="D7" i="1" s="1"/>
  <c r="F31" i="2"/>
  <c r="C4" i="1" s="1"/>
  <c r="K9" i="2"/>
  <c r="K31" i="3"/>
  <c r="J28" i="3"/>
  <c r="L28" i="3" s="1"/>
  <c r="K17" i="3"/>
  <c r="K31" i="6"/>
  <c r="K20" i="6"/>
  <c r="J17" i="7"/>
  <c r="L17" i="7" s="1"/>
  <c r="K17" i="7"/>
  <c r="F25" i="7"/>
  <c r="C7" i="1" s="1"/>
  <c r="G8" i="7"/>
  <c r="L8" i="7" s="1"/>
  <c r="K8" i="7"/>
  <c r="K24" i="6"/>
  <c r="K17" i="6"/>
  <c r="K11" i="6"/>
  <c r="K9" i="7"/>
  <c r="I44" i="3" l="1"/>
  <c r="D5" i="1" s="1"/>
  <c r="L25" i="6"/>
  <c r="K27" i="6"/>
  <c r="A21" i="6"/>
  <c r="A22" i="6" s="1"/>
  <c r="A24" i="6" s="1"/>
  <c r="A26" i="6" s="1"/>
  <c r="A28" i="6" s="1"/>
  <c r="A30" i="6" s="1"/>
  <c r="J29" i="6"/>
  <c r="L29" i="6" s="1"/>
  <c r="K29" i="6"/>
  <c r="I42" i="6"/>
  <c r="D6" i="1" s="1"/>
  <c r="E6" i="1" s="1"/>
  <c r="K25" i="8"/>
  <c r="K25" i="6"/>
  <c r="A25" i="2"/>
  <c r="A27" i="2" s="1"/>
  <c r="A30" i="2" s="1"/>
  <c r="I31" i="2"/>
  <c r="K24" i="2"/>
  <c r="K31" i="2" s="1"/>
  <c r="L31" i="2" s="1"/>
  <c r="G47" i="8"/>
  <c r="F3" i="1" s="1"/>
  <c r="C3" i="1"/>
  <c r="J31" i="8"/>
  <c r="L31" i="8" s="1"/>
  <c r="I47" i="8"/>
  <c r="J29" i="8"/>
  <c r="L29" i="8" s="1"/>
  <c r="G23" i="8"/>
  <c r="L23" i="8" s="1"/>
  <c r="K23" i="8"/>
  <c r="J25" i="7"/>
  <c r="G7" i="1" s="1"/>
  <c r="G44" i="3"/>
  <c r="F5" i="1" s="1"/>
  <c r="G31" i="2"/>
  <c r="F4" i="1" s="1"/>
  <c r="J44" i="3"/>
  <c r="G5" i="1" s="1"/>
  <c r="K44" i="3"/>
  <c r="L44" i="3" s="1"/>
  <c r="K25" i="7"/>
  <c r="L25" i="7" s="1"/>
  <c r="G25" i="7"/>
  <c r="F7" i="1" s="1"/>
  <c r="G42" i="6"/>
  <c r="F6" i="1" s="1"/>
  <c r="A32" i="6" l="1"/>
  <c r="A34" i="6" s="1"/>
  <c r="A36" i="6" s="1"/>
  <c r="A38" i="6" s="1"/>
  <c r="A41" i="6" s="1"/>
  <c r="K47" i="8"/>
  <c r="L47" i="8" s="1"/>
  <c r="K42" i="6"/>
  <c r="L42" i="6" s="1"/>
  <c r="J31" i="2"/>
  <c r="G4" i="1" s="1"/>
  <c r="D4" i="1"/>
  <c r="E4" i="1" s="1"/>
  <c r="H4" i="1"/>
  <c r="J42" i="6"/>
  <c r="G6" i="1" s="1"/>
  <c r="H6" i="1" s="1"/>
  <c r="J47" i="8"/>
  <c r="G3" i="1" s="1"/>
  <c r="D3" i="1"/>
  <c r="C8" i="1"/>
  <c r="F8" i="1"/>
  <c r="E5" i="1"/>
  <c r="E3" i="1"/>
  <c r="H5" i="1"/>
  <c r="H3" i="1"/>
  <c r="E7" i="1"/>
  <c r="H7" i="1"/>
  <c r="G8" i="1" l="1"/>
  <c r="D8" i="1"/>
  <c r="E8" i="1"/>
  <c r="H8" i="1"/>
</calcChain>
</file>

<file path=xl/sharedStrings.xml><?xml version="1.0" encoding="utf-8"?>
<sst xmlns="http://schemas.openxmlformats.org/spreadsheetml/2006/main" count="491" uniqueCount="137">
  <si>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</si>
  <si>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</si>
  <si>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</si>
  <si>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</si>
  <si>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</si>
  <si>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</si>
  <si>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</si>
  <si>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</si>
  <si>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</si>
  <si>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испытания</t>
  </si>
  <si>
    <t xml:space="preserve">Испытания изоляции кабеля повышенным напряжением </t>
  </si>
  <si>
    <t>Пусконаладочные работы</t>
  </si>
  <si>
    <t>м</t>
  </si>
  <si>
    <t>Лента сигнальная ЛСЭ-300</t>
  </si>
  <si>
    <t>11.1</t>
  </si>
  <si>
    <t>Укладка ленты сигнальной ЛСЭ-600 в траншею</t>
  </si>
  <si>
    <t>цена по счету</t>
  </si>
  <si>
    <t>Лоток лестничный ЛЛ 2000х200мм</t>
  </si>
  <si>
    <t>10.1</t>
  </si>
  <si>
    <t>Установка лотка лестничного ЛЛ 2000х200мм (6шт.)</t>
  </si>
  <si>
    <t>Труба ПНД гофрированная Ф110мм</t>
  </si>
  <si>
    <t>9.1</t>
  </si>
  <si>
    <t>Монтаж трубы  ПНД гофрированной Ф110мм</t>
  </si>
  <si>
    <t>шт.</t>
  </si>
  <si>
    <t>Муфта соединительная 10кВ 3СТп-10-70/120</t>
  </si>
  <si>
    <t>8.1</t>
  </si>
  <si>
    <t>Монтаж муфты соединительной 10кВ 3СТп-10-70/120</t>
  </si>
  <si>
    <t xml:space="preserve">Кабель АВБШвнг(А)-LS 3х70-6кВ </t>
  </si>
  <si>
    <t>7.1</t>
  </si>
  <si>
    <t>Прокладка кабеля в траншее</t>
  </si>
  <si>
    <t>6.1</t>
  </si>
  <si>
    <t xml:space="preserve">Прокладка кабеля с автовышки на высоте 6м </t>
  </si>
  <si>
    <t>Переустройство кабельных линий</t>
  </si>
  <si>
    <t>т</t>
  </si>
  <si>
    <t>Погрузка лишнего грунта в автосамосвалы</t>
  </si>
  <si>
    <t>м3</t>
  </si>
  <si>
    <t>Обратная засыпка грунта вручную</t>
  </si>
  <si>
    <t>Песок природный  средний</t>
  </si>
  <si>
    <t>3.1</t>
  </si>
  <si>
    <t>Обратная засыпка песком вручную</t>
  </si>
  <si>
    <t>2.1</t>
  </si>
  <si>
    <t xml:space="preserve">Устройство песчаного основания </t>
  </si>
  <si>
    <t xml:space="preserve">Разработка грунта вручную </t>
  </si>
  <si>
    <t>Земляные работы</t>
  </si>
  <si>
    <t>Точки 28-28А-28Б-28В</t>
  </si>
  <si>
    <t>131-23-ЭС2. Переустройство кабельных линий 28-28А; 28Б-28В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</si>
  <si>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</si>
  <si>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</si>
  <si>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</si>
  <si>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</si>
  <si>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</si>
  <si>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</si>
  <si>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</si>
  <si>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</si>
  <si>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</si>
  <si>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</si>
  <si>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</si>
  <si>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20.1</t>
  </si>
  <si>
    <t>19.1</t>
  </si>
  <si>
    <t>Кабель АВБШв-3х95-6кВ</t>
  </si>
  <si>
    <t>18.1</t>
  </si>
  <si>
    <t>Устройство кабельных вставок АВБШв-3х95-6кВ открыто в траншее, в трубе</t>
  </si>
  <si>
    <t>Кабель АСБл-3х70-10кВ</t>
  </si>
  <si>
    <t>17.1</t>
  </si>
  <si>
    <t>Устройство кабельных вставок АСБл-3х70-10кВ открыто в траншее, в трубе</t>
  </si>
  <si>
    <t>Крышка  800х2000х100мм</t>
  </si>
  <si>
    <t>16.1</t>
  </si>
  <si>
    <t>Установка короба (лоток лестничный ЛЛ 2000х200мм с крышкой</t>
  </si>
  <si>
    <t>Пена двухкомпонентная огнезащитная DN1201</t>
  </si>
  <si>
    <t>15.1</t>
  </si>
  <si>
    <t>Заделка труб пеной двухкомпонентной огнезащитной DN1201</t>
  </si>
  <si>
    <t>14.1</t>
  </si>
  <si>
    <t>Уплотнение грунта пневматическими трамбовками</t>
  </si>
  <si>
    <t xml:space="preserve">Обратная засыпка грунта бульдозером </t>
  </si>
  <si>
    <t>Щебень</t>
  </si>
  <si>
    <t>Обратная засыпка траншеи щебнем</t>
  </si>
  <si>
    <t>Защита песком кабельных линий в траншее с последующим уплотнением</t>
  </si>
  <si>
    <t xml:space="preserve">Устройство песчаного основания h=0,1м </t>
  </si>
  <si>
    <t>Доработка грунта в траншее вручную</t>
  </si>
  <si>
    <t xml:space="preserve">Разработка  грунта механизированным способом </t>
  </si>
  <si>
    <t>Погрузка строительного мусора в автосамосвалы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</si>
  <si>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</si>
  <si>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</si>
  <si>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 xml:space="preserve">Резка асфальтового покрытия фрезой </t>
  </si>
  <si>
    <t>1</t>
  </si>
  <si>
    <t>Разборка дорожных покрытий</t>
  </si>
  <si>
    <t>131-23-ЭС2. Переустройство кабельных линий т.1-т.2; т.7-т.8</t>
  </si>
  <si>
    <t>сметная стоимость</t>
  </si>
  <si>
    <t>Заделка футляров (гильзы) цементно-песчаным раствором (с учетом материала)</t>
  </si>
  <si>
    <t>Подготовка отверстий в бетонных конструкциях под футляры (устройство гильз)</t>
  </si>
  <si>
    <t>Сопутствующие работы</t>
  </si>
  <si>
    <t>Муфта концевая 4ПКТп(б) -1 70/120</t>
  </si>
  <si>
    <t>Монтаж муфты концевой термоусаживаемой на напряжение до 1 кВ 4ПКТп(б) -1 70/120</t>
  </si>
  <si>
    <t>Кабель АВБШв-1 сеч. 4х95мм2</t>
  </si>
  <si>
    <t>Прокладка кабеля АВБШв-1 4х95 в траншее</t>
  </si>
  <si>
    <t>Прокладка кабеля АВБШв-1 сеч. 4х95мм2 в ТП7 по металлоконструкциям с креплением</t>
  </si>
  <si>
    <t xml:space="preserve">Прокладка кабеля АВБШв-1 сеч. 4х95мм2 по стенам с метал. креплением  </t>
  </si>
  <si>
    <t>Труба ПЭ 100 SDR 17- 110х6,6</t>
  </si>
  <si>
    <t>13.1</t>
  </si>
  <si>
    <t>Прокладка труб из полиэтилена 160 SDR 17,6</t>
  </si>
  <si>
    <t>12.1</t>
  </si>
  <si>
    <t xml:space="preserve">Устройство ввода кабеля в здание в футляре из труб ПЭ 100 SDR 17- 110х6,6 L=2,0 м. на </t>
  </si>
  <si>
    <t>Разработка грунта в траншее вручную</t>
  </si>
  <si>
    <t xml:space="preserve">Разработка грунта механизированным способом </t>
  </si>
  <si>
    <t>Кабель АСБл-3х95 -6 кВ</t>
  </si>
  <si>
    <t>Прокладка кабеля АСБл-3х95 -6 кВ в траншее</t>
  </si>
  <si>
    <t>Прокладка кабеля АСБл-3х95 -6 кВ в трубе</t>
  </si>
  <si>
    <t xml:space="preserve">Труба ПН ф160мм </t>
  </si>
  <si>
    <t xml:space="preserve">Прокладка труб ПН ф160мм </t>
  </si>
  <si>
    <t xml:space="preserve">Труба ПН ф110мм </t>
  </si>
  <si>
    <t xml:space="preserve">Прокладка труб ПН ф110мм </t>
  </si>
  <si>
    <t xml:space="preserve">Обратная засыпка траншеи песком </t>
  </si>
  <si>
    <t>131-23-ЭС2. Переустройство кабельных линий на участке т.1 (цех 417)-т.12 (цех ММЗ)</t>
  </si>
  <si>
    <t>Труба разъемная ПВХ ф110мм</t>
  </si>
  <si>
    <t xml:space="preserve">Прокладка футляров разъемных из труб ПВХ разборных ф110мм для подземной укладки </t>
  </si>
  <si>
    <t>131-23-ЭС2. Защита кабельных линий на участке ПК07+10 (ж/д пути 33, 35,37, 39)</t>
  </si>
  <si>
    <t>131-23-ЭС2. ТП7-склад цеха №75</t>
  </si>
  <si>
    <t>ТП7-склад цеха №75</t>
  </si>
  <si>
    <t>Затягивание  кабеля АВБШв-1 сеч. 4х95мм2 в футляр</t>
  </si>
  <si>
    <t>Прокладка  кабеля АВБШв-1 сеч. 4х95мм2 в трубе</t>
  </si>
  <si>
    <t>28-28А; 28Б-28В</t>
  </si>
  <si>
    <t>т.1-т.2; т.7-т.8</t>
  </si>
  <si>
    <t>цех 417-цех ММЗ</t>
  </si>
  <si>
    <t>Защита КЛ (ж/д пути 33, 35,37, 39)</t>
  </si>
  <si>
    <t>Обсыпка из песка вручную</t>
  </si>
  <si>
    <t>Монтаж уплотнителя кабельных проходов УКПТ 175/55</t>
  </si>
  <si>
    <t>УКПТ 175/55</t>
  </si>
  <si>
    <t>Монтаж уплотнителя кабельных проходов УКПТ 130/38</t>
  </si>
  <si>
    <t>УКПТ 130/38</t>
  </si>
  <si>
    <t>расценка по ТСН</t>
  </si>
  <si>
    <t>стоимость из НВК5</t>
  </si>
  <si>
    <t>16.2</t>
  </si>
  <si>
    <t>КП с дисконтом</t>
  </si>
  <si>
    <t>новые работы</t>
  </si>
  <si>
    <t xml:space="preserve">стоимость из ВДЦ 8-го цеха (НВК)  </t>
  </si>
  <si>
    <t>стоимость из ВДЦ 8-го цеха (НВК)</t>
  </si>
  <si>
    <t xml:space="preserve">стоимость из ВДЦ 8-го цеха (НВК)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</si>
</sst>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34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horizontal="center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1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vertical="center"/>
    </xf>
    <xf numFmtId="0" fontId="2" fillId="4" borderId="0" xfId="0" applyFont="1" applyFill="1"/>
    <xf numFmtId="0" fontId="3" fillId="0" borderId="1" xfId="0" applyFont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3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3" fillId="8" borderId="1" xfId="1" applyFont="1" applyFill="1" applyBorder="1" applyAlignment="1">
      <alignment vertical="center"/>
    </xf>
    <xf numFmtId="43" fontId="10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3" fontId="13" fillId="8" borderId="1" xfId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 wrapText="1"/>
    </xf>
    <xf numFmtId="43" fontId="13" fillId="7" borderId="1" xfId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horizontal="center"/>
    </xf>
    <xf numFmtId="0" fontId="5" fillId="8" borderId="4" xfId="2" applyFont="1" applyFill="1" applyBorder="1" applyAlignment="1">
      <alignment horizontal="left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13" fillId="8" borderId="1" xfId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/>
    </xf>
    <xf numFmtId="0" fontId="12" fillId="8" borderId="0" xfId="0" applyFont="1" applyFill="1"/>
    <xf numFmtId="0" fontId="12" fillId="7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43" fontId="5" fillId="7" borderId="1" xfId="1" applyFont="1" applyFill="1" applyBorder="1" applyAlignment="1">
      <alignment horizontal="center"/>
    </xf>
    <xf numFmtId="43" fontId="5" fillId="8" borderId="1" xfId="1" applyFont="1" applyFill="1" applyBorder="1" applyAlignment="1">
      <alignment horizontal="center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6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12" t="s">
        <v>7</v>
      </c>
      <c r="B1" s="112" t="s">
        <v>6</v>
      </c>
      <c r="C1" s="113" t="s">
        <v>5</v>
      </c>
      <c r="D1" s="113"/>
      <c r="E1" s="113"/>
      <c r="F1" s="114" t="s">
        <v>4</v>
      </c>
      <c r="G1" s="114"/>
      <c r="H1" s="114"/>
    </row>
    <row r="2" spans="1:9" ht="28.5" x14ac:dyDescent="0.25">
      <c r="A2" s="112"/>
      <c r="B2" s="112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 t="s">
        <v>117</v>
      </c>
      <c r="C3" s="13">
        <f>'ТП7-склад75'!F47</f>
        <v>1019918.22</v>
      </c>
      <c r="D3" s="12">
        <f>'ТП7-склад75'!I47</f>
        <v>261377.44999999995</v>
      </c>
      <c r="E3" s="11">
        <f>C3+D3</f>
        <v>1281295.67</v>
      </c>
      <c r="F3" s="10">
        <f>'ТП7-склад75'!G47</f>
        <v>1223901.8600000001</v>
      </c>
      <c r="G3" s="9">
        <f>'ТП7-склад75'!J47</f>
        <v>313652.94</v>
      </c>
      <c r="H3" s="8">
        <f>F3+G3</f>
        <v>1537554.8</v>
      </c>
      <c r="I3" s="7"/>
    </row>
    <row r="4" spans="1:9" x14ac:dyDescent="0.25">
      <c r="A4" s="15">
        <f>A3+1</f>
        <v>2</v>
      </c>
      <c r="B4" s="14" t="s">
        <v>120</v>
      </c>
      <c r="C4" s="13">
        <f>'28-28А, 28Б-28В'!F31</f>
        <v>318265.63</v>
      </c>
      <c r="D4" s="12">
        <f>'28-28А, 28Б-28В'!I31</f>
        <v>339723.57000000007</v>
      </c>
      <c r="E4" s="11">
        <f>C4+D4</f>
        <v>657989.20000000007</v>
      </c>
      <c r="F4" s="10">
        <f>'28-28А, 28Б-28В'!G31</f>
        <v>381918.76</v>
      </c>
      <c r="G4" s="9">
        <f>'28-28А, 28Б-28В'!J31</f>
        <v>407668.28</v>
      </c>
      <c r="H4" s="8">
        <f>F4+G4</f>
        <v>789587.04</v>
      </c>
      <c r="I4" s="7"/>
    </row>
    <row r="5" spans="1:9" x14ac:dyDescent="0.25">
      <c r="A5" s="15">
        <f>A4+1</f>
        <v>3</v>
      </c>
      <c r="B5" s="14" t="s">
        <v>121</v>
      </c>
      <c r="C5" s="13">
        <f>'1-2; 7-8'!F44</f>
        <v>922806.00000000035</v>
      </c>
      <c r="D5" s="12">
        <f>'1-2; 7-8'!I44</f>
        <v>732406.35</v>
      </c>
      <c r="E5" s="11">
        <f>C5+D5</f>
        <v>1655212.3500000003</v>
      </c>
      <c r="F5" s="10">
        <f>'1-2; 7-8'!G44</f>
        <v>1107367.2</v>
      </c>
      <c r="G5" s="9">
        <f>'1-2; 7-8'!J44</f>
        <v>878887.62</v>
      </c>
      <c r="H5" s="8">
        <f>F5+G5</f>
        <v>1986254.8199999998</v>
      </c>
      <c r="I5" s="7"/>
    </row>
    <row r="6" spans="1:9" x14ac:dyDescent="0.25">
      <c r="A6" s="15">
        <f>A5+1</f>
        <v>4</v>
      </c>
      <c r="B6" s="14" t="s">
        <v>122</v>
      </c>
      <c r="C6" s="13">
        <f>'ЭС2 цех417-ММЗ'!F42</f>
        <v>891717.6399999999</v>
      </c>
      <c r="D6" s="12">
        <f>'ЭС2 цех417-ММЗ'!I42</f>
        <v>494829.25999999989</v>
      </c>
      <c r="E6" s="11">
        <f>C6+D6</f>
        <v>1386546.9</v>
      </c>
      <c r="F6" s="10">
        <f>'ЭС2 цех417-ММЗ'!G42</f>
        <v>1070061.17</v>
      </c>
      <c r="G6" s="9">
        <f>'ЭС2 цех417-ММЗ'!J42</f>
        <v>593795.11</v>
      </c>
      <c r="H6" s="8">
        <f>F6+G6</f>
        <v>1663856.2799999998</v>
      </c>
      <c r="I6" s="7"/>
    </row>
    <row r="7" spans="1:9" x14ac:dyDescent="0.25">
      <c r="A7" s="15">
        <f>A6+1</f>
        <v>5</v>
      </c>
      <c r="B7" s="77" t="s">
        <v>123</v>
      </c>
      <c r="C7" s="13">
        <f>'ЭС2 Защита'!F25</f>
        <v>215943.02</v>
      </c>
      <c r="D7" s="12">
        <f>'ЭС2 Защита'!I25</f>
        <v>130285.77</v>
      </c>
      <c r="E7" s="11">
        <f>C7+D7</f>
        <v>346228.79</v>
      </c>
      <c r="F7" s="10">
        <f>'ЭС2 Защита'!G25</f>
        <v>259131.62</v>
      </c>
      <c r="G7" s="9">
        <f>'ЭС2 Защита'!J25</f>
        <v>156342.92000000001</v>
      </c>
      <c r="H7" s="8">
        <f>F7+G7</f>
        <v>415474.54000000004</v>
      </c>
      <c r="I7" s="7"/>
    </row>
    <row r="8" spans="1:9" x14ac:dyDescent="0.25">
      <c r="A8" s="6"/>
      <c r="B8" s="5" t="s">
        <v>0</v>
      </c>
      <c r="C8" s="4">
        <f t="shared" ref="C8:H8" si="0">SUM(C3:C7)</f>
        <v>3368650.5100000002</v>
      </c>
      <c r="D8" s="4">
        <f t="shared" si="0"/>
        <v>1958622.4</v>
      </c>
      <c r="E8" s="4">
        <f t="shared" si="0"/>
        <v>5327272.9100000011</v>
      </c>
      <c r="F8" s="3">
        <f t="shared" si="0"/>
        <v>4042380.6100000003</v>
      </c>
      <c r="G8" s="3">
        <f t="shared" si="0"/>
        <v>2350346.8699999996</v>
      </c>
      <c r="H8" s="3">
        <f t="shared" si="0"/>
        <v>6392727.4799999995</v>
      </c>
      <c r="I8" s="2"/>
    </row>
    <row r="9" spans="1:9" x14ac:dyDescent="0.25">
      <c r="A9" s="1"/>
      <c r="B9" s="1"/>
      <c r="C9" s="1"/>
      <c r="D9" s="1"/>
      <c r="E9" s="1"/>
      <c r="I9" s="2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50"/>
  <sheetViews>
    <sheetView view="pageBreakPreview" topLeftCell="A7" zoomScale="80" zoomScaleNormal="100" zoomScaleSheetLayoutView="80" workbookViewId="0">
      <selection activeCell="I30" sqref="I3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0" t="s">
        <v>7</v>
      </c>
      <c r="B1" s="123" t="s">
        <v>56</v>
      </c>
      <c r="C1" s="126" t="s">
        <v>55</v>
      </c>
      <c r="D1" s="126" t="s">
        <v>54</v>
      </c>
      <c r="E1" s="127" t="s">
        <v>53</v>
      </c>
      <c r="F1" s="128"/>
      <c r="G1" s="128"/>
      <c r="H1" s="128"/>
      <c r="I1" s="128"/>
      <c r="J1" s="128"/>
      <c r="K1" s="128"/>
      <c r="L1" s="128"/>
    </row>
    <row r="2" spans="1:13" ht="14.45" customHeight="1" x14ac:dyDescent="0.25">
      <c r="A2" s="121"/>
      <c r="B2" s="124"/>
      <c r="C2" s="126"/>
      <c r="D2" s="126"/>
      <c r="E2" s="129"/>
      <c r="F2" s="130"/>
      <c r="G2" s="130"/>
      <c r="H2" s="130"/>
      <c r="I2" s="130"/>
      <c r="J2" s="130"/>
      <c r="K2" s="130"/>
      <c r="L2" s="130"/>
    </row>
    <row r="3" spans="1:13" ht="27.75" customHeight="1" x14ac:dyDescent="0.25">
      <c r="A3" s="121"/>
      <c r="B3" s="124"/>
      <c r="C3" s="126"/>
      <c r="D3" s="126"/>
      <c r="E3" s="126" t="s">
        <v>52</v>
      </c>
      <c r="F3" s="126"/>
      <c r="G3" s="126"/>
      <c r="H3" s="126" t="s">
        <v>51</v>
      </c>
      <c r="I3" s="126"/>
      <c r="J3" s="126"/>
      <c r="K3" s="112" t="s">
        <v>50</v>
      </c>
      <c r="L3" s="112"/>
    </row>
    <row r="4" spans="1:13" ht="56.1" customHeight="1" x14ac:dyDescent="0.25">
      <c r="A4" s="122"/>
      <c r="B4" s="125"/>
      <c r="C4" s="126"/>
      <c r="D4" s="126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</row>
    <row r="5" spans="1:13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</row>
    <row r="6" spans="1:13" ht="20.25" customHeight="1" x14ac:dyDescent="0.25">
      <c r="A6" s="69"/>
      <c r="B6" s="115" t="s">
        <v>116</v>
      </c>
      <c r="C6" s="116"/>
      <c r="D6" s="116"/>
      <c r="E6" s="68"/>
      <c r="F6" s="67"/>
      <c r="G6" s="66"/>
      <c r="H6" s="66"/>
      <c r="I6" s="66"/>
      <c r="J6" s="66"/>
      <c r="K6" s="66"/>
      <c r="L6" s="66"/>
      <c r="M6" s="65"/>
    </row>
    <row r="7" spans="1:13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</row>
    <row r="8" spans="1:13" ht="18.75" customHeight="1" x14ac:dyDescent="0.25">
      <c r="A8" s="80" t="s">
        <v>84</v>
      </c>
      <c r="B8" s="81" t="s">
        <v>83</v>
      </c>
      <c r="C8" s="82" t="s">
        <v>12</v>
      </c>
      <c r="D8" s="83">
        <v>162.13999999999999</v>
      </c>
      <c r="E8" s="103">
        <v>3500</v>
      </c>
      <c r="F8" s="103">
        <f>ROUND(E8*D8,2)</f>
        <v>567490</v>
      </c>
      <c r="G8" s="103">
        <f>ROUND(F8*1.2,2)</f>
        <v>680988</v>
      </c>
      <c r="H8" s="85"/>
      <c r="I8" s="103"/>
      <c r="J8" s="103"/>
      <c r="K8" s="102">
        <f t="shared" ref="K8:L11" si="0">F8+I8</f>
        <v>567490</v>
      </c>
      <c r="L8" s="103">
        <f t="shared" si="0"/>
        <v>680988</v>
      </c>
      <c r="M8" s="131" t="s">
        <v>136</v>
      </c>
    </row>
    <row r="9" spans="1:13" ht="18.75" customHeight="1" x14ac:dyDescent="0.25">
      <c r="A9" s="86">
        <f>A8+1</f>
        <v>2</v>
      </c>
      <c r="B9" s="87" t="s">
        <v>82</v>
      </c>
      <c r="C9" s="88" t="s">
        <v>35</v>
      </c>
      <c r="D9" s="89">
        <v>9.24</v>
      </c>
      <c r="E9" s="90">
        <f>ROUND(65055.24/(297.03*0.05),2)</f>
        <v>4380.38</v>
      </c>
      <c r="F9" s="91">
        <f>ROUND(E9*D9,2)</f>
        <v>40474.71</v>
      </c>
      <c r="G9" s="91">
        <f>ROUND(F9*1.2,2)</f>
        <v>48569.65</v>
      </c>
      <c r="H9" s="92"/>
      <c r="I9" s="91"/>
      <c r="J9" s="91"/>
      <c r="K9" s="93">
        <f t="shared" si="0"/>
        <v>40474.71</v>
      </c>
      <c r="L9" s="91">
        <f t="shared" si="0"/>
        <v>48569.65</v>
      </c>
      <c r="M9" s="46"/>
    </row>
    <row r="10" spans="1:13" ht="18.75" customHeight="1" x14ac:dyDescent="0.25">
      <c r="A10" s="86">
        <f>A9+1</f>
        <v>3</v>
      </c>
      <c r="B10" s="87" t="s">
        <v>81</v>
      </c>
      <c r="C10" s="88" t="s">
        <v>35</v>
      </c>
      <c r="D10" s="89">
        <v>9.73</v>
      </c>
      <c r="E10" s="92">
        <v>304</v>
      </c>
      <c r="F10" s="91">
        <f>ROUND(E10*D10,2)</f>
        <v>2957.92</v>
      </c>
      <c r="G10" s="91">
        <f>ROUND(F10*1.2,2)</f>
        <v>3549.5</v>
      </c>
      <c r="H10" s="91"/>
      <c r="I10" s="91"/>
      <c r="J10" s="91"/>
      <c r="K10" s="93">
        <f t="shared" si="0"/>
        <v>2957.92</v>
      </c>
      <c r="L10" s="91">
        <f t="shared" si="0"/>
        <v>3549.5</v>
      </c>
      <c r="M10" s="46"/>
    </row>
    <row r="11" spans="1:13" ht="18.75" customHeight="1" x14ac:dyDescent="0.25">
      <c r="A11" s="86">
        <f>A10+1</f>
        <v>4</v>
      </c>
      <c r="B11" s="87" t="s">
        <v>80</v>
      </c>
      <c r="C11" s="88" t="s">
        <v>33</v>
      </c>
      <c r="D11" s="89">
        <v>30.25</v>
      </c>
      <c r="E11" s="90">
        <v>431.37</v>
      </c>
      <c r="F11" s="91">
        <f>ROUND(E11*D11,2)</f>
        <v>13048.94</v>
      </c>
      <c r="G11" s="91">
        <f>ROUND(F11*1.2,2)</f>
        <v>15658.73</v>
      </c>
      <c r="H11" s="92"/>
      <c r="I11" s="91"/>
      <c r="J11" s="91"/>
      <c r="K11" s="93">
        <f t="shared" si="0"/>
        <v>13048.94</v>
      </c>
      <c r="L11" s="91">
        <f t="shared" si="0"/>
        <v>15658.73</v>
      </c>
      <c r="M11" s="49" t="s">
        <v>130</v>
      </c>
    </row>
    <row r="12" spans="1:13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  <c r="M12" s="46"/>
    </row>
    <row r="13" spans="1:13" ht="18.75" customHeight="1" x14ac:dyDescent="0.25">
      <c r="A13" s="94">
        <f>A11+1</f>
        <v>5</v>
      </c>
      <c r="B13" s="87" t="s">
        <v>102</v>
      </c>
      <c r="C13" s="88" t="s">
        <v>35</v>
      </c>
      <c r="D13" s="89">
        <v>39.4</v>
      </c>
      <c r="E13" s="92">
        <v>1688.1499999999999</v>
      </c>
      <c r="F13" s="91">
        <f>ROUND(E13*D13,2)</f>
        <v>66513.11</v>
      </c>
      <c r="G13" s="91">
        <f>ROUND(F13*1.2,2)</f>
        <v>79815.73</v>
      </c>
      <c r="H13" s="92"/>
      <c r="I13" s="90"/>
      <c r="J13" s="90"/>
      <c r="K13" s="95">
        <f t="shared" ref="K13:L20" si="1">F13+I13</f>
        <v>66513.11</v>
      </c>
      <c r="L13" s="90">
        <f t="shared" si="1"/>
        <v>79815.73</v>
      </c>
      <c r="M13" s="46"/>
    </row>
    <row r="14" spans="1:13" ht="18.75" customHeight="1" x14ac:dyDescent="0.25">
      <c r="A14" s="96">
        <f>A13+1</f>
        <v>6</v>
      </c>
      <c r="B14" s="87" t="s">
        <v>77</v>
      </c>
      <c r="C14" s="88" t="s">
        <v>35</v>
      </c>
      <c r="D14" s="89">
        <v>4.8600000000000003</v>
      </c>
      <c r="E14" s="92">
        <v>1310.05</v>
      </c>
      <c r="F14" s="91">
        <f>ROUND(E14*D14,2)</f>
        <v>6366.84</v>
      </c>
      <c r="G14" s="91">
        <f>ROUND(F14*1.2,2)</f>
        <v>7640.21</v>
      </c>
      <c r="H14" s="91"/>
      <c r="I14" s="97"/>
      <c r="J14" s="97"/>
      <c r="K14" s="95">
        <f t="shared" si="1"/>
        <v>6366.84</v>
      </c>
      <c r="L14" s="90">
        <f t="shared" si="1"/>
        <v>7640.21</v>
      </c>
      <c r="M14" s="46"/>
    </row>
    <row r="15" spans="1:13" ht="18.75" customHeight="1" x14ac:dyDescent="0.25">
      <c r="A15" s="108" t="s">
        <v>30</v>
      </c>
      <c r="B15" s="40" t="s">
        <v>37</v>
      </c>
      <c r="C15" s="39" t="s">
        <v>35</v>
      </c>
      <c r="D15" s="38">
        <f>D14*1.1</f>
        <v>5.346000000000001</v>
      </c>
      <c r="E15" s="37"/>
      <c r="F15" s="35"/>
      <c r="G15" s="35"/>
      <c r="H15" s="35">
        <v>1191.3</v>
      </c>
      <c r="I15" s="35">
        <f>ROUND(H15*D15,2)</f>
        <v>6368.69</v>
      </c>
      <c r="J15" s="35">
        <f>ROUND(I15*1.2,2)</f>
        <v>7642.43</v>
      </c>
      <c r="K15" s="36">
        <f t="shared" si="1"/>
        <v>6368.69</v>
      </c>
      <c r="L15" s="35">
        <f t="shared" si="1"/>
        <v>7642.43</v>
      </c>
      <c r="M15" s="46"/>
    </row>
    <row r="16" spans="1:13" ht="29.25" customHeight="1" x14ac:dyDescent="0.25">
      <c r="A16" s="96">
        <f>A14+1</f>
        <v>7</v>
      </c>
      <c r="B16" s="87" t="s">
        <v>76</v>
      </c>
      <c r="C16" s="88" t="s">
        <v>35</v>
      </c>
      <c r="D16" s="89">
        <v>16.29</v>
      </c>
      <c r="E16" s="92">
        <v>1310.05</v>
      </c>
      <c r="F16" s="91">
        <f>ROUND(E16*D16,2)</f>
        <v>21340.71</v>
      </c>
      <c r="G16" s="91">
        <f>ROUND(F16*1.2,2)</f>
        <v>25608.85</v>
      </c>
      <c r="H16" s="91"/>
      <c r="I16" s="90"/>
      <c r="J16" s="90"/>
      <c r="K16" s="95">
        <f t="shared" si="1"/>
        <v>21340.71</v>
      </c>
      <c r="L16" s="90">
        <f t="shared" si="1"/>
        <v>25608.85</v>
      </c>
      <c r="M16" s="46"/>
    </row>
    <row r="17" spans="1:13" ht="18.75" customHeight="1" x14ac:dyDescent="0.25">
      <c r="A17" s="108" t="s">
        <v>28</v>
      </c>
      <c r="B17" s="40" t="s">
        <v>37</v>
      </c>
      <c r="C17" s="39" t="s">
        <v>35</v>
      </c>
      <c r="D17" s="38">
        <f>D16*1.1</f>
        <v>17.919</v>
      </c>
      <c r="E17" s="37"/>
      <c r="F17" s="35"/>
      <c r="G17" s="35"/>
      <c r="H17" s="35">
        <v>1191.3</v>
      </c>
      <c r="I17" s="35">
        <f>ROUND(H17*D17,2)</f>
        <v>21346.9</v>
      </c>
      <c r="J17" s="35">
        <f>ROUND(I17*1.2,2)</f>
        <v>25616.28</v>
      </c>
      <c r="K17" s="36">
        <f t="shared" si="1"/>
        <v>21346.9</v>
      </c>
      <c r="L17" s="35">
        <f t="shared" si="1"/>
        <v>25616.28</v>
      </c>
      <c r="M17" s="46"/>
    </row>
    <row r="18" spans="1:13" ht="18.75" customHeight="1" x14ac:dyDescent="0.25">
      <c r="A18" s="96">
        <f>A16+1</f>
        <v>8</v>
      </c>
      <c r="B18" s="87" t="s">
        <v>36</v>
      </c>
      <c r="C18" s="88" t="s">
        <v>35</v>
      </c>
      <c r="D18" s="89">
        <v>36</v>
      </c>
      <c r="E18" s="92">
        <v>854.05</v>
      </c>
      <c r="F18" s="91">
        <f>ROUND(E18*D18,2)</f>
        <v>30745.8</v>
      </c>
      <c r="G18" s="91">
        <f>ROUND(F18*1.2,2)</f>
        <v>36894.959999999999</v>
      </c>
      <c r="H18" s="92"/>
      <c r="I18" s="90"/>
      <c r="J18" s="90"/>
      <c r="K18" s="95">
        <f t="shared" si="1"/>
        <v>30745.8</v>
      </c>
      <c r="L18" s="90">
        <f t="shared" si="1"/>
        <v>36894.959999999999</v>
      </c>
      <c r="M18" s="46"/>
    </row>
    <row r="19" spans="1:13" ht="18.75" customHeight="1" x14ac:dyDescent="0.25">
      <c r="A19" s="96">
        <f>A18+1</f>
        <v>9</v>
      </c>
      <c r="B19" s="87" t="s">
        <v>72</v>
      </c>
      <c r="C19" s="88" t="s">
        <v>35</v>
      </c>
      <c r="D19" s="89">
        <v>36</v>
      </c>
      <c r="E19" s="92">
        <v>188.1</v>
      </c>
      <c r="F19" s="91">
        <f>ROUND(E19*D19,2)</f>
        <v>6771.6</v>
      </c>
      <c r="G19" s="91">
        <f>ROUND(F19*1.2,2)</f>
        <v>8125.92</v>
      </c>
      <c r="H19" s="95"/>
      <c r="I19" s="91"/>
      <c r="J19" s="91"/>
      <c r="K19" s="95">
        <f t="shared" si="1"/>
        <v>6771.6</v>
      </c>
      <c r="L19" s="90">
        <f t="shared" si="1"/>
        <v>8125.92</v>
      </c>
      <c r="M19" s="46"/>
    </row>
    <row r="20" spans="1:13" ht="18.75" customHeight="1" x14ac:dyDescent="0.25">
      <c r="A20" s="96">
        <f>A19+1</f>
        <v>10</v>
      </c>
      <c r="B20" s="87" t="s">
        <v>34</v>
      </c>
      <c r="C20" s="88" t="s">
        <v>33</v>
      </c>
      <c r="D20" s="89">
        <v>6.46</v>
      </c>
      <c r="E20" s="92">
        <v>308.75</v>
      </c>
      <c r="F20" s="91">
        <f>ROUND(E20*D20,2)</f>
        <v>1994.53</v>
      </c>
      <c r="G20" s="91">
        <f>ROUND(F20*1.2,2)</f>
        <v>2393.44</v>
      </c>
      <c r="H20" s="92"/>
      <c r="I20" s="90"/>
      <c r="J20" s="90"/>
      <c r="K20" s="95">
        <f t="shared" si="1"/>
        <v>1994.53</v>
      </c>
      <c r="L20" s="90">
        <f t="shared" si="1"/>
        <v>2393.44</v>
      </c>
      <c r="M20" s="46"/>
    </row>
    <row r="21" spans="1:13" ht="18.75" customHeight="1" x14ac:dyDescent="0.25">
      <c r="A21" s="32"/>
      <c r="B21" s="56" t="s">
        <v>32</v>
      </c>
      <c r="C21" s="31"/>
      <c r="D21" s="33"/>
      <c r="E21" s="50"/>
      <c r="F21" s="45"/>
      <c r="G21" s="45"/>
      <c r="H21" s="50"/>
      <c r="I21" s="25"/>
      <c r="J21" s="25"/>
      <c r="K21" s="26"/>
      <c r="L21" s="25"/>
      <c r="M21" s="46"/>
    </row>
    <row r="22" spans="1:13" ht="33.75" customHeight="1" x14ac:dyDescent="0.25">
      <c r="A22" s="98">
        <f>A20+1</f>
        <v>11</v>
      </c>
      <c r="B22" s="81" t="s">
        <v>101</v>
      </c>
      <c r="C22" s="82" t="s">
        <v>23</v>
      </c>
      <c r="D22" s="99">
        <v>4</v>
      </c>
      <c r="E22" s="85">
        <v>14574.85</v>
      </c>
      <c r="F22" s="84">
        <f>ROUND(E22*D22,2)</f>
        <v>58299.4</v>
      </c>
      <c r="G22" s="84">
        <f>ROUND(F22*1.2,2)</f>
        <v>69959.28</v>
      </c>
      <c r="H22" s="100"/>
      <c r="I22" s="101"/>
      <c r="J22" s="101"/>
      <c r="K22" s="102">
        <f t="shared" ref="K22:K41" si="2">F22+I22</f>
        <v>58299.4</v>
      </c>
      <c r="L22" s="103">
        <f t="shared" ref="L22:L41" si="3">G22+J22</f>
        <v>69959.28</v>
      </c>
      <c r="M22" s="49" t="s">
        <v>87</v>
      </c>
    </row>
    <row r="23" spans="1:13" ht="18.75" customHeight="1" x14ac:dyDescent="0.25">
      <c r="A23" s="108" t="s">
        <v>14</v>
      </c>
      <c r="B23" s="40" t="s">
        <v>97</v>
      </c>
      <c r="C23" s="39" t="s">
        <v>12</v>
      </c>
      <c r="D23" s="38">
        <f>1.02*8</f>
        <v>8.16</v>
      </c>
      <c r="E23" s="37"/>
      <c r="F23" s="35">
        <f>ROUND(E23*D23,2)</f>
        <v>0</v>
      </c>
      <c r="G23" s="35">
        <f>ROUND(F23*1.2,2)</f>
        <v>0</v>
      </c>
      <c r="H23" s="75">
        <f>ROUND(137.5*1.15,2)</f>
        <v>158.13</v>
      </c>
      <c r="I23" s="75">
        <f>ROUND(H23*D23,2)</f>
        <v>1290.3399999999999</v>
      </c>
      <c r="J23" s="75">
        <f>ROUND(I23*1.2,2)</f>
        <v>1548.41</v>
      </c>
      <c r="K23" s="78">
        <f t="shared" si="2"/>
        <v>1290.3399999999999</v>
      </c>
      <c r="L23" s="75">
        <f t="shared" si="3"/>
        <v>1548.41</v>
      </c>
      <c r="M23" s="46" t="s">
        <v>16</v>
      </c>
    </row>
    <row r="24" spans="1:13" ht="18.75" customHeight="1" x14ac:dyDescent="0.25">
      <c r="A24" s="96">
        <f>A22+1</f>
        <v>12</v>
      </c>
      <c r="B24" s="87" t="s">
        <v>99</v>
      </c>
      <c r="C24" s="88" t="s">
        <v>12</v>
      </c>
      <c r="D24" s="89">
        <v>60.36</v>
      </c>
      <c r="E24" s="92">
        <v>146.30000000000001</v>
      </c>
      <c r="F24" s="91">
        <f>ROUND(E24*D24,2)</f>
        <v>8830.67</v>
      </c>
      <c r="G24" s="91">
        <f>ROUND(F24*1.2,2)</f>
        <v>10596.8</v>
      </c>
      <c r="H24" s="133"/>
      <c r="I24" s="90"/>
      <c r="J24" s="90"/>
      <c r="K24" s="95">
        <f t="shared" si="2"/>
        <v>8830.67</v>
      </c>
      <c r="L24" s="90">
        <f t="shared" si="3"/>
        <v>10596.8</v>
      </c>
      <c r="M24" s="46"/>
    </row>
    <row r="25" spans="1:13" ht="18.75" customHeight="1" x14ac:dyDescent="0.25">
      <c r="A25" s="108" t="s">
        <v>100</v>
      </c>
      <c r="B25" s="40" t="s">
        <v>97</v>
      </c>
      <c r="C25" s="39" t="s">
        <v>12</v>
      </c>
      <c r="D25" s="38">
        <f>1.02*60.36</f>
        <v>61.5672</v>
      </c>
      <c r="E25" s="37"/>
      <c r="F25" s="35">
        <f>ROUND(E25*D25,2)</f>
        <v>0</v>
      </c>
      <c r="G25" s="35">
        <f>ROUND(F25*1.2,2)</f>
        <v>0</v>
      </c>
      <c r="H25" s="75">
        <f>ROUND(137.5*1.15,2)</f>
        <v>158.13</v>
      </c>
      <c r="I25" s="75">
        <f>ROUND(H25*D25,2)</f>
        <v>9735.6200000000008</v>
      </c>
      <c r="J25" s="75">
        <f>ROUND(I25*1.2,2)</f>
        <v>11682.74</v>
      </c>
      <c r="K25" s="78">
        <f t="shared" si="2"/>
        <v>9735.6200000000008</v>
      </c>
      <c r="L25" s="75">
        <f t="shared" si="3"/>
        <v>11682.74</v>
      </c>
      <c r="M25" s="46" t="s">
        <v>16</v>
      </c>
    </row>
    <row r="26" spans="1:13" ht="18.75" customHeight="1" x14ac:dyDescent="0.25">
      <c r="A26" s="88">
        <f>A24+1</f>
        <v>13</v>
      </c>
      <c r="B26" s="105" t="s">
        <v>70</v>
      </c>
      <c r="C26" s="88" t="s">
        <v>23</v>
      </c>
      <c r="D26" s="106">
        <v>4</v>
      </c>
      <c r="E26" s="92">
        <v>1877.2569999999998</v>
      </c>
      <c r="F26" s="91">
        <f>ROUND(E26*D26,2)</f>
        <v>7509.03</v>
      </c>
      <c r="G26" s="91">
        <f>ROUND(F26*1.2,2)</f>
        <v>9010.84</v>
      </c>
      <c r="H26" s="133"/>
      <c r="I26" s="90"/>
      <c r="J26" s="90"/>
      <c r="K26" s="95">
        <f t="shared" si="2"/>
        <v>7509.03</v>
      </c>
      <c r="L26" s="90">
        <f t="shared" si="3"/>
        <v>9010.84</v>
      </c>
      <c r="M26" s="46"/>
    </row>
    <row r="27" spans="1:13" ht="18.75" customHeight="1" x14ac:dyDescent="0.25">
      <c r="A27" s="108" t="s">
        <v>98</v>
      </c>
      <c r="B27" s="40" t="s">
        <v>68</v>
      </c>
      <c r="C27" s="39" t="s">
        <v>23</v>
      </c>
      <c r="D27" s="74">
        <v>4</v>
      </c>
      <c r="E27" s="37"/>
      <c r="F27" s="35"/>
      <c r="G27" s="35"/>
      <c r="H27" s="75">
        <v>7628.5</v>
      </c>
      <c r="I27" s="75">
        <f>ROUND(H27*D27,2)</f>
        <v>30514</v>
      </c>
      <c r="J27" s="75">
        <f>ROUND(I27*1.2,2)</f>
        <v>36616.800000000003</v>
      </c>
      <c r="K27" s="78">
        <f t="shared" si="2"/>
        <v>30514</v>
      </c>
      <c r="L27" s="75">
        <f t="shared" si="3"/>
        <v>36616.800000000003</v>
      </c>
      <c r="M27" s="46"/>
    </row>
    <row r="28" spans="1:13" ht="24.75" customHeight="1" x14ac:dyDescent="0.25">
      <c r="A28" s="88">
        <f>A26+1</f>
        <v>14</v>
      </c>
      <c r="B28" s="87" t="s">
        <v>118</v>
      </c>
      <c r="C28" s="88" t="s">
        <v>12</v>
      </c>
      <c r="D28" s="106">
        <v>8</v>
      </c>
      <c r="E28" s="92">
        <v>167.2</v>
      </c>
      <c r="F28" s="91">
        <f>ROUND(E28*D28,2)</f>
        <v>1337.6</v>
      </c>
      <c r="G28" s="91">
        <f>ROUND(F28*1.2,2)</f>
        <v>1605.12</v>
      </c>
      <c r="H28" s="133"/>
      <c r="I28" s="90"/>
      <c r="J28" s="90"/>
      <c r="K28" s="95">
        <f t="shared" si="2"/>
        <v>1337.6</v>
      </c>
      <c r="L28" s="90">
        <f t="shared" si="3"/>
        <v>1605.12</v>
      </c>
      <c r="M28" s="49"/>
    </row>
    <row r="29" spans="1:13" ht="18.75" customHeight="1" x14ac:dyDescent="0.25">
      <c r="A29" s="108" t="s">
        <v>71</v>
      </c>
      <c r="B29" s="40" t="s">
        <v>93</v>
      </c>
      <c r="C29" s="39" t="s">
        <v>12</v>
      </c>
      <c r="D29" s="38">
        <f>D28*1.02</f>
        <v>8.16</v>
      </c>
      <c r="E29" s="37"/>
      <c r="F29" s="35"/>
      <c r="G29" s="35"/>
      <c r="H29" s="75">
        <f>ROUND(671.5*1.15,2)</f>
        <v>772.23</v>
      </c>
      <c r="I29" s="75">
        <f>ROUND(H29*D29,2)</f>
        <v>6301.4</v>
      </c>
      <c r="J29" s="75">
        <f>ROUND(I29*1.2,2)</f>
        <v>7561.68</v>
      </c>
      <c r="K29" s="78">
        <f t="shared" si="2"/>
        <v>6301.4</v>
      </c>
      <c r="L29" s="75">
        <f t="shared" si="3"/>
        <v>7561.68</v>
      </c>
      <c r="M29" s="46" t="s">
        <v>16</v>
      </c>
    </row>
    <row r="30" spans="1:13" ht="24.75" customHeight="1" x14ac:dyDescent="0.25">
      <c r="A30" s="88">
        <f>A28+1</f>
        <v>15</v>
      </c>
      <c r="B30" s="87" t="s">
        <v>119</v>
      </c>
      <c r="C30" s="88" t="s">
        <v>12</v>
      </c>
      <c r="D30" s="89">
        <v>60.34</v>
      </c>
      <c r="E30" s="92">
        <v>167.2</v>
      </c>
      <c r="F30" s="91">
        <f>ROUND(E30*D30,2)</f>
        <v>10088.85</v>
      </c>
      <c r="G30" s="91">
        <f>ROUND(F30*1.2,2)</f>
        <v>12106.62</v>
      </c>
      <c r="H30" s="133"/>
      <c r="I30" s="90"/>
      <c r="J30" s="90"/>
      <c r="K30" s="95">
        <f t="shared" si="2"/>
        <v>10088.85</v>
      </c>
      <c r="L30" s="90">
        <f t="shared" si="3"/>
        <v>12106.62</v>
      </c>
      <c r="M30" s="49"/>
    </row>
    <row r="31" spans="1:13" ht="18.75" customHeight="1" x14ac:dyDescent="0.25">
      <c r="A31" s="108" t="s">
        <v>69</v>
      </c>
      <c r="B31" s="40" t="s">
        <v>93</v>
      </c>
      <c r="C31" s="39" t="s">
        <v>12</v>
      </c>
      <c r="D31" s="38">
        <f>D30*1.02</f>
        <v>61.546800000000005</v>
      </c>
      <c r="E31" s="37"/>
      <c r="F31" s="35"/>
      <c r="G31" s="35"/>
      <c r="H31" s="75">
        <f>ROUND(671.5*1.15,2)</f>
        <v>772.23</v>
      </c>
      <c r="I31" s="75">
        <f>ROUND(H31*D31,2)</f>
        <v>47528.29</v>
      </c>
      <c r="J31" s="75">
        <f>ROUND(I31*1.2,2)</f>
        <v>57033.95</v>
      </c>
      <c r="K31" s="78">
        <f t="shared" si="2"/>
        <v>47528.29</v>
      </c>
      <c r="L31" s="75">
        <f t="shared" si="3"/>
        <v>57033.95</v>
      </c>
      <c r="M31" s="46" t="s">
        <v>16</v>
      </c>
    </row>
    <row r="32" spans="1:13" ht="33" customHeight="1" x14ac:dyDescent="0.25">
      <c r="A32" s="82">
        <f>A30+1</f>
        <v>16</v>
      </c>
      <c r="B32" s="81" t="s">
        <v>96</v>
      </c>
      <c r="C32" s="82" t="s">
        <v>12</v>
      </c>
      <c r="D32" s="83">
        <v>44.7</v>
      </c>
      <c r="E32" s="85">
        <v>650.62</v>
      </c>
      <c r="F32" s="84">
        <f>ROUND(E32*D32,2)</f>
        <v>29082.71</v>
      </c>
      <c r="G32" s="84">
        <f>ROUND(F32*1.2,2)</f>
        <v>34899.25</v>
      </c>
      <c r="H32" s="132"/>
      <c r="I32" s="103"/>
      <c r="J32" s="103"/>
      <c r="K32" s="102">
        <f t="shared" si="2"/>
        <v>29082.71</v>
      </c>
      <c r="L32" s="103">
        <f t="shared" si="3"/>
        <v>34899.25</v>
      </c>
      <c r="M32" s="49"/>
    </row>
    <row r="33" spans="1:13" ht="18.75" customHeight="1" x14ac:dyDescent="0.25">
      <c r="A33" s="108" t="s">
        <v>66</v>
      </c>
      <c r="B33" s="40" t="s">
        <v>93</v>
      </c>
      <c r="C33" s="39" t="s">
        <v>12</v>
      </c>
      <c r="D33" s="38">
        <f>D32*1.02</f>
        <v>45.594000000000001</v>
      </c>
      <c r="E33" s="37"/>
      <c r="F33" s="35"/>
      <c r="G33" s="35"/>
      <c r="H33" s="75">
        <f>ROUND(671.5*1.15,2)</f>
        <v>772.23</v>
      </c>
      <c r="I33" s="75">
        <f>ROUND(H33*D33,2)</f>
        <v>35209.050000000003</v>
      </c>
      <c r="J33" s="75">
        <f>ROUND(I33*1.2,2)</f>
        <v>42250.86</v>
      </c>
      <c r="K33" s="78">
        <f t="shared" si="2"/>
        <v>35209.050000000003</v>
      </c>
      <c r="L33" s="75">
        <f t="shared" si="3"/>
        <v>42250.86</v>
      </c>
      <c r="M33" s="46" t="s">
        <v>16</v>
      </c>
    </row>
    <row r="34" spans="1:13" ht="30.75" customHeight="1" x14ac:dyDescent="0.25">
      <c r="A34" s="82">
        <f>A32+1</f>
        <v>17</v>
      </c>
      <c r="B34" s="81" t="s">
        <v>95</v>
      </c>
      <c r="C34" s="82" t="s">
        <v>12</v>
      </c>
      <c r="D34" s="83">
        <v>16</v>
      </c>
      <c r="E34" s="85">
        <v>650.62</v>
      </c>
      <c r="F34" s="84">
        <f>ROUND(E34*D34,2)</f>
        <v>10409.92</v>
      </c>
      <c r="G34" s="84">
        <f>ROUND(F34*1.2,2)</f>
        <v>12491.9</v>
      </c>
      <c r="H34" s="132"/>
      <c r="I34" s="103"/>
      <c r="J34" s="103"/>
      <c r="K34" s="102">
        <f t="shared" si="2"/>
        <v>10409.92</v>
      </c>
      <c r="L34" s="103">
        <f t="shared" si="3"/>
        <v>12491.9</v>
      </c>
      <c r="M34" s="49"/>
    </row>
    <row r="35" spans="1:13" ht="18.75" customHeight="1" x14ac:dyDescent="0.25">
      <c r="A35" s="108" t="s">
        <v>63</v>
      </c>
      <c r="B35" s="40" t="s">
        <v>93</v>
      </c>
      <c r="C35" s="39" t="s">
        <v>12</v>
      </c>
      <c r="D35" s="38">
        <f>D34*1.02</f>
        <v>16.32</v>
      </c>
      <c r="E35" s="37"/>
      <c r="F35" s="35"/>
      <c r="G35" s="35"/>
      <c r="H35" s="75">
        <f>ROUND(671.5*1.15,2)</f>
        <v>772.23</v>
      </c>
      <c r="I35" s="75">
        <f>ROUND(H35*D35,2)</f>
        <v>12602.79</v>
      </c>
      <c r="J35" s="75">
        <f>ROUND(I35*1.2,2)</f>
        <v>15123.35</v>
      </c>
      <c r="K35" s="78">
        <f t="shared" si="2"/>
        <v>12602.79</v>
      </c>
      <c r="L35" s="75">
        <f t="shared" si="3"/>
        <v>15123.35</v>
      </c>
      <c r="M35" s="46" t="s">
        <v>16</v>
      </c>
    </row>
    <row r="36" spans="1:13" ht="18.75" customHeight="1" x14ac:dyDescent="0.25">
      <c r="A36" s="88">
        <f>A34+1</f>
        <v>18</v>
      </c>
      <c r="B36" s="87" t="s">
        <v>94</v>
      </c>
      <c r="C36" s="88" t="s">
        <v>12</v>
      </c>
      <c r="D36" s="89">
        <v>100.28</v>
      </c>
      <c r="E36" s="92">
        <v>79.8</v>
      </c>
      <c r="F36" s="91">
        <f>ROUND(E36*D36,2)</f>
        <v>8002.34</v>
      </c>
      <c r="G36" s="91">
        <f>ROUND(F36*1.2,2)</f>
        <v>9602.81</v>
      </c>
      <c r="H36" s="133"/>
      <c r="I36" s="90"/>
      <c r="J36" s="90"/>
      <c r="K36" s="95">
        <f t="shared" si="2"/>
        <v>8002.34</v>
      </c>
      <c r="L36" s="90">
        <f t="shared" si="3"/>
        <v>9602.81</v>
      </c>
      <c r="M36" s="46"/>
    </row>
    <row r="37" spans="1:13" ht="18.75" customHeight="1" x14ac:dyDescent="0.25">
      <c r="A37" s="108" t="s">
        <v>60</v>
      </c>
      <c r="B37" s="40" t="s">
        <v>93</v>
      </c>
      <c r="C37" s="39" t="s">
        <v>12</v>
      </c>
      <c r="D37" s="38">
        <f>D36*1.02</f>
        <v>102.2856</v>
      </c>
      <c r="E37" s="37"/>
      <c r="F37" s="35"/>
      <c r="G37" s="35"/>
      <c r="H37" s="75">
        <f>ROUND(671.5*1.15,2)</f>
        <v>772.23</v>
      </c>
      <c r="I37" s="75">
        <f>ROUND(H37*D37,2)</f>
        <v>78988.009999999995</v>
      </c>
      <c r="J37" s="75">
        <f>ROUND(I37*1.2,2)</f>
        <v>94785.61</v>
      </c>
      <c r="K37" s="78">
        <f t="shared" si="2"/>
        <v>78988.009999999995</v>
      </c>
      <c r="L37" s="75">
        <f t="shared" si="3"/>
        <v>94785.61</v>
      </c>
      <c r="M37" s="46" t="s">
        <v>16</v>
      </c>
    </row>
    <row r="38" spans="1:13" ht="18.75" customHeight="1" x14ac:dyDescent="0.25">
      <c r="A38" s="88">
        <f>A36+1</f>
        <v>19</v>
      </c>
      <c r="B38" s="105" t="s">
        <v>15</v>
      </c>
      <c r="C38" s="88" t="s">
        <v>12</v>
      </c>
      <c r="D38" s="89">
        <v>102</v>
      </c>
      <c r="E38" s="92">
        <v>17.53</v>
      </c>
      <c r="F38" s="91">
        <f>ROUND(E38*D38,2)</f>
        <v>1788.06</v>
      </c>
      <c r="G38" s="91">
        <f>ROUND(F38*1.2,2)</f>
        <v>2145.67</v>
      </c>
      <c r="H38" s="133"/>
      <c r="I38" s="90"/>
      <c r="J38" s="90"/>
      <c r="K38" s="95">
        <f t="shared" si="2"/>
        <v>1788.06</v>
      </c>
      <c r="L38" s="90">
        <f t="shared" si="3"/>
        <v>2145.67</v>
      </c>
      <c r="M38" s="46"/>
    </row>
    <row r="39" spans="1:13" ht="18.75" customHeight="1" x14ac:dyDescent="0.25">
      <c r="A39" s="108" t="s">
        <v>58</v>
      </c>
      <c r="B39" s="40" t="s">
        <v>13</v>
      </c>
      <c r="C39" s="39" t="s">
        <v>12</v>
      </c>
      <c r="D39" s="38">
        <v>102</v>
      </c>
      <c r="E39" s="37"/>
      <c r="F39" s="35"/>
      <c r="G39" s="35"/>
      <c r="H39" s="75">
        <v>18.34</v>
      </c>
      <c r="I39" s="75">
        <f>ROUND(H39*D39,2)</f>
        <v>1870.68</v>
      </c>
      <c r="J39" s="75">
        <f>ROUND(I39*1.2,2)</f>
        <v>2244.8200000000002</v>
      </c>
      <c r="K39" s="78">
        <f t="shared" si="2"/>
        <v>1870.68</v>
      </c>
      <c r="L39" s="75">
        <f t="shared" si="3"/>
        <v>2244.8200000000002</v>
      </c>
      <c r="M39" s="46"/>
    </row>
    <row r="40" spans="1:13" ht="33.75" customHeight="1" x14ac:dyDescent="0.25">
      <c r="A40" s="82">
        <f>A38+1</f>
        <v>20</v>
      </c>
      <c r="B40" s="81" t="s">
        <v>92</v>
      </c>
      <c r="C40" s="82" t="s">
        <v>23</v>
      </c>
      <c r="D40" s="99">
        <v>4</v>
      </c>
      <c r="E40" s="102">
        <f>ROUND(11914.9*1.33,2)</f>
        <v>15846.82</v>
      </c>
      <c r="F40" s="84">
        <f>ROUND(E40*D40,2)</f>
        <v>63387.28</v>
      </c>
      <c r="G40" s="84">
        <f>ROUND(F40*1.2,2)</f>
        <v>76064.740000000005</v>
      </c>
      <c r="H40" s="132"/>
      <c r="I40" s="103"/>
      <c r="J40" s="103"/>
      <c r="K40" s="102">
        <f t="shared" si="2"/>
        <v>63387.28</v>
      </c>
      <c r="L40" s="103">
        <f t="shared" si="3"/>
        <v>76064.740000000005</v>
      </c>
      <c r="M40" s="49"/>
    </row>
    <row r="41" spans="1:13" ht="18.75" customHeight="1" x14ac:dyDescent="0.25">
      <c r="A41" s="108" t="s">
        <v>57</v>
      </c>
      <c r="B41" s="40" t="s">
        <v>91</v>
      </c>
      <c r="C41" s="39" t="s">
        <v>23</v>
      </c>
      <c r="D41" s="47">
        <v>4</v>
      </c>
      <c r="E41" s="37"/>
      <c r="F41" s="35"/>
      <c r="G41" s="35"/>
      <c r="H41" s="75">
        <f>ROUND(2510/1.2*1.15,2)</f>
        <v>2405.42</v>
      </c>
      <c r="I41" s="75">
        <f>ROUND(H41*D41,2)</f>
        <v>9621.68</v>
      </c>
      <c r="J41" s="75">
        <f>ROUND(I41*1.2,2)</f>
        <v>11546.02</v>
      </c>
      <c r="K41" s="78">
        <f t="shared" si="2"/>
        <v>9621.68</v>
      </c>
      <c r="L41" s="75">
        <f t="shared" si="3"/>
        <v>11546.02</v>
      </c>
      <c r="M41" s="46" t="s">
        <v>16</v>
      </c>
    </row>
    <row r="42" spans="1:13" ht="18.75" customHeight="1" x14ac:dyDescent="0.25">
      <c r="A42" s="32"/>
      <c r="B42" s="34" t="s">
        <v>90</v>
      </c>
      <c r="C42" s="31"/>
      <c r="D42" s="30"/>
      <c r="E42" s="29"/>
      <c r="F42" s="27"/>
      <c r="G42" s="27"/>
      <c r="H42" s="28"/>
      <c r="I42" s="27"/>
      <c r="J42" s="27"/>
      <c r="K42" s="26"/>
      <c r="L42" s="25"/>
      <c r="M42" s="24"/>
    </row>
    <row r="43" spans="1:13" ht="31.5" customHeight="1" x14ac:dyDescent="0.25">
      <c r="A43" s="98">
        <f>A40+1</f>
        <v>21</v>
      </c>
      <c r="B43" s="81" t="s">
        <v>89</v>
      </c>
      <c r="C43" s="82" t="s">
        <v>23</v>
      </c>
      <c r="D43" s="99">
        <v>4</v>
      </c>
      <c r="E43" s="85">
        <f>ROUND(685.19*1.33,2)</f>
        <v>911.3</v>
      </c>
      <c r="F43" s="84">
        <f>ROUND(E43*D43,2)</f>
        <v>3645.2</v>
      </c>
      <c r="G43" s="84">
        <f>ROUND(F43*1.2,2)</f>
        <v>4374.24</v>
      </c>
      <c r="H43" s="100"/>
      <c r="I43" s="101"/>
      <c r="J43" s="101"/>
      <c r="K43" s="102">
        <f>F43+I43</f>
        <v>3645.2</v>
      </c>
      <c r="L43" s="103">
        <f>G43+J43</f>
        <v>4374.24</v>
      </c>
      <c r="M43" s="24"/>
    </row>
    <row r="44" spans="1:13" ht="30" customHeight="1" x14ac:dyDescent="0.25">
      <c r="A44" s="98">
        <f>A43+1</f>
        <v>22</v>
      </c>
      <c r="B44" s="81" t="s">
        <v>88</v>
      </c>
      <c r="C44" s="82" t="s">
        <v>23</v>
      </c>
      <c r="D44" s="99">
        <v>4</v>
      </c>
      <c r="E44" s="85">
        <v>2958.25</v>
      </c>
      <c r="F44" s="84">
        <f>ROUND(E44*D44,2)</f>
        <v>11833</v>
      </c>
      <c r="G44" s="84">
        <f>ROUND(F44*1.2,2)</f>
        <v>14199.6</v>
      </c>
      <c r="H44" s="100"/>
      <c r="I44" s="101"/>
      <c r="J44" s="101"/>
      <c r="K44" s="102">
        <f>F44+I44</f>
        <v>11833</v>
      </c>
      <c r="L44" s="103">
        <f>G44+J44</f>
        <v>14199.6</v>
      </c>
      <c r="M44" s="49" t="s">
        <v>87</v>
      </c>
    </row>
    <row r="45" spans="1:13" ht="18.75" customHeight="1" x14ac:dyDescent="0.25">
      <c r="A45" s="32"/>
      <c r="B45" s="34" t="s">
        <v>11</v>
      </c>
      <c r="C45" s="31"/>
      <c r="D45" s="33"/>
      <c r="E45" s="29"/>
      <c r="F45" s="27"/>
      <c r="G45" s="27"/>
      <c r="H45" s="28"/>
      <c r="I45" s="27"/>
      <c r="J45" s="27"/>
      <c r="K45" s="26"/>
      <c r="L45" s="25"/>
      <c r="M45" s="46"/>
    </row>
    <row r="46" spans="1:13" ht="18.75" customHeight="1" x14ac:dyDescent="0.25">
      <c r="A46" s="98">
        <f>A44+1</f>
        <v>23</v>
      </c>
      <c r="B46" s="81" t="s">
        <v>10</v>
      </c>
      <c r="C46" s="82" t="s">
        <v>9</v>
      </c>
      <c r="D46" s="99">
        <v>4</v>
      </c>
      <c r="E46" s="85">
        <v>12000</v>
      </c>
      <c r="F46" s="84">
        <f>ROUND(E46*D46,2)</f>
        <v>48000</v>
      </c>
      <c r="G46" s="84">
        <f>ROUND(F46*1.2,2)</f>
        <v>57600</v>
      </c>
      <c r="H46" s="104"/>
      <c r="I46" s="84"/>
      <c r="J46" s="84"/>
      <c r="K46" s="102">
        <f>F46+I46</f>
        <v>48000</v>
      </c>
      <c r="L46" s="103">
        <f>G46+J46</f>
        <v>57600</v>
      </c>
      <c r="M46" s="49" t="s">
        <v>87</v>
      </c>
    </row>
    <row r="47" spans="1:13" s="21" customFormat="1" ht="23.25" customHeight="1" x14ac:dyDescent="0.3">
      <c r="A47" s="117" t="s">
        <v>8</v>
      </c>
      <c r="B47" s="118"/>
      <c r="C47" s="118"/>
      <c r="D47" s="118"/>
      <c r="E47" s="119"/>
      <c r="F47" s="22">
        <f>SUM(F7:F46)</f>
        <v>1019918.22</v>
      </c>
      <c r="G47" s="22">
        <f>ROUND(F47*1.2,2)</f>
        <v>1223901.8600000001</v>
      </c>
      <c r="H47" s="23"/>
      <c r="I47" s="22">
        <f>SUM(I7:I46)</f>
        <v>261377.44999999995</v>
      </c>
      <c r="J47" s="22">
        <f>ROUND(I47*1.2,2)</f>
        <v>313652.94</v>
      </c>
      <c r="K47" s="22">
        <f>SUM(K7:K46)</f>
        <v>1281295.67</v>
      </c>
      <c r="L47" s="22">
        <f>ROUND(K47*1.2,2)</f>
        <v>1537554.8</v>
      </c>
    </row>
    <row r="49" spans="2:2" x14ac:dyDescent="0.25">
      <c r="B49" s="110" t="s">
        <v>132</v>
      </c>
    </row>
    <row r="50" spans="2:2" x14ac:dyDescent="0.25">
      <c r="B50" s="111" t="s">
        <v>133</v>
      </c>
    </row>
  </sheetData>
  <mergeCells count="10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2ED1-6F38-4AE2-AE06-DD3EBACF037B}">
  <sheetPr>
    <tabColor theme="9" tint="0.79998168889431442"/>
  </sheetPr>
  <dimension ref="A1:M34"/>
  <sheetViews>
    <sheetView view="pageBreakPreview" zoomScale="90" zoomScaleNormal="100" zoomScaleSheetLayoutView="90" workbookViewId="0">
      <selection activeCell="G24" sqref="G24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0" t="s">
        <v>7</v>
      </c>
      <c r="B1" s="123" t="s">
        <v>56</v>
      </c>
      <c r="C1" s="126" t="s">
        <v>55</v>
      </c>
      <c r="D1" s="126" t="s">
        <v>54</v>
      </c>
      <c r="E1" s="127" t="s">
        <v>53</v>
      </c>
      <c r="F1" s="128"/>
      <c r="G1" s="128"/>
      <c r="H1" s="128"/>
      <c r="I1" s="128"/>
      <c r="J1" s="128"/>
      <c r="K1" s="128"/>
      <c r="L1" s="128"/>
    </row>
    <row r="2" spans="1:13" ht="14.45" customHeight="1" x14ac:dyDescent="0.25">
      <c r="A2" s="121"/>
      <c r="B2" s="124"/>
      <c r="C2" s="126"/>
      <c r="D2" s="126"/>
      <c r="E2" s="129"/>
      <c r="F2" s="130"/>
      <c r="G2" s="130"/>
      <c r="H2" s="130"/>
      <c r="I2" s="130"/>
      <c r="J2" s="130"/>
      <c r="K2" s="130"/>
      <c r="L2" s="130"/>
    </row>
    <row r="3" spans="1:13" ht="27.75" customHeight="1" x14ac:dyDescent="0.25">
      <c r="A3" s="121"/>
      <c r="B3" s="124"/>
      <c r="C3" s="126"/>
      <c r="D3" s="126"/>
      <c r="E3" s="126" t="s">
        <v>52</v>
      </c>
      <c r="F3" s="126"/>
      <c r="G3" s="126"/>
      <c r="H3" s="126" t="s">
        <v>51</v>
      </c>
      <c r="I3" s="126"/>
      <c r="J3" s="126"/>
      <c r="K3" s="112" t="s">
        <v>50</v>
      </c>
      <c r="L3" s="112"/>
    </row>
    <row r="4" spans="1:13" ht="56.1" customHeight="1" x14ac:dyDescent="0.25">
      <c r="A4" s="122"/>
      <c r="B4" s="125"/>
      <c r="C4" s="126"/>
      <c r="D4" s="126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</row>
    <row r="5" spans="1:13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</row>
    <row r="6" spans="1:13" ht="20.25" customHeight="1" x14ac:dyDescent="0.25">
      <c r="A6" s="69"/>
      <c r="B6" s="115" t="s">
        <v>45</v>
      </c>
      <c r="C6" s="116"/>
      <c r="D6" s="116"/>
      <c r="E6" s="68"/>
      <c r="F6" s="67"/>
      <c r="G6" s="66"/>
      <c r="H6" s="66"/>
      <c r="I6" s="66"/>
      <c r="J6" s="66"/>
      <c r="K6" s="66"/>
      <c r="L6" s="66"/>
      <c r="M6" s="65"/>
    </row>
    <row r="7" spans="1:13" ht="20.25" customHeight="1" x14ac:dyDescent="0.25">
      <c r="A7" s="64"/>
      <c r="B7" s="63" t="s">
        <v>44</v>
      </c>
      <c r="C7" s="62"/>
      <c r="D7" s="61"/>
      <c r="E7" s="60"/>
      <c r="F7" s="59"/>
      <c r="G7" s="58"/>
      <c r="H7" s="44"/>
      <c r="I7" s="43"/>
      <c r="J7" s="43"/>
      <c r="K7" s="57"/>
      <c r="L7" s="43"/>
    </row>
    <row r="8" spans="1:13" ht="18.75" customHeight="1" x14ac:dyDescent="0.25">
      <c r="A8" s="32"/>
      <c r="B8" s="56" t="s">
        <v>43</v>
      </c>
      <c r="C8" s="31"/>
      <c r="D8" s="30"/>
      <c r="E8" s="50"/>
      <c r="F8" s="25">
        <f>ROUND(E8*D8,2)</f>
        <v>0</v>
      </c>
      <c r="G8" s="25">
        <f>ROUND(F8*1.2,2)</f>
        <v>0</v>
      </c>
      <c r="H8" s="50"/>
      <c r="I8" s="25"/>
      <c r="J8" s="25"/>
      <c r="K8" s="26">
        <f t="shared" ref="K8:L15" si="0">F8+I8</f>
        <v>0</v>
      </c>
      <c r="L8" s="25">
        <f t="shared" si="0"/>
        <v>0</v>
      </c>
    </row>
    <row r="9" spans="1:13" ht="18.75" customHeight="1" x14ac:dyDescent="0.25">
      <c r="A9" s="96">
        <v>1</v>
      </c>
      <c r="B9" s="87" t="s">
        <v>42</v>
      </c>
      <c r="C9" s="88" t="s">
        <v>35</v>
      </c>
      <c r="D9" s="89">
        <v>16.309999999999999</v>
      </c>
      <c r="E9" s="95">
        <v>1688.1499999999999</v>
      </c>
      <c r="F9" s="91">
        <f>ROUND(E9*D9,2)</f>
        <v>27533.73</v>
      </c>
      <c r="G9" s="91">
        <f>ROUND(F9*1.2,2)</f>
        <v>33040.480000000003</v>
      </c>
      <c r="H9" s="92"/>
      <c r="I9" s="90"/>
      <c r="J9" s="90"/>
      <c r="K9" s="95">
        <f t="shared" si="0"/>
        <v>27533.73</v>
      </c>
      <c r="L9" s="90">
        <f t="shared" si="0"/>
        <v>33040.480000000003</v>
      </c>
    </row>
    <row r="10" spans="1:13" ht="18.75" customHeight="1" x14ac:dyDescent="0.25">
      <c r="A10" s="96">
        <f>A9+1</f>
        <v>2</v>
      </c>
      <c r="B10" s="87" t="s">
        <v>41</v>
      </c>
      <c r="C10" s="88" t="s">
        <v>35</v>
      </c>
      <c r="D10" s="89">
        <v>1.36</v>
      </c>
      <c r="E10" s="95">
        <v>1310.05</v>
      </c>
      <c r="F10" s="91">
        <f>ROUND(E10*D10,2)</f>
        <v>1781.67</v>
      </c>
      <c r="G10" s="91">
        <f>ROUND(F10*1.2,2)</f>
        <v>2138</v>
      </c>
      <c r="H10" s="91"/>
      <c r="I10" s="90"/>
      <c r="J10" s="90"/>
      <c r="K10" s="95">
        <f t="shared" si="0"/>
        <v>1781.67</v>
      </c>
      <c r="L10" s="90">
        <f t="shared" si="0"/>
        <v>2138</v>
      </c>
    </row>
    <row r="11" spans="1:13" ht="18.75" customHeight="1" x14ac:dyDescent="0.25">
      <c r="A11" s="41" t="s">
        <v>40</v>
      </c>
      <c r="B11" s="40" t="s">
        <v>37</v>
      </c>
      <c r="C11" s="39" t="s">
        <v>35</v>
      </c>
      <c r="D11" s="38">
        <f>D10*1.1</f>
        <v>1.4960000000000002</v>
      </c>
      <c r="E11" s="78"/>
      <c r="F11" s="35"/>
      <c r="G11" s="35"/>
      <c r="H11" s="35">
        <v>1191.3</v>
      </c>
      <c r="I11" s="35">
        <f>ROUND(H11*D11,2)</f>
        <v>1782.18</v>
      </c>
      <c r="J11" s="35">
        <f>ROUND(I11*1.2,2)</f>
        <v>2138.62</v>
      </c>
      <c r="K11" s="36">
        <f t="shared" si="0"/>
        <v>1782.18</v>
      </c>
      <c r="L11" s="35">
        <f t="shared" si="0"/>
        <v>2138.62</v>
      </c>
    </row>
    <row r="12" spans="1:13" ht="18.75" customHeight="1" x14ac:dyDescent="0.25">
      <c r="A12" s="96">
        <f>A10+1</f>
        <v>3</v>
      </c>
      <c r="B12" s="87" t="s">
        <v>39</v>
      </c>
      <c r="C12" s="88" t="s">
        <v>35</v>
      </c>
      <c r="D12" s="89">
        <v>3.81</v>
      </c>
      <c r="E12" s="95">
        <v>1310.05</v>
      </c>
      <c r="F12" s="91">
        <f>ROUND(E12*D12,2)</f>
        <v>4991.29</v>
      </c>
      <c r="G12" s="91">
        <f>ROUND(F12*1.2,2)</f>
        <v>5989.55</v>
      </c>
      <c r="H12" s="91"/>
      <c r="I12" s="90"/>
      <c r="J12" s="90"/>
      <c r="K12" s="95">
        <f t="shared" si="0"/>
        <v>4991.29</v>
      </c>
      <c r="L12" s="90">
        <f t="shared" si="0"/>
        <v>5989.55</v>
      </c>
    </row>
    <row r="13" spans="1:13" ht="18.75" customHeight="1" x14ac:dyDescent="0.25">
      <c r="A13" s="41" t="s">
        <v>38</v>
      </c>
      <c r="B13" s="40" t="s">
        <v>37</v>
      </c>
      <c r="C13" s="39" t="s">
        <v>35</v>
      </c>
      <c r="D13" s="38">
        <f>D12*1.1</f>
        <v>4.1910000000000007</v>
      </c>
      <c r="E13" s="78"/>
      <c r="F13" s="35"/>
      <c r="G13" s="35"/>
      <c r="H13" s="35">
        <v>1191.3</v>
      </c>
      <c r="I13" s="35">
        <f>ROUND(H13*D13,2)</f>
        <v>4992.74</v>
      </c>
      <c r="J13" s="35">
        <f>ROUND(I13*1.2,2)</f>
        <v>5991.29</v>
      </c>
      <c r="K13" s="36">
        <f t="shared" si="0"/>
        <v>4992.74</v>
      </c>
      <c r="L13" s="35">
        <f t="shared" si="0"/>
        <v>5991.29</v>
      </c>
    </row>
    <row r="14" spans="1:13" ht="18.75" customHeight="1" x14ac:dyDescent="0.25">
      <c r="A14" s="96">
        <f>A12+1</f>
        <v>4</v>
      </c>
      <c r="B14" s="87" t="s">
        <v>36</v>
      </c>
      <c r="C14" s="88" t="s">
        <v>35</v>
      </c>
      <c r="D14" s="89">
        <v>10.74</v>
      </c>
      <c r="E14" s="95">
        <v>854.05</v>
      </c>
      <c r="F14" s="91">
        <f>ROUND(E14*D14,2)</f>
        <v>9172.5</v>
      </c>
      <c r="G14" s="91">
        <f>ROUND(F14*1.2,2)</f>
        <v>11007</v>
      </c>
      <c r="H14" s="92"/>
      <c r="I14" s="90"/>
      <c r="J14" s="90"/>
      <c r="K14" s="95">
        <f t="shared" si="0"/>
        <v>9172.5</v>
      </c>
      <c r="L14" s="90">
        <f t="shared" si="0"/>
        <v>11007</v>
      </c>
    </row>
    <row r="15" spans="1:13" ht="18.75" customHeight="1" x14ac:dyDescent="0.25">
      <c r="A15" s="96">
        <f>A14+1</f>
        <v>5</v>
      </c>
      <c r="B15" s="87" t="s">
        <v>34</v>
      </c>
      <c r="C15" s="88" t="s">
        <v>33</v>
      </c>
      <c r="D15" s="89">
        <f>5.57*1.9</f>
        <v>10.583</v>
      </c>
      <c r="E15" s="95">
        <v>308.75</v>
      </c>
      <c r="F15" s="91">
        <f>ROUND(E15*D15,2)</f>
        <v>3267.5</v>
      </c>
      <c r="G15" s="91">
        <f>ROUND(F15*1.2,2)</f>
        <v>3921</v>
      </c>
      <c r="H15" s="109"/>
      <c r="I15" s="91"/>
      <c r="J15" s="91"/>
      <c r="K15" s="95">
        <f t="shared" si="0"/>
        <v>3267.5</v>
      </c>
      <c r="L15" s="90">
        <f t="shared" si="0"/>
        <v>3921</v>
      </c>
    </row>
    <row r="16" spans="1:13" ht="18.75" customHeight="1" x14ac:dyDescent="0.25">
      <c r="A16" s="32"/>
      <c r="B16" s="56" t="s">
        <v>32</v>
      </c>
      <c r="C16" s="55"/>
      <c r="D16" s="54"/>
      <c r="E16" s="52"/>
      <c r="F16" s="51"/>
      <c r="G16" s="51"/>
      <c r="H16" s="53"/>
      <c r="I16" s="51"/>
      <c r="J16" s="51"/>
      <c r="K16" s="52"/>
      <c r="L16" s="51"/>
      <c r="M16" s="24"/>
    </row>
    <row r="17" spans="1:13" ht="18.75" customHeight="1" x14ac:dyDescent="0.25">
      <c r="A17" s="96">
        <f>A15+1</f>
        <v>6</v>
      </c>
      <c r="B17" s="87" t="s">
        <v>22</v>
      </c>
      <c r="C17" s="88" t="s">
        <v>12</v>
      </c>
      <c r="D17" s="89">
        <v>42.87</v>
      </c>
      <c r="E17" s="95">
        <v>146.30000000000001</v>
      </c>
      <c r="F17" s="91">
        <f>ROUND(E17*D17,2)</f>
        <v>6271.88</v>
      </c>
      <c r="G17" s="91">
        <f>ROUND(F17*1.2,2)</f>
        <v>7526.26</v>
      </c>
      <c r="H17" s="107"/>
      <c r="I17" s="97"/>
      <c r="J17" s="97"/>
      <c r="K17" s="95">
        <f t="shared" ref="K17:K28" si="1">F17+I17</f>
        <v>6271.88</v>
      </c>
      <c r="L17" s="90">
        <f t="shared" ref="L17:L28" si="2">G17+J17</f>
        <v>7526.26</v>
      </c>
      <c r="M17" s="46"/>
    </row>
    <row r="18" spans="1:13" ht="18.75" customHeight="1" x14ac:dyDescent="0.25">
      <c r="A18" s="41" t="s">
        <v>30</v>
      </c>
      <c r="B18" s="40" t="s">
        <v>20</v>
      </c>
      <c r="C18" s="39" t="s">
        <v>12</v>
      </c>
      <c r="D18" s="38">
        <f>1.02*42.87</f>
        <v>43.727399999999996</v>
      </c>
      <c r="E18" s="78"/>
      <c r="F18" s="35"/>
      <c r="G18" s="35"/>
      <c r="H18" s="75">
        <f>ROUND(137.5*1.15,2)</f>
        <v>158.13</v>
      </c>
      <c r="I18" s="75">
        <f>ROUND(H18*D18,2)</f>
        <v>6914.61</v>
      </c>
      <c r="J18" s="75">
        <f>ROUND(I18*1.2,2)</f>
        <v>8297.5300000000007</v>
      </c>
      <c r="K18" s="78">
        <f t="shared" si="1"/>
        <v>6914.61</v>
      </c>
      <c r="L18" s="75">
        <f t="shared" si="2"/>
        <v>8297.5300000000007</v>
      </c>
      <c r="M18" s="46" t="s">
        <v>16</v>
      </c>
    </row>
    <row r="19" spans="1:13" ht="18.75" customHeight="1" x14ac:dyDescent="0.25">
      <c r="A19" s="98">
        <f>A17+1</f>
        <v>7</v>
      </c>
      <c r="B19" s="81" t="s">
        <v>19</v>
      </c>
      <c r="C19" s="82" t="s">
        <v>12</v>
      </c>
      <c r="D19" s="99">
        <v>6</v>
      </c>
      <c r="E19" s="102">
        <v>1632.8</v>
      </c>
      <c r="F19" s="84">
        <f>ROUND(E19*D19,2)</f>
        <v>9796.7999999999993</v>
      </c>
      <c r="G19" s="84">
        <f>ROUND(F19*1.2,2)</f>
        <v>11756.16</v>
      </c>
      <c r="H19" s="132"/>
      <c r="I19" s="103"/>
      <c r="J19" s="103"/>
      <c r="K19" s="102">
        <f t="shared" si="1"/>
        <v>9796.7999999999993</v>
      </c>
      <c r="L19" s="103">
        <f t="shared" si="2"/>
        <v>11756.16</v>
      </c>
      <c r="M19" s="49"/>
    </row>
    <row r="20" spans="1:13" ht="18.75" customHeight="1" x14ac:dyDescent="0.25">
      <c r="A20" s="41" t="s">
        <v>28</v>
      </c>
      <c r="B20" s="48" t="s">
        <v>17</v>
      </c>
      <c r="C20" s="39" t="s">
        <v>12</v>
      </c>
      <c r="D20" s="47">
        <v>6</v>
      </c>
      <c r="E20" s="78"/>
      <c r="F20" s="35"/>
      <c r="G20" s="35"/>
      <c r="H20" s="75">
        <f>ROUND(2236.42/1.2*1.15,2)</f>
        <v>2143.2399999999998</v>
      </c>
      <c r="I20" s="75">
        <f>ROUND(H20*D20,2)</f>
        <v>12859.44</v>
      </c>
      <c r="J20" s="75">
        <f>ROUND(I20*1.2,2)</f>
        <v>15431.33</v>
      </c>
      <c r="K20" s="78">
        <f t="shared" si="1"/>
        <v>12859.44</v>
      </c>
      <c r="L20" s="75">
        <f t="shared" si="2"/>
        <v>15431.33</v>
      </c>
      <c r="M20" s="46" t="s">
        <v>16</v>
      </c>
    </row>
    <row r="21" spans="1:13" ht="18.75" customHeight="1" x14ac:dyDescent="0.25">
      <c r="A21" s="98">
        <f>A19+1</f>
        <v>8</v>
      </c>
      <c r="B21" s="81" t="s">
        <v>31</v>
      </c>
      <c r="C21" s="82" t="s">
        <v>12</v>
      </c>
      <c r="D21" s="83">
        <v>223.66</v>
      </c>
      <c r="E21" s="102">
        <v>680.75</v>
      </c>
      <c r="F21" s="84">
        <f>ROUND(E21*D21,2)</f>
        <v>152256.54999999999</v>
      </c>
      <c r="G21" s="84">
        <f>ROUND(F21*1.2,2)</f>
        <v>182707.86</v>
      </c>
      <c r="H21" s="132"/>
      <c r="I21" s="103"/>
      <c r="J21" s="103"/>
      <c r="K21" s="102">
        <f t="shared" si="1"/>
        <v>152256.54999999999</v>
      </c>
      <c r="L21" s="103">
        <f t="shared" si="2"/>
        <v>182707.86</v>
      </c>
      <c r="M21" s="49"/>
    </row>
    <row r="22" spans="1:13" ht="18.75" customHeight="1" x14ac:dyDescent="0.25">
      <c r="A22" s="41" t="s">
        <v>25</v>
      </c>
      <c r="B22" s="40" t="s">
        <v>27</v>
      </c>
      <c r="C22" s="39" t="s">
        <v>12</v>
      </c>
      <c r="D22" s="38">
        <f>D21*1.02</f>
        <v>228.13319999999999</v>
      </c>
      <c r="E22" s="78"/>
      <c r="F22" s="35"/>
      <c r="G22" s="35"/>
      <c r="H22" s="75">
        <f>ROUND(1200/1.2*1.15,2)</f>
        <v>1150</v>
      </c>
      <c r="I22" s="75">
        <f>ROUND(H22*D22,2)</f>
        <v>262353.18</v>
      </c>
      <c r="J22" s="75">
        <f>ROUND(I22*1.2,2)</f>
        <v>314823.82</v>
      </c>
      <c r="K22" s="78">
        <f t="shared" si="1"/>
        <v>262353.18</v>
      </c>
      <c r="L22" s="75">
        <f t="shared" si="2"/>
        <v>314823.82</v>
      </c>
      <c r="M22" s="46" t="s">
        <v>16</v>
      </c>
    </row>
    <row r="23" spans="1:13" ht="18.75" customHeight="1" x14ac:dyDescent="0.25">
      <c r="A23" s="96">
        <f>A21+1</f>
        <v>9</v>
      </c>
      <c r="B23" s="87" t="s">
        <v>29</v>
      </c>
      <c r="C23" s="88" t="s">
        <v>12</v>
      </c>
      <c r="D23" s="89">
        <v>18.739999999999998</v>
      </c>
      <c r="E23" s="95">
        <v>209.95</v>
      </c>
      <c r="F23" s="91">
        <f>ROUND(E23*D23,2)</f>
        <v>3934.46</v>
      </c>
      <c r="G23" s="91">
        <f>ROUND(F23*1.2,2)</f>
        <v>4721.3500000000004</v>
      </c>
      <c r="H23" s="133"/>
      <c r="I23" s="90"/>
      <c r="J23" s="90"/>
      <c r="K23" s="95">
        <f t="shared" si="1"/>
        <v>3934.46</v>
      </c>
      <c r="L23" s="90">
        <f t="shared" si="2"/>
        <v>4721.3500000000004</v>
      </c>
      <c r="M23" s="46"/>
    </row>
    <row r="24" spans="1:13" ht="18.75" customHeight="1" x14ac:dyDescent="0.25">
      <c r="A24" s="41" t="s">
        <v>21</v>
      </c>
      <c r="B24" s="40" t="s">
        <v>27</v>
      </c>
      <c r="C24" s="39" t="s">
        <v>12</v>
      </c>
      <c r="D24" s="38">
        <f>D23*1.02</f>
        <v>19.114799999999999</v>
      </c>
      <c r="E24" s="78"/>
      <c r="F24" s="35"/>
      <c r="G24" s="35"/>
      <c r="H24" s="75">
        <f>ROUND(1200/1.2*1.15,2)</f>
        <v>1150</v>
      </c>
      <c r="I24" s="75">
        <f>ROUND(H24*D24,2)</f>
        <v>21982.02</v>
      </c>
      <c r="J24" s="75">
        <f>ROUND(I24*1.2,2)</f>
        <v>26378.42</v>
      </c>
      <c r="K24" s="78">
        <f t="shared" si="1"/>
        <v>21982.02</v>
      </c>
      <c r="L24" s="75">
        <f t="shared" si="2"/>
        <v>26378.42</v>
      </c>
      <c r="M24" s="46" t="s">
        <v>16</v>
      </c>
    </row>
    <row r="25" spans="1:13" s="42" customFormat="1" ht="18.75" customHeight="1" x14ac:dyDescent="0.25">
      <c r="A25" s="96">
        <f>A23+1</f>
        <v>10</v>
      </c>
      <c r="B25" s="105" t="s">
        <v>15</v>
      </c>
      <c r="C25" s="88" t="s">
        <v>12</v>
      </c>
      <c r="D25" s="89">
        <v>22.65</v>
      </c>
      <c r="E25" s="95">
        <v>17.53</v>
      </c>
      <c r="F25" s="91">
        <f>ROUND(E25*D25,2)</f>
        <v>397.05</v>
      </c>
      <c r="G25" s="91">
        <f>ROUND(F25*1.2,2)</f>
        <v>476.46</v>
      </c>
      <c r="H25" s="107"/>
      <c r="I25" s="97"/>
      <c r="J25" s="97"/>
      <c r="K25" s="95">
        <f t="shared" si="1"/>
        <v>397.05</v>
      </c>
      <c r="L25" s="90">
        <f t="shared" si="2"/>
        <v>476.46</v>
      </c>
      <c r="M25" s="76"/>
    </row>
    <row r="26" spans="1:13" ht="18.75" customHeight="1" x14ac:dyDescent="0.25">
      <c r="A26" s="41" t="s">
        <v>18</v>
      </c>
      <c r="B26" s="40" t="s">
        <v>13</v>
      </c>
      <c r="C26" s="39" t="s">
        <v>12</v>
      </c>
      <c r="D26" s="38">
        <v>22.65</v>
      </c>
      <c r="E26" s="78"/>
      <c r="F26" s="35"/>
      <c r="G26" s="35"/>
      <c r="H26" s="35">
        <v>18.34</v>
      </c>
      <c r="I26" s="35">
        <f>ROUND(H26*D26,2)</f>
        <v>415.4</v>
      </c>
      <c r="J26" s="35">
        <f>ROUND(I26*1.2,2)</f>
        <v>498.48</v>
      </c>
      <c r="K26" s="36">
        <f t="shared" si="1"/>
        <v>415.4</v>
      </c>
      <c r="L26" s="35">
        <f t="shared" si="2"/>
        <v>498.48</v>
      </c>
    </row>
    <row r="27" spans="1:13" ht="18.75" customHeight="1" x14ac:dyDescent="0.25">
      <c r="A27" s="96">
        <f>A25+1</f>
        <v>11</v>
      </c>
      <c r="B27" s="87" t="s">
        <v>26</v>
      </c>
      <c r="C27" s="88" t="s">
        <v>23</v>
      </c>
      <c r="D27" s="106">
        <v>4</v>
      </c>
      <c r="E27" s="95">
        <v>6715.55</v>
      </c>
      <c r="F27" s="91">
        <f>ROUND(E27*D27,2)</f>
        <v>26862.2</v>
      </c>
      <c r="G27" s="91">
        <f>ROUND(F27*1.2,2)</f>
        <v>32234.639999999999</v>
      </c>
      <c r="H27" s="107"/>
      <c r="I27" s="97"/>
      <c r="J27" s="97"/>
      <c r="K27" s="95">
        <f t="shared" si="1"/>
        <v>26862.2</v>
      </c>
      <c r="L27" s="90">
        <f t="shared" si="2"/>
        <v>32234.639999999999</v>
      </c>
      <c r="M27" s="46"/>
    </row>
    <row r="28" spans="1:13" ht="18.75" customHeight="1" x14ac:dyDescent="0.25">
      <c r="A28" s="41" t="s">
        <v>14</v>
      </c>
      <c r="B28" s="40" t="s">
        <v>24</v>
      </c>
      <c r="C28" s="39" t="s">
        <v>23</v>
      </c>
      <c r="D28" s="47">
        <v>4</v>
      </c>
      <c r="E28" s="78"/>
      <c r="F28" s="35"/>
      <c r="G28" s="35"/>
      <c r="H28" s="35">
        <v>7106</v>
      </c>
      <c r="I28" s="35">
        <f>ROUND(H28*D28,2)</f>
        <v>28424</v>
      </c>
      <c r="J28" s="35">
        <f>ROUND(I28*1.2,2)</f>
        <v>34108.800000000003</v>
      </c>
      <c r="K28" s="36">
        <f t="shared" si="1"/>
        <v>28424</v>
      </c>
      <c r="L28" s="35">
        <f t="shared" si="2"/>
        <v>34108.800000000003</v>
      </c>
      <c r="M28" s="46"/>
    </row>
    <row r="29" spans="1:13" ht="18.75" customHeight="1" x14ac:dyDescent="0.25">
      <c r="A29" s="32"/>
      <c r="B29" s="34" t="s">
        <v>11</v>
      </c>
      <c r="C29" s="31"/>
      <c r="D29" s="33"/>
      <c r="E29" s="79"/>
      <c r="F29" s="27"/>
      <c r="G29" s="27"/>
      <c r="H29" s="28"/>
      <c r="I29" s="27"/>
      <c r="J29" s="27"/>
      <c r="K29" s="26"/>
      <c r="L29" s="25"/>
    </row>
    <row r="30" spans="1:13" ht="18.75" customHeight="1" x14ac:dyDescent="0.25">
      <c r="A30" s="98">
        <f>A27+1</f>
        <v>12</v>
      </c>
      <c r="B30" s="81" t="s">
        <v>10</v>
      </c>
      <c r="C30" s="82" t="s">
        <v>9</v>
      </c>
      <c r="D30" s="99">
        <v>6</v>
      </c>
      <c r="E30" s="102">
        <v>12000</v>
      </c>
      <c r="F30" s="84">
        <f>ROUND(E30*D30,2)</f>
        <v>72000</v>
      </c>
      <c r="G30" s="84">
        <f>ROUND(F30*1.2,2)</f>
        <v>86400</v>
      </c>
      <c r="H30" s="104"/>
      <c r="I30" s="84"/>
      <c r="J30" s="84"/>
      <c r="K30" s="102">
        <f>F30+I30</f>
        <v>72000</v>
      </c>
      <c r="L30" s="103">
        <f>G30+J30</f>
        <v>86400</v>
      </c>
      <c r="M30" s="24"/>
    </row>
    <row r="31" spans="1:13" s="21" customFormat="1" ht="23.25" customHeight="1" x14ac:dyDescent="0.3">
      <c r="A31" s="117" t="s">
        <v>8</v>
      </c>
      <c r="B31" s="118"/>
      <c r="C31" s="118"/>
      <c r="D31" s="118"/>
      <c r="E31" s="119"/>
      <c r="F31" s="22">
        <f>SUM(F7:F30)</f>
        <v>318265.63</v>
      </c>
      <c r="G31" s="22">
        <f>ROUND(F31*1.2,2)</f>
        <v>381918.76</v>
      </c>
      <c r="H31" s="23"/>
      <c r="I31" s="22">
        <f>SUM(I7:I30)</f>
        <v>339723.57000000007</v>
      </c>
      <c r="J31" s="22">
        <f>ROUND(I31*1.2,2)</f>
        <v>407668.28</v>
      </c>
      <c r="K31" s="22">
        <f>SUM(K7:K30)</f>
        <v>657989.19999999995</v>
      </c>
      <c r="L31" s="22">
        <f>ROUND(K31*1.2,2)</f>
        <v>789587.04</v>
      </c>
    </row>
    <row r="33" spans="2:2" x14ac:dyDescent="0.25">
      <c r="B33" s="110" t="s">
        <v>132</v>
      </c>
    </row>
    <row r="34" spans="2:2" x14ac:dyDescent="0.25">
      <c r="B34" s="111" t="s">
        <v>133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A931-83FF-4A85-8B89-C07054686D2E}">
  <sheetPr>
    <tabColor theme="9" tint="0.79998168889431442"/>
  </sheetPr>
  <dimension ref="A1:M47"/>
  <sheetViews>
    <sheetView view="pageBreakPreview" topLeftCell="A25" zoomScaleNormal="100" zoomScaleSheetLayoutView="100" workbookViewId="0">
      <selection activeCell="E21" sqref="E21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2.285156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0" t="s">
        <v>7</v>
      </c>
      <c r="B1" s="123" t="s">
        <v>56</v>
      </c>
      <c r="C1" s="126" t="s">
        <v>55</v>
      </c>
      <c r="D1" s="126" t="s">
        <v>54</v>
      </c>
      <c r="E1" s="127" t="s">
        <v>53</v>
      </c>
      <c r="F1" s="128"/>
      <c r="G1" s="128"/>
      <c r="H1" s="128"/>
      <c r="I1" s="128"/>
      <c r="J1" s="128"/>
      <c r="K1" s="128"/>
      <c r="L1" s="128"/>
    </row>
    <row r="2" spans="1:13" ht="14.45" customHeight="1" x14ac:dyDescent="0.25">
      <c r="A2" s="121"/>
      <c r="B2" s="124"/>
      <c r="C2" s="126"/>
      <c r="D2" s="126"/>
      <c r="E2" s="129"/>
      <c r="F2" s="130"/>
      <c r="G2" s="130"/>
      <c r="H2" s="130"/>
      <c r="I2" s="130"/>
      <c r="J2" s="130"/>
      <c r="K2" s="130"/>
      <c r="L2" s="130"/>
    </row>
    <row r="3" spans="1:13" ht="27.75" customHeight="1" x14ac:dyDescent="0.25">
      <c r="A3" s="121"/>
      <c r="B3" s="124"/>
      <c r="C3" s="126"/>
      <c r="D3" s="126"/>
      <c r="E3" s="126" t="s">
        <v>52</v>
      </c>
      <c r="F3" s="126"/>
      <c r="G3" s="126"/>
      <c r="H3" s="126" t="s">
        <v>51</v>
      </c>
      <c r="I3" s="126"/>
      <c r="J3" s="126"/>
      <c r="K3" s="112" t="s">
        <v>50</v>
      </c>
      <c r="L3" s="112"/>
    </row>
    <row r="4" spans="1:13" ht="56.1" customHeight="1" x14ac:dyDescent="0.25">
      <c r="A4" s="122"/>
      <c r="B4" s="125"/>
      <c r="C4" s="126"/>
      <c r="D4" s="126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</row>
    <row r="5" spans="1:13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</row>
    <row r="6" spans="1:13" ht="20.25" customHeight="1" x14ac:dyDescent="0.25">
      <c r="A6" s="69"/>
      <c r="B6" s="115" t="s">
        <v>86</v>
      </c>
      <c r="C6" s="116"/>
      <c r="D6" s="116"/>
      <c r="E6" s="68"/>
      <c r="F6" s="67"/>
      <c r="G6" s="66"/>
      <c r="H6" s="66"/>
      <c r="I6" s="66"/>
      <c r="J6" s="66"/>
      <c r="K6" s="66"/>
      <c r="L6" s="66"/>
      <c r="M6" s="65"/>
    </row>
    <row r="7" spans="1:13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</row>
    <row r="8" spans="1:13" ht="20.25" customHeight="1" x14ac:dyDescent="0.25">
      <c r="A8" s="80" t="s">
        <v>84</v>
      </c>
      <c r="B8" s="81" t="s">
        <v>83</v>
      </c>
      <c r="C8" s="82" t="s">
        <v>12</v>
      </c>
      <c r="D8" s="83">
        <v>68.959999999999994</v>
      </c>
      <c r="E8" s="103">
        <v>3500</v>
      </c>
      <c r="F8" s="103">
        <f>ROUND(E8*D8,2)</f>
        <v>241360</v>
      </c>
      <c r="G8" s="103">
        <f>ROUND(F8*1.2,2)</f>
        <v>289632</v>
      </c>
      <c r="H8" s="85"/>
      <c r="I8" s="103"/>
      <c r="J8" s="103"/>
      <c r="K8" s="102">
        <f t="shared" ref="K8:L11" si="0">F8+I8</f>
        <v>241360</v>
      </c>
      <c r="L8" s="103">
        <f t="shared" si="0"/>
        <v>289632</v>
      </c>
      <c r="M8" s="131" t="s">
        <v>134</v>
      </c>
    </row>
    <row r="9" spans="1:13" ht="20.25" customHeight="1" x14ac:dyDescent="0.25">
      <c r="A9" s="86">
        <f>A8+1</f>
        <v>2</v>
      </c>
      <c r="B9" s="87" t="s">
        <v>82</v>
      </c>
      <c r="C9" s="88" t="s">
        <v>35</v>
      </c>
      <c r="D9" s="89">
        <v>9.8699999999999992</v>
      </c>
      <c r="E9" s="90">
        <f>ROUND(65055.24/(297.03*0.05),2)</f>
        <v>4380.38</v>
      </c>
      <c r="F9" s="91">
        <f>ROUND(E9*D9,2)</f>
        <v>43234.35</v>
      </c>
      <c r="G9" s="91">
        <f>ROUND(F9*1.2,2)</f>
        <v>51881.22</v>
      </c>
      <c r="H9" s="92"/>
      <c r="I9" s="91"/>
      <c r="J9" s="91"/>
      <c r="K9" s="93">
        <f t="shared" si="0"/>
        <v>43234.35</v>
      </c>
      <c r="L9" s="91">
        <f t="shared" si="0"/>
        <v>51881.22</v>
      </c>
      <c r="M9" s="46"/>
    </row>
    <row r="10" spans="1:13" ht="20.25" customHeight="1" x14ac:dyDescent="0.25">
      <c r="A10" s="86">
        <f>A9+1</f>
        <v>3</v>
      </c>
      <c r="B10" s="87" t="s">
        <v>81</v>
      </c>
      <c r="C10" s="88" t="s">
        <v>35</v>
      </c>
      <c r="D10" s="89">
        <v>16.45</v>
      </c>
      <c r="E10" s="95">
        <v>304</v>
      </c>
      <c r="F10" s="91">
        <f>ROUND(E10*D10,2)</f>
        <v>5000.8</v>
      </c>
      <c r="G10" s="91">
        <f>ROUND(F10*1.2,2)</f>
        <v>6000.96</v>
      </c>
      <c r="H10" s="91"/>
      <c r="I10" s="91"/>
      <c r="J10" s="91"/>
      <c r="K10" s="93">
        <f t="shared" si="0"/>
        <v>5000.8</v>
      </c>
      <c r="L10" s="91">
        <f t="shared" si="0"/>
        <v>6000.96</v>
      </c>
      <c r="M10" s="46"/>
    </row>
    <row r="11" spans="1:13" ht="20.25" customHeight="1" x14ac:dyDescent="0.25">
      <c r="A11" s="86">
        <f>A10+1</f>
        <v>4</v>
      </c>
      <c r="B11" s="87" t="s">
        <v>80</v>
      </c>
      <c r="C11" s="88" t="s">
        <v>33</v>
      </c>
      <c r="D11" s="89">
        <v>40.799999999999997</v>
      </c>
      <c r="E11" s="90">
        <v>431.37</v>
      </c>
      <c r="F11" s="91">
        <f>ROUND(E11*D11,2)</f>
        <v>17599.900000000001</v>
      </c>
      <c r="G11" s="91">
        <f>ROUND(F11*1.2,2)</f>
        <v>21119.88</v>
      </c>
      <c r="H11" s="92"/>
      <c r="I11" s="91"/>
      <c r="J11" s="91"/>
      <c r="K11" s="93">
        <f t="shared" si="0"/>
        <v>17599.900000000001</v>
      </c>
      <c r="L11" s="91">
        <f t="shared" si="0"/>
        <v>21119.88</v>
      </c>
      <c r="M11" s="49" t="s">
        <v>130</v>
      </c>
    </row>
    <row r="12" spans="1:13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</row>
    <row r="13" spans="1:13" ht="18.75" customHeight="1" x14ac:dyDescent="0.25">
      <c r="A13" s="94">
        <f>A11+1</f>
        <v>5</v>
      </c>
      <c r="B13" s="87" t="s">
        <v>79</v>
      </c>
      <c r="C13" s="88" t="s">
        <v>35</v>
      </c>
      <c r="D13" s="89">
        <v>52.96</v>
      </c>
      <c r="E13" s="92">
        <v>308.75</v>
      </c>
      <c r="F13" s="91">
        <f>ROUND(E13*D13,2)</f>
        <v>16351.4</v>
      </c>
      <c r="G13" s="91">
        <f>ROUND(F13*1.2,2)</f>
        <v>19621.68</v>
      </c>
      <c r="H13" s="92"/>
      <c r="I13" s="90"/>
      <c r="J13" s="90"/>
      <c r="K13" s="95">
        <f t="shared" ref="K13:K25" si="1">F13+I13</f>
        <v>16351.4</v>
      </c>
      <c r="L13" s="90">
        <f t="shared" ref="L13:L25" si="2">G13+J13</f>
        <v>19621.68</v>
      </c>
    </row>
    <row r="14" spans="1:13" ht="18.75" customHeight="1" x14ac:dyDescent="0.25">
      <c r="A14" s="94">
        <f>A13+1</f>
        <v>6</v>
      </c>
      <c r="B14" s="87" t="s">
        <v>78</v>
      </c>
      <c r="C14" s="88" t="s">
        <v>35</v>
      </c>
      <c r="D14" s="89">
        <v>1.08</v>
      </c>
      <c r="E14" s="92">
        <v>1688.15</v>
      </c>
      <c r="F14" s="91">
        <f>ROUND(E14*D14,2)</f>
        <v>1823.2</v>
      </c>
      <c r="G14" s="91">
        <f>ROUND(F14*1.2,2)</f>
        <v>2187.84</v>
      </c>
      <c r="H14" s="92"/>
      <c r="I14" s="90"/>
      <c r="J14" s="90"/>
      <c r="K14" s="95">
        <f t="shared" si="1"/>
        <v>1823.2</v>
      </c>
      <c r="L14" s="90">
        <f t="shared" si="2"/>
        <v>2187.84</v>
      </c>
    </row>
    <row r="15" spans="1:13" ht="20.25" customHeight="1" x14ac:dyDescent="0.25">
      <c r="A15" s="96">
        <f>A14+1</f>
        <v>7</v>
      </c>
      <c r="B15" s="87" t="s">
        <v>77</v>
      </c>
      <c r="C15" s="88" t="s">
        <v>35</v>
      </c>
      <c r="D15" s="89">
        <v>6.12</v>
      </c>
      <c r="E15" s="92">
        <v>1310.05</v>
      </c>
      <c r="F15" s="91">
        <f>ROUND(E15*D15,2)</f>
        <v>8017.51</v>
      </c>
      <c r="G15" s="91">
        <f>ROUND(F15*1.2,2)</f>
        <v>9621.01</v>
      </c>
      <c r="H15" s="107"/>
      <c r="I15" s="97"/>
      <c r="J15" s="97"/>
      <c r="K15" s="95">
        <f t="shared" si="1"/>
        <v>8017.51</v>
      </c>
      <c r="L15" s="90">
        <f t="shared" si="2"/>
        <v>9621.01</v>
      </c>
    </row>
    <row r="16" spans="1:13" ht="20.25" customHeight="1" x14ac:dyDescent="0.25">
      <c r="A16" s="108" t="s">
        <v>28</v>
      </c>
      <c r="B16" s="40" t="s">
        <v>37</v>
      </c>
      <c r="C16" s="39" t="s">
        <v>35</v>
      </c>
      <c r="D16" s="38">
        <f>(6.12)*1.1</f>
        <v>6.7320000000000011</v>
      </c>
      <c r="E16" s="37"/>
      <c r="F16" s="35"/>
      <c r="G16" s="35"/>
      <c r="H16" s="35">
        <v>1191.3</v>
      </c>
      <c r="I16" s="35">
        <f>ROUND(H16*D16,2)</f>
        <v>8019.83</v>
      </c>
      <c r="J16" s="35">
        <f>ROUND(I16*1.2,2)</f>
        <v>9623.7999999999993</v>
      </c>
      <c r="K16" s="36">
        <f t="shared" si="1"/>
        <v>8019.83</v>
      </c>
      <c r="L16" s="35">
        <f t="shared" si="2"/>
        <v>9623.7999999999993</v>
      </c>
    </row>
    <row r="17" spans="1:13" ht="28.5" customHeight="1" x14ac:dyDescent="0.25">
      <c r="A17" s="96">
        <f>A15+1</f>
        <v>8</v>
      </c>
      <c r="B17" s="87" t="s">
        <v>76</v>
      </c>
      <c r="C17" s="88" t="s">
        <v>35</v>
      </c>
      <c r="D17" s="89">
        <v>15.4</v>
      </c>
      <c r="E17" s="92">
        <v>1310.05</v>
      </c>
      <c r="F17" s="91">
        <f>ROUND(E17*D17,2)</f>
        <v>20174.77</v>
      </c>
      <c r="G17" s="91">
        <f>ROUND(F17*1.2,2)</f>
        <v>24209.72</v>
      </c>
      <c r="H17" s="107"/>
      <c r="I17" s="90"/>
      <c r="J17" s="90"/>
      <c r="K17" s="95">
        <f t="shared" si="1"/>
        <v>20174.77</v>
      </c>
      <c r="L17" s="90">
        <f t="shared" si="2"/>
        <v>24209.72</v>
      </c>
    </row>
    <row r="18" spans="1:13" ht="20.25" customHeight="1" x14ac:dyDescent="0.25">
      <c r="A18" s="108" t="s">
        <v>25</v>
      </c>
      <c r="B18" s="40" t="s">
        <v>37</v>
      </c>
      <c r="C18" s="39" t="s">
        <v>35</v>
      </c>
      <c r="D18" s="38">
        <f>(15.34)*1.1</f>
        <v>16.874000000000002</v>
      </c>
      <c r="E18" s="37"/>
      <c r="F18" s="35"/>
      <c r="G18" s="35"/>
      <c r="H18" s="35">
        <v>1191.3</v>
      </c>
      <c r="I18" s="35">
        <f>ROUND(H18*D18,2)</f>
        <v>20102</v>
      </c>
      <c r="J18" s="35">
        <f>ROUND(I18*1.2,2)</f>
        <v>24122.400000000001</v>
      </c>
      <c r="K18" s="36">
        <f t="shared" si="1"/>
        <v>20102</v>
      </c>
      <c r="L18" s="35">
        <f t="shared" si="2"/>
        <v>24122.400000000001</v>
      </c>
    </row>
    <row r="19" spans="1:13" ht="18" customHeight="1" x14ac:dyDescent="0.25">
      <c r="A19" s="96">
        <f>A17+1</f>
        <v>9</v>
      </c>
      <c r="B19" s="87" t="s">
        <v>39</v>
      </c>
      <c r="C19" s="88" t="s">
        <v>35</v>
      </c>
      <c r="D19" s="89">
        <v>19</v>
      </c>
      <c r="E19" s="92">
        <v>1310.05</v>
      </c>
      <c r="F19" s="91">
        <f>ROUND(E19*D19,2)</f>
        <v>24890.95</v>
      </c>
      <c r="G19" s="91">
        <f>ROUND(F19*1.2,2)</f>
        <v>29869.14</v>
      </c>
      <c r="H19" s="107"/>
      <c r="I19" s="90"/>
      <c r="J19" s="90"/>
      <c r="K19" s="95">
        <f t="shared" si="1"/>
        <v>24890.95</v>
      </c>
      <c r="L19" s="90">
        <f t="shared" si="2"/>
        <v>29869.14</v>
      </c>
    </row>
    <row r="20" spans="1:13" ht="20.25" customHeight="1" x14ac:dyDescent="0.25">
      <c r="A20" s="108" t="s">
        <v>21</v>
      </c>
      <c r="B20" s="40" t="s">
        <v>37</v>
      </c>
      <c r="C20" s="39" t="s">
        <v>35</v>
      </c>
      <c r="D20" s="38">
        <f>(19)*1.1</f>
        <v>20.900000000000002</v>
      </c>
      <c r="E20" s="37"/>
      <c r="F20" s="35"/>
      <c r="G20" s="35"/>
      <c r="H20" s="35">
        <v>1191.3</v>
      </c>
      <c r="I20" s="35">
        <f>ROUND(H20*D20,2)</f>
        <v>24898.17</v>
      </c>
      <c r="J20" s="35">
        <f>ROUND(I20*1.2,2)</f>
        <v>29877.8</v>
      </c>
      <c r="K20" s="36">
        <f t="shared" si="1"/>
        <v>24898.17</v>
      </c>
      <c r="L20" s="35">
        <f t="shared" si="2"/>
        <v>29877.8</v>
      </c>
    </row>
    <row r="21" spans="1:13" ht="20.25" customHeight="1" x14ac:dyDescent="0.25">
      <c r="A21" s="88">
        <f>A19+1</f>
        <v>10</v>
      </c>
      <c r="B21" s="87" t="s">
        <v>75</v>
      </c>
      <c r="C21" s="88" t="s">
        <v>35</v>
      </c>
      <c r="D21" s="89">
        <v>24.7</v>
      </c>
      <c r="E21" s="92">
        <v>1350.8999999999999</v>
      </c>
      <c r="F21" s="90">
        <f>ROUND(E21*D21,2)</f>
        <v>33367.230000000003</v>
      </c>
      <c r="G21" s="90">
        <f>ROUND(F21*1.2,2)</f>
        <v>40040.68</v>
      </c>
      <c r="H21" s="92"/>
      <c r="I21" s="90"/>
      <c r="J21" s="90"/>
      <c r="K21" s="95">
        <f t="shared" si="1"/>
        <v>33367.230000000003</v>
      </c>
      <c r="L21" s="90">
        <f t="shared" si="2"/>
        <v>40040.68</v>
      </c>
    </row>
    <row r="22" spans="1:13" ht="20.25" customHeight="1" x14ac:dyDescent="0.25">
      <c r="A22" s="108" t="s">
        <v>18</v>
      </c>
      <c r="B22" s="40" t="s">
        <v>74</v>
      </c>
      <c r="C22" s="39" t="s">
        <v>35</v>
      </c>
      <c r="D22" s="38">
        <f>24.7*1.26</f>
        <v>31.122</v>
      </c>
      <c r="E22" s="37"/>
      <c r="F22" s="75"/>
      <c r="G22" s="75"/>
      <c r="H22" s="37">
        <v>1299.5999999999999</v>
      </c>
      <c r="I22" s="35">
        <f>ROUND(H22*D22,2)</f>
        <v>40446.15</v>
      </c>
      <c r="J22" s="35">
        <f>ROUND(I22*1.2,2)</f>
        <v>48535.38</v>
      </c>
      <c r="K22" s="36">
        <f t="shared" si="1"/>
        <v>40446.15</v>
      </c>
      <c r="L22" s="35">
        <f t="shared" si="2"/>
        <v>48535.38</v>
      </c>
    </row>
    <row r="23" spans="1:13" ht="18.75" customHeight="1" x14ac:dyDescent="0.25">
      <c r="A23" s="96">
        <f>A21+1</f>
        <v>11</v>
      </c>
      <c r="B23" s="87" t="s">
        <v>73</v>
      </c>
      <c r="C23" s="88" t="s">
        <v>35</v>
      </c>
      <c r="D23" s="89">
        <v>12.18</v>
      </c>
      <c r="E23" s="92">
        <v>118.75</v>
      </c>
      <c r="F23" s="91">
        <f>ROUND(E23*D23,2)</f>
        <v>1446.38</v>
      </c>
      <c r="G23" s="91">
        <f>ROUND(F23*1.2,2)</f>
        <v>1735.66</v>
      </c>
      <c r="H23" s="92"/>
      <c r="I23" s="90"/>
      <c r="J23" s="90"/>
      <c r="K23" s="95">
        <f t="shared" si="1"/>
        <v>1446.38</v>
      </c>
      <c r="L23" s="90">
        <f t="shared" si="2"/>
        <v>1735.66</v>
      </c>
    </row>
    <row r="24" spans="1:13" ht="18.75" customHeight="1" x14ac:dyDescent="0.25">
      <c r="A24" s="96">
        <f>A23+1</f>
        <v>12</v>
      </c>
      <c r="B24" s="87" t="s">
        <v>72</v>
      </c>
      <c r="C24" s="88" t="s">
        <v>35</v>
      </c>
      <c r="D24" s="89">
        <v>12.18</v>
      </c>
      <c r="E24" s="92">
        <v>188.1</v>
      </c>
      <c r="F24" s="91">
        <f>ROUND(E24*D24,2)</f>
        <v>2291.06</v>
      </c>
      <c r="G24" s="91">
        <f>ROUND(F24*1.2,2)</f>
        <v>2749.27</v>
      </c>
      <c r="H24" s="95"/>
      <c r="I24" s="91"/>
      <c r="J24" s="91"/>
      <c r="K24" s="95">
        <f t="shared" si="1"/>
        <v>2291.06</v>
      </c>
      <c r="L24" s="90">
        <f t="shared" si="2"/>
        <v>2749.27</v>
      </c>
    </row>
    <row r="25" spans="1:13" ht="18.75" customHeight="1" x14ac:dyDescent="0.25">
      <c r="A25" s="96">
        <f>A24+1</f>
        <v>13</v>
      </c>
      <c r="B25" s="87" t="s">
        <v>34</v>
      </c>
      <c r="C25" s="88" t="s">
        <v>33</v>
      </c>
      <c r="D25" s="89">
        <v>79.53</v>
      </c>
      <c r="E25" s="92">
        <v>308.75</v>
      </c>
      <c r="F25" s="91">
        <f>ROUND(E25*D25,2)</f>
        <v>24554.89</v>
      </c>
      <c r="G25" s="91">
        <f>ROUND(F25*1.2,2)</f>
        <v>29465.87</v>
      </c>
      <c r="H25" s="92"/>
      <c r="I25" s="90"/>
      <c r="J25" s="90"/>
      <c r="K25" s="95">
        <f t="shared" si="1"/>
        <v>24554.89</v>
      </c>
      <c r="L25" s="90">
        <f t="shared" si="2"/>
        <v>29465.87</v>
      </c>
    </row>
    <row r="26" spans="1:13" ht="18.75" customHeight="1" x14ac:dyDescent="0.25">
      <c r="A26" s="32"/>
      <c r="B26" s="56" t="s">
        <v>32</v>
      </c>
      <c r="C26" s="31"/>
      <c r="D26" s="33"/>
      <c r="E26" s="50"/>
      <c r="F26" s="45"/>
      <c r="G26" s="45"/>
      <c r="H26" s="50"/>
      <c r="I26" s="25"/>
      <c r="J26" s="25"/>
      <c r="K26" s="26"/>
      <c r="L26" s="25"/>
    </row>
    <row r="27" spans="1:13" ht="18.75" customHeight="1" x14ac:dyDescent="0.25">
      <c r="A27" s="96">
        <f>A25+1</f>
        <v>14</v>
      </c>
      <c r="B27" s="87" t="s">
        <v>22</v>
      </c>
      <c r="C27" s="88" t="s">
        <v>12</v>
      </c>
      <c r="D27" s="89">
        <v>320.16000000000003</v>
      </c>
      <c r="E27" s="92">
        <v>146.30000000000001</v>
      </c>
      <c r="F27" s="91">
        <f>ROUND(E27*D27,2)</f>
        <v>46839.41</v>
      </c>
      <c r="G27" s="91">
        <f>ROUND(F27*1.2,2)</f>
        <v>56207.29</v>
      </c>
      <c r="H27" s="107"/>
      <c r="I27" s="97"/>
      <c r="J27" s="97"/>
      <c r="K27" s="95">
        <f t="shared" ref="K27:K41" si="3">F27+I27</f>
        <v>46839.41</v>
      </c>
      <c r="L27" s="90">
        <f t="shared" ref="L27:L41" si="4">G27+J27</f>
        <v>56207.29</v>
      </c>
    </row>
    <row r="28" spans="1:13" ht="18.75" customHeight="1" x14ac:dyDescent="0.25">
      <c r="A28" s="108" t="s">
        <v>71</v>
      </c>
      <c r="B28" s="40" t="s">
        <v>20</v>
      </c>
      <c r="C28" s="39" t="s">
        <v>12</v>
      </c>
      <c r="D28" s="38">
        <f>1.02*320.16</f>
        <v>326.56320000000005</v>
      </c>
      <c r="E28" s="37"/>
      <c r="F28" s="35"/>
      <c r="G28" s="35"/>
      <c r="H28" s="75">
        <f>ROUND(137.5*1.15,2)</f>
        <v>158.13</v>
      </c>
      <c r="I28" s="35">
        <f>ROUND(H28*D28,2)</f>
        <v>51639.44</v>
      </c>
      <c r="J28" s="35">
        <f>ROUND(I28*1.2,2)</f>
        <v>61967.33</v>
      </c>
      <c r="K28" s="36">
        <f t="shared" si="3"/>
        <v>51639.44</v>
      </c>
      <c r="L28" s="35">
        <f t="shared" si="4"/>
        <v>61967.33</v>
      </c>
      <c r="M28" s="46" t="s">
        <v>16</v>
      </c>
    </row>
    <row r="29" spans="1:13" ht="18.75" customHeight="1" x14ac:dyDescent="0.25">
      <c r="A29" s="88">
        <f>A27+1</f>
        <v>15</v>
      </c>
      <c r="B29" s="105" t="s">
        <v>70</v>
      </c>
      <c r="C29" s="88" t="s">
        <v>23</v>
      </c>
      <c r="D29" s="106">
        <v>24</v>
      </c>
      <c r="E29" s="92">
        <v>1877.2569999999998</v>
      </c>
      <c r="F29" s="91">
        <f>ROUND(E29*D29,2)</f>
        <v>45054.17</v>
      </c>
      <c r="G29" s="91">
        <f>ROUND(F29*1.2,2)</f>
        <v>54065</v>
      </c>
      <c r="H29" s="107"/>
      <c r="I29" s="97"/>
      <c r="J29" s="97"/>
      <c r="K29" s="95">
        <f t="shared" si="3"/>
        <v>45054.17</v>
      </c>
      <c r="L29" s="90">
        <f t="shared" si="4"/>
        <v>54065</v>
      </c>
      <c r="M29" s="46"/>
    </row>
    <row r="30" spans="1:13" ht="18.75" customHeight="1" x14ac:dyDescent="0.25">
      <c r="A30" s="108" t="s">
        <v>69</v>
      </c>
      <c r="B30" s="40" t="s">
        <v>68</v>
      </c>
      <c r="C30" s="39" t="s">
        <v>23</v>
      </c>
      <c r="D30" s="74">
        <v>24</v>
      </c>
      <c r="E30" s="37"/>
      <c r="F30" s="35"/>
      <c r="G30" s="35"/>
      <c r="H30" s="35">
        <v>7628.5</v>
      </c>
      <c r="I30" s="35">
        <f>ROUND(H30*D30,2)</f>
        <v>183084</v>
      </c>
      <c r="J30" s="35">
        <f>ROUND(I30*1.2,2)</f>
        <v>219700.8</v>
      </c>
      <c r="K30" s="36">
        <f t="shared" si="3"/>
        <v>183084</v>
      </c>
      <c r="L30" s="35">
        <f t="shared" si="4"/>
        <v>219700.8</v>
      </c>
      <c r="M30" s="46"/>
    </row>
    <row r="31" spans="1:13" ht="18.75" customHeight="1" x14ac:dyDescent="0.25">
      <c r="A31" s="82">
        <f>A29+1</f>
        <v>16</v>
      </c>
      <c r="B31" s="81" t="s">
        <v>67</v>
      </c>
      <c r="C31" s="82" t="s">
        <v>23</v>
      </c>
      <c r="D31" s="99">
        <v>16</v>
      </c>
      <c r="E31" s="85">
        <v>1632.8</v>
      </c>
      <c r="F31" s="84">
        <f>ROUND(E31*D31,2)</f>
        <v>26124.799999999999</v>
      </c>
      <c r="G31" s="84">
        <f>ROUND(F31*1.2,2)</f>
        <v>31349.759999999998</v>
      </c>
      <c r="H31" s="100"/>
      <c r="I31" s="101"/>
      <c r="J31" s="101"/>
      <c r="K31" s="102">
        <f t="shared" si="3"/>
        <v>26124.799999999999</v>
      </c>
      <c r="L31" s="103">
        <f t="shared" si="4"/>
        <v>31349.759999999998</v>
      </c>
      <c r="M31" s="49"/>
    </row>
    <row r="32" spans="1:13" ht="18.75" customHeight="1" x14ac:dyDescent="0.25">
      <c r="A32" s="108" t="s">
        <v>66</v>
      </c>
      <c r="B32" s="48" t="s">
        <v>17</v>
      </c>
      <c r="C32" s="39" t="s">
        <v>12</v>
      </c>
      <c r="D32" s="47">
        <v>16</v>
      </c>
      <c r="E32" s="37"/>
      <c r="F32" s="35"/>
      <c r="G32" s="35"/>
      <c r="H32" s="75">
        <f>ROUND(2236.42/1.2*1.15,2)</f>
        <v>2143.2399999999998</v>
      </c>
      <c r="I32" s="35">
        <f>ROUND(H32*D32,2)</f>
        <v>34291.839999999997</v>
      </c>
      <c r="J32" s="35">
        <f>ROUND(I32*1.2,2)</f>
        <v>41150.21</v>
      </c>
      <c r="K32" s="36">
        <f t="shared" si="3"/>
        <v>34291.839999999997</v>
      </c>
      <c r="L32" s="35">
        <f t="shared" si="4"/>
        <v>41150.21</v>
      </c>
      <c r="M32" s="46" t="s">
        <v>16</v>
      </c>
    </row>
    <row r="33" spans="1:13" ht="22.5" customHeight="1" x14ac:dyDescent="0.25">
      <c r="A33" s="108" t="s">
        <v>131</v>
      </c>
      <c r="B33" s="40" t="s">
        <v>65</v>
      </c>
      <c r="C33" s="39" t="s">
        <v>23</v>
      </c>
      <c r="D33" s="47">
        <v>2</v>
      </c>
      <c r="E33" s="37"/>
      <c r="F33" s="35"/>
      <c r="G33" s="35"/>
      <c r="H33" s="75">
        <f>ROUND(2244/1.2*1.15,2)</f>
        <v>2150.5</v>
      </c>
      <c r="I33" s="35">
        <f>ROUND(H33*D33,2)</f>
        <v>4301</v>
      </c>
      <c r="J33" s="35">
        <f>ROUND(I33*1.2,2)</f>
        <v>5161.2</v>
      </c>
      <c r="K33" s="36">
        <f t="shared" si="3"/>
        <v>4301</v>
      </c>
      <c r="L33" s="35">
        <f t="shared" si="4"/>
        <v>5161.2</v>
      </c>
      <c r="M33" s="46" t="s">
        <v>16</v>
      </c>
    </row>
    <row r="34" spans="1:13" ht="33.75" customHeight="1" x14ac:dyDescent="0.25">
      <c r="A34" s="88">
        <f>A31+1</f>
        <v>17</v>
      </c>
      <c r="B34" s="87" t="s">
        <v>64</v>
      </c>
      <c r="C34" s="88" t="s">
        <v>12</v>
      </c>
      <c r="D34" s="89">
        <v>180.57</v>
      </c>
      <c r="E34" s="92">
        <v>167.2</v>
      </c>
      <c r="F34" s="91">
        <f>ROUND(E34*D34,2)</f>
        <v>30191.3</v>
      </c>
      <c r="G34" s="91">
        <f>ROUND(F34*1.2,2)</f>
        <v>36229.56</v>
      </c>
      <c r="H34" s="107"/>
      <c r="I34" s="97"/>
      <c r="J34" s="97"/>
      <c r="K34" s="95">
        <f t="shared" si="3"/>
        <v>30191.3</v>
      </c>
      <c r="L34" s="90">
        <f t="shared" si="4"/>
        <v>36229.56</v>
      </c>
      <c r="M34" s="46"/>
    </row>
    <row r="35" spans="1:13" ht="18.75" customHeight="1" x14ac:dyDescent="0.25">
      <c r="A35" s="108" t="s">
        <v>63</v>
      </c>
      <c r="B35" s="40" t="s">
        <v>62</v>
      </c>
      <c r="C35" s="39" t="s">
        <v>12</v>
      </c>
      <c r="D35" s="38">
        <f>181.03*1.02</f>
        <v>184.6506</v>
      </c>
      <c r="E35" s="37"/>
      <c r="F35" s="35"/>
      <c r="G35" s="35"/>
      <c r="H35" s="75">
        <f>ROUND(816.38*1.15,2)</f>
        <v>938.84</v>
      </c>
      <c r="I35" s="35">
        <f>ROUND(H35*D35,2)</f>
        <v>173357.37</v>
      </c>
      <c r="J35" s="35">
        <f>ROUND(I35*1.2,2)</f>
        <v>208028.84</v>
      </c>
      <c r="K35" s="36">
        <f t="shared" si="3"/>
        <v>173357.37</v>
      </c>
      <c r="L35" s="35">
        <f t="shared" si="4"/>
        <v>208028.84</v>
      </c>
      <c r="M35" s="46" t="s">
        <v>16</v>
      </c>
    </row>
    <row r="36" spans="1:13" ht="30" customHeight="1" x14ac:dyDescent="0.25">
      <c r="A36" s="88">
        <f>A34+1</f>
        <v>18</v>
      </c>
      <c r="B36" s="87" t="s">
        <v>61</v>
      </c>
      <c r="C36" s="88" t="s">
        <v>12</v>
      </c>
      <c r="D36" s="89">
        <v>61.34</v>
      </c>
      <c r="E36" s="92">
        <v>167.2</v>
      </c>
      <c r="F36" s="91">
        <f>ROUND(E36*D36,2)</f>
        <v>10256.049999999999</v>
      </c>
      <c r="G36" s="91">
        <f>ROUND(F36*1.2,2)</f>
        <v>12307.26</v>
      </c>
      <c r="H36" s="107"/>
      <c r="I36" s="97"/>
      <c r="J36" s="97"/>
      <c r="K36" s="95">
        <f t="shared" si="3"/>
        <v>10256.049999999999</v>
      </c>
      <c r="L36" s="90">
        <f t="shared" si="4"/>
        <v>12307.26</v>
      </c>
      <c r="M36" s="46"/>
    </row>
    <row r="37" spans="1:13" ht="21" customHeight="1" x14ac:dyDescent="0.25">
      <c r="A37" s="108" t="s">
        <v>60</v>
      </c>
      <c r="B37" s="40" t="s">
        <v>59</v>
      </c>
      <c r="C37" s="39" t="s">
        <v>12</v>
      </c>
      <c r="D37" s="38">
        <f>61.34*1.02</f>
        <v>62.566800000000008</v>
      </c>
      <c r="E37" s="37"/>
      <c r="F37" s="35"/>
      <c r="G37" s="35"/>
      <c r="H37" s="75">
        <f>ROUND(1080.66*1.15,2)</f>
        <v>1242.76</v>
      </c>
      <c r="I37" s="35">
        <f>ROUND(H37*D37,2)</f>
        <v>77755.520000000004</v>
      </c>
      <c r="J37" s="35">
        <f>ROUND(I37*1.2,2)</f>
        <v>93306.62</v>
      </c>
      <c r="K37" s="36">
        <f t="shared" si="3"/>
        <v>77755.520000000004</v>
      </c>
      <c r="L37" s="35">
        <f t="shared" si="4"/>
        <v>93306.62</v>
      </c>
      <c r="M37" s="46" t="s">
        <v>16</v>
      </c>
    </row>
    <row r="38" spans="1:13" ht="21" customHeight="1" x14ac:dyDescent="0.25">
      <c r="A38" s="88">
        <f>A36+1</f>
        <v>19</v>
      </c>
      <c r="B38" s="105" t="s">
        <v>15</v>
      </c>
      <c r="C38" s="88" t="s">
        <v>12</v>
      </c>
      <c r="D38" s="89">
        <v>44.44</v>
      </c>
      <c r="E38" s="92">
        <v>17.53</v>
      </c>
      <c r="F38" s="91">
        <f>ROUND(E38*D38,2)</f>
        <v>779.03</v>
      </c>
      <c r="G38" s="91">
        <f>ROUND(F38*1.2,2)</f>
        <v>934.84</v>
      </c>
      <c r="H38" s="107"/>
      <c r="I38" s="97"/>
      <c r="J38" s="97"/>
      <c r="K38" s="95">
        <f t="shared" si="3"/>
        <v>779.03</v>
      </c>
      <c r="L38" s="90">
        <f t="shared" si="4"/>
        <v>934.84</v>
      </c>
      <c r="M38" s="46"/>
    </row>
    <row r="39" spans="1:13" ht="21" customHeight="1" x14ac:dyDescent="0.25">
      <c r="A39" s="108" t="s">
        <v>58</v>
      </c>
      <c r="B39" s="40" t="s">
        <v>13</v>
      </c>
      <c r="C39" s="39" t="s">
        <v>12</v>
      </c>
      <c r="D39" s="38">
        <v>44.44</v>
      </c>
      <c r="E39" s="37"/>
      <c r="F39" s="35"/>
      <c r="G39" s="35"/>
      <c r="H39" s="35">
        <v>18.34</v>
      </c>
      <c r="I39" s="35">
        <f>ROUND(H39*D39,2)</f>
        <v>815.03</v>
      </c>
      <c r="J39" s="35">
        <f>ROUND(I39*1.2,2)</f>
        <v>978.04</v>
      </c>
      <c r="K39" s="36">
        <f t="shared" si="3"/>
        <v>815.03</v>
      </c>
      <c r="L39" s="35">
        <f t="shared" si="4"/>
        <v>978.04</v>
      </c>
    </row>
    <row r="40" spans="1:13" ht="21" customHeight="1" x14ac:dyDescent="0.25">
      <c r="A40" s="88">
        <f>A38+1</f>
        <v>20</v>
      </c>
      <c r="B40" s="87" t="s">
        <v>26</v>
      </c>
      <c r="C40" s="88" t="s">
        <v>23</v>
      </c>
      <c r="D40" s="106">
        <v>16</v>
      </c>
      <c r="E40" s="92">
        <v>6715.55</v>
      </c>
      <c r="F40" s="91">
        <f>ROUND(E40*D40,2)</f>
        <v>107448.8</v>
      </c>
      <c r="G40" s="91">
        <f>ROUND(F40*1.2,2)</f>
        <v>128938.56</v>
      </c>
      <c r="H40" s="107"/>
      <c r="I40" s="97"/>
      <c r="J40" s="97"/>
      <c r="K40" s="95">
        <f t="shared" si="3"/>
        <v>107448.8</v>
      </c>
      <c r="L40" s="90">
        <f t="shared" si="4"/>
        <v>128938.56</v>
      </c>
      <c r="M40" s="24"/>
    </row>
    <row r="41" spans="1:13" ht="21" customHeight="1" x14ac:dyDescent="0.25">
      <c r="A41" s="108" t="s">
        <v>57</v>
      </c>
      <c r="B41" s="40" t="s">
        <v>24</v>
      </c>
      <c r="C41" s="39" t="s">
        <v>23</v>
      </c>
      <c r="D41" s="47">
        <v>16</v>
      </c>
      <c r="E41" s="37"/>
      <c r="F41" s="35"/>
      <c r="G41" s="35"/>
      <c r="H41" s="35">
        <v>7106</v>
      </c>
      <c r="I41" s="35">
        <f>ROUND(H41*D41,2)</f>
        <v>113696</v>
      </c>
      <c r="J41" s="35">
        <f>ROUND(I41*1.2,2)</f>
        <v>136435.20000000001</v>
      </c>
      <c r="K41" s="36">
        <f t="shared" si="3"/>
        <v>113696</v>
      </c>
      <c r="L41" s="35">
        <f t="shared" si="4"/>
        <v>136435.20000000001</v>
      </c>
      <c r="M41" s="24"/>
    </row>
    <row r="42" spans="1:13" ht="15.75" x14ac:dyDescent="0.25">
      <c r="A42" s="32"/>
      <c r="B42" s="34" t="s">
        <v>11</v>
      </c>
      <c r="C42" s="31"/>
      <c r="D42" s="33"/>
      <c r="E42" s="29"/>
      <c r="F42" s="27"/>
      <c r="G42" s="27"/>
      <c r="H42" s="28"/>
      <c r="I42" s="27"/>
      <c r="J42" s="27"/>
      <c r="K42" s="26"/>
      <c r="L42" s="25"/>
    </row>
    <row r="43" spans="1:13" ht="21" customHeight="1" x14ac:dyDescent="0.25">
      <c r="A43" s="98">
        <f>A40+1</f>
        <v>21</v>
      </c>
      <c r="B43" s="81" t="s">
        <v>10</v>
      </c>
      <c r="C43" s="82" t="s">
        <v>9</v>
      </c>
      <c r="D43" s="99">
        <v>18</v>
      </c>
      <c r="E43" s="85">
        <v>12000</v>
      </c>
      <c r="F43" s="84">
        <f>ROUND(E43*D43,2)</f>
        <v>216000</v>
      </c>
      <c r="G43" s="84">
        <f>ROUND(F43*1.2,2)</f>
        <v>259200</v>
      </c>
      <c r="H43" s="104"/>
      <c r="I43" s="84"/>
      <c r="J43" s="84"/>
      <c r="K43" s="102">
        <f>F43+I43</f>
        <v>216000</v>
      </c>
      <c r="L43" s="103">
        <f>G43+J43</f>
        <v>259200</v>
      </c>
      <c r="M43" s="24"/>
    </row>
    <row r="44" spans="1:13" s="21" customFormat="1" ht="22.5" customHeight="1" x14ac:dyDescent="0.3">
      <c r="A44" s="117" t="s">
        <v>8</v>
      </c>
      <c r="B44" s="118"/>
      <c r="C44" s="118"/>
      <c r="D44" s="118"/>
      <c r="E44" s="119"/>
      <c r="F44" s="22">
        <f>SUM(F7:F43)</f>
        <v>922806.00000000035</v>
      </c>
      <c r="G44" s="22">
        <f>ROUND(F44*1.2,2)</f>
        <v>1107367.2</v>
      </c>
      <c r="H44" s="23"/>
      <c r="I44" s="22">
        <f>SUM(I7:I43)</f>
        <v>732406.35</v>
      </c>
      <c r="J44" s="22">
        <f>ROUND(I44*1.2,2)</f>
        <v>878887.62</v>
      </c>
      <c r="K44" s="22">
        <f>SUM(K7:K43)</f>
        <v>1655212.3500000006</v>
      </c>
      <c r="L44" s="22">
        <f>ROUND(K44*1.2,2)</f>
        <v>1986254.82</v>
      </c>
    </row>
    <row r="46" spans="1:13" x14ac:dyDescent="0.25">
      <c r="B46" s="110" t="s">
        <v>132</v>
      </c>
    </row>
    <row r="47" spans="1:13" x14ac:dyDescent="0.25">
      <c r="B47" s="111" t="s">
        <v>133</v>
      </c>
    </row>
  </sheetData>
  <mergeCells count="10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2AFC-0787-4D27-8930-5475D6BE255E}">
  <sheetPr>
    <tabColor theme="9" tint="0.79998168889431442"/>
  </sheetPr>
  <dimension ref="A1:M45"/>
  <sheetViews>
    <sheetView view="pageBreakPreview" topLeftCell="A13" zoomScale="90" zoomScaleNormal="100" zoomScaleSheetLayoutView="90" workbookViewId="0">
      <selection activeCell="E16" sqref="E1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0" t="s">
        <v>7</v>
      </c>
      <c r="B1" s="123" t="s">
        <v>56</v>
      </c>
      <c r="C1" s="126" t="s">
        <v>55</v>
      </c>
      <c r="D1" s="126" t="s">
        <v>54</v>
      </c>
      <c r="E1" s="127" t="s">
        <v>53</v>
      </c>
      <c r="F1" s="128"/>
      <c r="G1" s="128"/>
      <c r="H1" s="128"/>
      <c r="I1" s="128"/>
      <c r="J1" s="128"/>
      <c r="K1" s="128"/>
      <c r="L1" s="128"/>
    </row>
    <row r="2" spans="1:13" ht="14.45" customHeight="1" x14ac:dyDescent="0.25">
      <c r="A2" s="121"/>
      <c r="B2" s="124"/>
      <c r="C2" s="126"/>
      <c r="D2" s="126"/>
      <c r="E2" s="129"/>
      <c r="F2" s="130"/>
      <c r="G2" s="130"/>
      <c r="H2" s="130"/>
      <c r="I2" s="130"/>
      <c r="J2" s="130"/>
      <c r="K2" s="130"/>
      <c r="L2" s="130"/>
    </row>
    <row r="3" spans="1:13" ht="27.75" customHeight="1" x14ac:dyDescent="0.25">
      <c r="A3" s="121"/>
      <c r="B3" s="124"/>
      <c r="C3" s="126"/>
      <c r="D3" s="126"/>
      <c r="E3" s="126" t="s">
        <v>52</v>
      </c>
      <c r="F3" s="126"/>
      <c r="G3" s="126"/>
      <c r="H3" s="126" t="s">
        <v>51</v>
      </c>
      <c r="I3" s="126"/>
      <c r="J3" s="126"/>
      <c r="K3" s="112" t="s">
        <v>50</v>
      </c>
      <c r="L3" s="112"/>
    </row>
    <row r="4" spans="1:13" ht="56.1" customHeight="1" x14ac:dyDescent="0.25">
      <c r="A4" s="122"/>
      <c r="B4" s="125"/>
      <c r="C4" s="126"/>
      <c r="D4" s="126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</row>
    <row r="5" spans="1:13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</row>
    <row r="6" spans="1:13" ht="20.25" customHeight="1" x14ac:dyDescent="0.25">
      <c r="A6" s="69"/>
      <c r="B6" s="115" t="s">
        <v>112</v>
      </c>
      <c r="C6" s="116"/>
      <c r="D6" s="116"/>
      <c r="E6" s="68"/>
      <c r="F6" s="67"/>
      <c r="G6" s="66"/>
      <c r="H6" s="66"/>
      <c r="I6" s="66"/>
      <c r="J6" s="66"/>
      <c r="K6" s="66"/>
      <c r="L6" s="66"/>
      <c r="M6" s="65"/>
    </row>
    <row r="7" spans="1:13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</row>
    <row r="8" spans="1:13" ht="20.25" customHeight="1" x14ac:dyDescent="0.25">
      <c r="A8" s="80" t="s">
        <v>84</v>
      </c>
      <c r="B8" s="81" t="s">
        <v>83</v>
      </c>
      <c r="C8" s="82" t="s">
        <v>12</v>
      </c>
      <c r="D8" s="83">
        <v>120.74</v>
      </c>
      <c r="E8" s="103">
        <v>3500</v>
      </c>
      <c r="F8" s="103">
        <f>ROUND(E8*D8,2)</f>
        <v>422590</v>
      </c>
      <c r="G8" s="103">
        <f>ROUND(F8*1.2,2)</f>
        <v>507108</v>
      </c>
      <c r="H8" s="85"/>
      <c r="I8" s="103"/>
      <c r="J8" s="103"/>
      <c r="K8" s="102">
        <f t="shared" ref="K8:L8" si="0">F8+I8</f>
        <v>422590</v>
      </c>
      <c r="L8" s="103">
        <f t="shared" si="0"/>
        <v>507108</v>
      </c>
      <c r="M8" s="131" t="s">
        <v>135</v>
      </c>
    </row>
    <row r="9" spans="1:13" ht="20.25" customHeight="1" x14ac:dyDescent="0.25">
      <c r="A9" s="86">
        <f>A8+1</f>
        <v>2</v>
      </c>
      <c r="B9" s="87" t="s">
        <v>82</v>
      </c>
      <c r="C9" s="88" t="s">
        <v>35</v>
      </c>
      <c r="D9" s="89">
        <v>8.0299999999999994</v>
      </c>
      <c r="E9" s="90">
        <f>ROUND(65055.24/(297.03*0.05),2)</f>
        <v>4380.38</v>
      </c>
      <c r="F9" s="91">
        <f>ROUND(E9*D9,2)</f>
        <v>35174.449999999997</v>
      </c>
      <c r="G9" s="91">
        <f>ROUND(F9*1.2,2)</f>
        <v>42209.34</v>
      </c>
      <c r="H9" s="92"/>
      <c r="I9" s="91"/>
      <c r="J9" s="91"/>
      <c r="K9" s="93">
        <f t="shared" ref="K9:L11" si="1">F9+I9</f>
        <v>35174.449999999997</v>
      </c>
      <c r="L9" s="91">
        <f t="shared" si="1"/>
        <v>42209.34</v>
      </c>
      <c r="M9" s="46"/>
    </row>
    <row r="10" spans="1:13" ht="20.25" customHeight="1" x14ac:dyDescent="0.25">
      <c r="A10" s="86">
        <f>A9+1</f>
        <v>3</v>
      </c>
      <c r="B10" s="87" t="s">
        <v>81</v>
      </c>
      <c r="C10" s="88" t="s">
        <v>35</v>
      </c>
      <c r="D10" s="89">
        <v>12.68</v>
      </c>
      <c r="E10" s="95">
        <v>304</v>
      </c>
      <c r="F10" s="91">
        <f>ROUND(E10*D10,2)</f>
        <v>3854.72</v>
      </c>
      <c r="G10" s="91">
        <f>ROUND(F10*1.2,2)</f>
        <v>4625.66</v>
      </c>
      <c r="H10" s="91"/>
      <c r="I10" s="91"/>
      <c r="J10" s="91"/>
      <c r="K10" s="93">
        <f t="shared" si="1"/>
        <v>3854.72</v>
      </c>
      <c r="L10" s="91">
        <f t="shared" si="1"/>
        <v>4625.66</v>
      </c>
      <c r="M10" s="46"/>
    </row>
    <row r="11" spans="1:13" ht="20.25" customHeight="1" x14ac:dyDescent="0.25">
      <c r="A11" s="86">
        <f>A10+1</f>
        <v>4</v>
      </c>
      <c r="B11" s="87" t="s">
        <v>80</v>
      </c>
      <c r="C11" s="88" t="s">
        <v>33</v>
      </c>
      <c r="D11" s="89">
        <v>32.200000000000003</v>
      </c>
      <c r="E11" s="90">
        <v>431.37</v>
      </c>
      <c r="F11" s="91">
        <f>ROUND(E11*D11,2)</f>
        <v>13890.11</v>
      </c>
      <c r="G11" s="91">
        <f>ROUND(F11*1.2,2)</f>
        <v>16668.13</v>
      </c>
      <c r="H11" s="92"/>
      <c r="I11" s="91"/>
      <c r="J11" s="91"/>
      <c r="K11" s="93">
        <f t="shared" si="1"/>
        <v>13890.11</v>
      </c>
      <c r="L11" s="91">
        <f t="shared" si="1"/>
        <v>16668.13</v>
      </c>
      <c r="M11" s="49" t="s">
        <v>130</v>
      </c>
    </row>
    <row r="12" spans="1:13" ht="18.75" customHeight="1" x14ac:dyDescent="0.25">
      <c r="A12" s="32"/>
      <c r="B12" s="56" t="s">
        <v>43</v>
      </c>
      <c r="C12" s="31"/>
      <c r="D12" s="30"/>
      <c r="E12" s="50"/>
      <c r="F12" s="25"/>
      <c r="G12" s="25"/>
      <c r="H12" s="50"/>
      <c r="I12" s="25"/>
      <c r="J12" s="25"/>
      <c r="K12" s="26"/>
      <c r="L12" s="25"/>
    </row>
    <row r="13" spans="1:13" ht="18.75" customHeight="1" x14ac:dyDescent="0.25">
      <c r="A13" s="94">
        <f>A11+1</f>
        <v>5</v>
      </c>
      <c r="B13" s="87" t="s">
        <v>103</v>
      </c>
      <c r="C13" s="88" t="s">
        <v>35</v>
      </c>
      <c r="D13" s="89">
        <v>64.05</v>
      </c>
      <c r="E13" s="90">
        <v>308.75</v>
      </c>
      <c r="F13" s="91">
        <f>ROUND(E13*D13,2)</f>
        <v>19775.439999999999</v>
      </c>
      <c r="G13" s="91">
        <f>ROUND(F13*1.2,2)</f>
        <v>23730.53</v>
      </c>
      <c r="H13" s="92"/>
      <c r="I13" s="90"/>
      <c r="J13" s="90"/>
      <c r="K13" s="95">
        <f t="shared" ref="K13:K22" si="2">F13+I13</f>
        <v>19775.439999999999</v>
      </c>
      <c r="L13" s="90">
        <f t="shared" ref="L13:L22" si="3">G13+J13</f>
        <v>23730.53</v>
      </c>
    </row>
    <row r="14" spans="1:13" ht="18.75" customHeight="1" x14ac:dyDescent="0.25">
      <c r="A14" s="94">
        <f>A13+1</f>
        <v>6</v>
      </c>
      <c r="B14" s="87" t="s">
        <v>78</v>
      </c>
      <c r="C14" s="88" t="s">
        <v>35</v>
      </c>
      <c r="D14" s="89">
        <v>1.3</v>
      </c>
      <c r="E14" s="90">
        <v>1688.15</v>
      </c>
      <c r="F14" s="91">
        <f>ROUND(E14*D14,2)</f>
        <v>2194.6</v>
      </c>
      <c r="G14" s="91">
        <f>ROUND(F14*1.2,2)</f>
        <v>2633.52</v>
      </c>
      <c r="H14" s="92"/>
      <c r="I14" s="90"/>
      <c r="J14" s="90"/>
      <c r="K14" s="95">
        <f t="shared" si="2"/>
        <v>2194.6</v>
      </c>
      <c r="L14" s="90">
        <f t="shared" si="3"/>
        <v>2633.52</v>
      </c>
    </row>
    <row r="15" spans="1:13" ht="20.25" customHeight="1" x14ac:dyDescent="0.25">
      <c r="A15" s="94">
        <f>A14+1</f>
        <v>7</v>
      </c>
      <c r="B15" s="87" t="s">
        <v>77</v>
      </c>
      <c r="C15" s="88" t="s">
        <v>35</v>
      </c>
      <c r="D15" s="89">
        <v>5.52</v>
      </c>
      <c r="E15" s="90">
        <v>1310.05</v>
      </c>
      <c r="F15" s="91">
        <f>ROUND(E15*D15,2)</f>
        <v>7231.48</v>
      </c>
      <c r="G15" s="91">
        <f>ROUND(F15*1.2,2)</f>
        <v>8677.7800000000007</v>
      </c>
      <c r="H15" s="91"/>
      <c r="I15" s="97"/>
      <c r="J15" s="97"/>
      <c r="K15" s="95">
        <f t="shared" si="2"/>
        <v>7231.48</v>
      </c>
      <c r="L15" s="90">
        <f t="shared" si="3"/>
        <v>8677.7800000000007</v>
      </c>
    </row>
    <row r="16" spans="1:13" ht="20.25" customHeight="1" x14ac:dyDescent="0.25">
      <c r="A16" s="108" t="s">
        <v>28</v>
      </c>
      <c r="B16" s="40" t="s">
        <v>37</v>
      </c>
      <c r="C16" s="39" t="s">
        <v>35</v>
      </c>
      <c r="D16" s="38">
        <f>D15*1.1</f>
        <v>6.0720000000000001</v>
      </c>
      <c r="E16" s="37"/>
      <c r="F16" s="35"/>
      <c r="G16" s="35"/>
      <c r="H16" s="35">
        <v>1191.3</v>
      </c>
      <c r="I16" s="35">
        <f>ROUND(H16*D16,2)</f>
        <v>7233.57</v>
      </c>
      <c r="J16" s="35">
        <f>ROUND(I16*1.2,2)</f>
        <v>8680.2800000000007</v>
      </c>
      <c r="K16" s="36">
        <f t="shared" si="2"/>
        <v>7233.57</v>
      </c>
      <c r="L16" s="35">
        <f t="shared" si="3"/>
        <v>8680.2800000000007</v>
      </c>
    </row>
    <row r="17" spans="1:13" ht="18" customHeight="1" x14ac:dyDescent="0.25">
      <c r="A17" s="94">
        <f>A15+1</f>
        <v>8</v>
      </c>
      <c r="B17" s="87" t="s">
        <v>124</v>
      </c>
      <c r="C17" s="88" t="s">
        <v>35</v>
      </c>
      <c r="D17" s="89">
        <v>17.61</v>
      </c>
      <c r="E17" s="95">
        <v>1310.05</v>
      </c>
      <c r="F17" s="91">
        <f>ROUND(E17*D17,2)</f>
        <v>23069.98</v>
      </c>
      <c r="G17" s="91">
        <f>ROUND(F17*1.2,2)</f>
        <v>27683.98</v>
      </c>
      <c r="H17" s="91"/>
      <c r="I17" s="90"/>
      <c r="J17" s="90"/>
      <c r="K17" s="95">
        <f t="shared" si="2"/>
        <v>23069.98</v>
      </c>
      <c r="L17" s="90">
        <f t="shared" si="3"/>
        <v>27683.98</v>
      </c>
    </row>
    <row r="18" spans="1:13" ht="20.25" customHeight="1" x14ac:dyDescent="0.25">
      <c r="A18" s="108" t="s">
        <v>25</v>
      </c>
      <c r="B18" s="40" t="s">
        <v>37</v>
      </c>
      <c r="C18" s="39" t="s">
        <v>35</v>
      </c>
      <c r="D18" s="38">
        <f>D17*1.1</f>
        <v>19.371000000000002</v>
      </c>
      <c r="E18" s="78"/>
      <c r="F18" s="35"/>
      <c r="G18" s="35"/>
      <c r="H18" s="35">
        <v>1191.3</v>
      </c>
      <c r="I18" s="35">
        <f>ROUND(H18*D18,2)</f>
        <v>23076.67</v>
      </c>
      <c r="J18" s="35">
        <f>ROUND(I18*1.2,2)</f>
        <v>27692</v>
      </c>
      <c r="K18" s="36">
        <f t="shared" si="2"/>
        <v>23076.67</v>
      </c>
      <c r="L18" s="35">
        <f t="shared" si="3"/>
        <v>27692</v>
      </c>
    </row>
    <row r="19" spans="1:13" ht="18.75" customHeight="1" x14ac:dyDescent="0.25">
      <c r="A19" s="94">
        <f>A17+1</f>
        <v>9</v>
      </c>
      <c r="B19" s="87" t="s">
        <v>111</v>
      </c>
      <c r="C19" s="88" t="s">
        <v>35</v>
      </c>
      <c r="D19" s="89">
        <v>60.69</v>
      </c>
      <c r="E19" s="95">
        <v>1310.05</v>
      </c>
      <c r="F19" s="91">
        <f>ROUND(E19*D19,2)</f>
        <v>79506.929999999993</v>
      </c>
      <c r="G19" s="91">
        <f>ROUND(F19*1.2,2)</f>
        <v>95408.320000000007</v>
      </c>
      <c r="H19" s="91"/>
      <c r="I19" s="90"/>
      <c r="J19" s="90"/>
      <c r="K19" s="95">
        <f t="shared" si="2"/>
        <v>79506.929999999993</v>
      </c>
      <c r="L19" s="90">
        <f t="shared" si="3"/>
        <v>95408.320000000007</v>
      </c>
    </row>
    <row r="20" spans="1:13" ht="20.25" customHeight="1" x14ac:dyDescent="0.25">
      <c r="A20" s="108" t="s">
        <v>21</v>
      </c>
      <c r="B20" s="40" t="s">
        <v>37</v>
      </c>
      <c r="C20" s="39" t="s">
        <v>35</v>
      </c>
      <c r="D20" s="38">
        <f>D19*1.1</f>
        <v>66.759</v>
      </c>
      <c r="E20" s="78"/>
      <c r="F20" s="35"/>
      <c r="G20" s="35"/>
      <c r="H20" s="35">
        <v>1191.3</v>
      </c>
      <c r="I20" s="35">
        <f>ROUND(H20*D20,2)</f>
        <v>79530</v>
      </c>
      <c r="J20" s="35">
        <f>ROUND(I20*1.2,2)</f>
        <v>95436</v>
      </c>
      <c r="K20" s="36">
        <f t="shared" si="2"/>
        <v>79530</v>
      </c>
      <c r="L20" s="35">
        <f t="shared" si="3"/>
        <v>95436</v>
      </c>
    </row>
    <row r="21" spans="1:13" ht="18.75" customHeight="1" x14ac:dyDescent="0.25">
      <c r="A21" s="96">
        <f>A19+1</f>
        <v>10</v>
      </c>
      <c r="B21" s="87" t="s">
        <v>72</v>
      </c>
      <c r="C21" s="88" t="s">
        <v>35</v>
      </c>
      <c r="D21" s="89">
        <v>60.69</v>
      </c>
      <c r="E21" s="95">
        <v>188.1</v>
      </c>
      <c r="F21" s="91">
        <f>ROUND(E21*D21,2)</f>
        <v>11415.79</v>
      </c>
      <c r="G21" s="91">
        <f>ROUND(F21*1.2,2)</f>
        <v>13698.95</v>
      </c>
      <c r="H21" s="95"/>
      <c r="I21" s="91"/>
      <c r="J21" s="91"/>
      <c r="K21" s="95">
        <f t="shared" si="2"/>
        <v>11415.79</v>
      </c>
      <c r="L21" s="90">
        <f t="shared" si="3"/>
        <v>13698.95</v>
      </c>
    </row>
    <row r="22" spans="1:13" ht="18.75" customHeight="1" x14ac:dyDescent="0.25">
      <c r="A22" s="96">
        <f>A21+1</f>
        <v>11</v>
      </c>
      <c r="B22" s="87" t="s">
        <v>34</v>
      </c>
      <c r="C22" s="88" t="s">
        <v>33</v>
      </c>
      <c r="D22" s="89">
        <v>124.17</v>
      </c>
      <c r="E22" s="95">
        <v>308.75</v>
      </c>
      <c r="F22" s="91">
        <f>ROUND(E22*D22,2)</f>
        <v>38337.49</v>
      </c>
      <c r="G22" s="91">
        <f>ROUND(F22*1.2,2)</f>
        <v>46004.99</v>
      </c>
      <c r="H22" s="92"/>
      <c r="I22" s="90"/>
      <c r="J22" s="90"/>
      <c r="K22" s="95">
        <f t="shared" si="2"/>
        <v>38337.49</v>
      </c>
      <c r="L22" s="90">
        <f t="shared" si="3"/>
        <v>46004.99</v>
      </c>
    </row>
    <row r="23" spans="1:13" ht="22.5" customHeight="1" x14ac:dyDescent="0.25">
      <c r="A23" s="32"/>
      <c r="B23" s="56" t="s">
        <v>32</v>
      </c>
      <c r="C23" s="31"/>
      <c r="D23" s="33"/>
      <c r="E23" s="26"/>
      <c r="F23" s="45"/>
      <c r="G23" s="45"/>
      <c r="H23" s="50"/>
      <c r="I23" s="25"/>
      <c r="J23" s="25"/>
      <c r="K23" s="26"/>
      <c r="L23" s="25"/>
    </row>
    <row r="24" spans="1:13" ht="25.5" customHeight="1" x14ac:dyDescent="0.25">
      <c r="A24" s="96">
        <f>A22+1</f>
        <v>12</v>
      </c>
      <c r="B24" s="87" t="s">
        <v>110</v>
      </c>
      <c r="C24" s="88" t="s">
        <v>12</v>
      </c>
      <c r="D24" s="89">
        <v>185.31</v>
      </c>
      <c r="E24" s="95">
        <v>146.30000000000001</v>
      </c>
      <c r="F24" s="91">
        <f>ROUND(E24*D24,2)</f>
        <v>27110.85</v>
      </c>
      <c r="G24" s="91">
        <f>ROUND(F24*1.2,2)</f>
        <v>32533.02</v>
      </c>
      <c r="H24" s="107"/>
      <c r="I24" s="97"/>
      <c r="J24" s="97"/>
      <c r="K24" s="95">
        <f t="shared" ref="K24:K33" si="4">F24+I24</f>
        <v>27110.85</v>
      </c>
      <c r="L24" s="90">
        <f t="shared" ref="L24:L33" si="5">G24+J24</f>
        <v>32533.02</v>
      </c>
    </row>
    <row r="25" spans="1:13" ht="18.75" customHeight="1" x14ac:dyDescent="0.25">
      <c r="A25" s="108" t="s">
        <v>100</v>
      </c>
      <c r="B25" s="40" t="s">
        <v>109</v>
      </c>
      <c r="C25" s="39" t="s">
        <v>12</v>
      </c>
      <c r="D25" s="38">
        <f>1.02*D24</f>
        <v>189.0162</v>
      </c>
      <c r="E25" s="78"/>
      <c r="F25" s="35">
        <f>ROUND(E25*D25,2)</f>
        <v>0</v>
      </c>
      <c r="G25" s="35">
        <f>ROUND(F25*1.2,2)</f>
        <v>0</v>
      </c>
      <c r="H25" s="35">
        <f>ROUND(137.5*1.15,2)</f>
        <v>158.13</v>
      </c>
      <c r="I25" s="35">
        <f>ROUND(H25*D25,2)</f>
        <v>29889.13</v>
      </c>
      <c r="J25" s="35">
        <f>ROUND(I25*1.2,2)</f>
        <v>35866.959999999999</v>
      </c>
      <c r="K25" s="36">
        <f t="shared" si="4"/>
        <v>29889.13</v>
      </c>
      <c r="L25" s="35">
        <f t="shared" si="5"/>
        <v>35866.959999999999</v>
      </c>
      <c r="M25" s="46" t="s">
        <v>16</v>
      </c>
    </row>
    <row r="26" spans="1:13" ht="18.75" customHeight="1" x14ac:dyDescent="0.25">
      <c r="A26" s="88">
        <f>A24+1</f>
        <v>13</v>
      </c>
      <c r="B26" s="87" t="s">
        <v>108</v>
      </c>
      <c r="C26" s="88" t="s">
        <v>12</v>
      </c>
      <c r="D26" s="89">
        <v>24.36</v>
      </c>
      <c r="E26" s="95">
        <v>146.30000000000001</v>
      </c>
      <c r="F26" s="91">
        <f>ROUND(E26*D26,2)</f>
        <v>3563.87</v>
      </c>
      <c r="G26" s="91">
        <f>ROUND(F26*1.2,2)</f>
        <v>4276.6400000000003</v>
      </c>
      <c r="H26" s="107"/>
      <c r="I26" s="97"/>
      <c r="J26" s="97"/>
      <c r="K26" s="95">
        <f t="shared" si="4"/>
        <v>3563.87</v>
      </c>
      <c r="L26" s="90">
        <f t="shared" si="5"/>
        <v>4276.6400000000003</v>
      </c>
      <c r="M26" s="46"/>
    </row>
    <row r="27" spans="1:13" ht="18.75" customHeight="1" x14ac:dyDescent="0.25">
      <c r="A27" s="108" t="s">
        <v>98</v>
      </c>
      <c r="B27" s="40" t="s">
        <v>107</v>
      </c>
      <c r="C27" s="39" t="s">
        <v>12</v>
      </c>
      <c r="D27" s="38">
        <f>1.02*D26</f>
        <v>24.847200000000001</v>
      </c>
      <c r="E27" s="78"/>
      <c r="F27" s="35">
        <f>ROUND(E27*D27,2)</f>
        <v>0</v>
      </c>
      <c r="G27" s="35">
        <f>ROUND(F27*1.2,2)</f>
        <v>0</v>
      </c>
      <c r="H27" s="35">
        <f>ROUND(220.83/1.2*1.15,2)</f>
        <v>211.63</v>
      </c>
      <c r="I27" s="35">
        <f>ROUND(H27*D27,2)</f>
        <v>5258.41</v>
      </c>
      <c r="J27" s="35">
        <f>ROUND(I27*1.2,2)</f>
        <v>6310.09</v>
      </c>
      <c r="K27" s="36">
        <f t="shared" si="4"/>
        <v>5258.41</v>
      </c>
      <c r="L27" s="35">
        <f t="shared" si="5"/>
        <v>6310.09</v>
      </c>
      <c r="M27" s="46" t="s">
        <v>16</v>
      </c>
    </row>
    <row r="28" spans="1:13" ht="23.25" customHeight="1" x14ac:dyDescent="0.25">
      <c r="A28" s="88">
        <f>A26+1</f>
        <v>14</v>
      </c>
      <c r="B28" s="87" t="s">
        <v>106</v>
      </c>
      <c r="C28" s="88" t="s">
        <v>12</v>
      </c>
      <c r="D28" s="89">
        <v>209.67</v>
      </c>
      <c r="E28" s="95">
        <v>167.2</v>
      </c>
      <c r="F28" s="91">
        <f>ROUND(E28*D28,2)</f>
        <v>35056.82</v>
      </c>
      <c r="G28" s="91">
        <f>ROUND(F28*1.2,2)</f>
        <v>42068.18</v>
      </c>
      <c r="H28" s="107"/>
      <c r="I28" s="97"/>
      <c r="J28" s="97"/>
      <c r="K28" s="95">
        <f t="shared" si="4"/>
        <v>35056.82</v>
      </c>
      <c r="L28" s="90">
        <f t="shared" si="5"/>
        <v>42068.18</v>
      </c>
      <c r="M28" s="46"/>
    </row>
    <row r="29" spans="1:13" ht="21" customHeight="1" x14ac:dyDescent="0.25">
      <c r="A29" s="108" t="s">
        <v>71</v>
      </c>
      <c r="B29" s="40" t="s">
        <v>104</v>
      </c>
      <c r="C29" s="39" t="s">
        <v>12</v>
      </c>
      <c r="D29" s="38">
        <f>D28*1.02</f>
        <v>213.86339999999998</v>
      </c>
      <c r="E29" s="78"/>
      <c r="F29" s="35"/>
      <c r="G29" s="35"/>
      <c r="H29" s="35">
        <f>ROUND(1095.83*1.15,2)</f>
        <v>1260.2</v>
      </c>
      <c r="I29" s="35">
        <f>ROUND(H29*D29,2)</f>
        <v>269510.65999999997</v>
      </c>
      <c r="J29" s="35">
        <f>ROUND(I29*1.2,2)</f>
        <v>323412.78999999998</v>
      </c>
      <c r="K29" s="36">
        <f t="shared" si="4"/>
        <v>269510.65999999997</v>
      </c>
      <c r="L29" s="35">
        <f t="shared" si="5"/>
        <v>323412.78999999998</v>
      </c>
      <c r="M29" s="46" t="s">
        <v>16</v>
      </c>
    </row>
    <row r="30" spans="1:13" ht="24.75" customHeight="1" x14ac:dyDescent="0.25">
      <c r="A30" s="88">
        <f>A28+1</f>
        <v>15</v>
      </c>
      <c r="B30" s="87" t="s">
        <v>105</v>
      </c>
      <c r="C30" s="88" t="s">
        <v>12</v>
      </c>
      <c r="D30" s="89">
        <v>26.79</v>
      </c>
      <c r="E30" s="95">
        <v>79.8</v>
      </c>
      <c r="F30" s="91">
        <f>ROUND(E30*D30,2)</f>
        <v>2137.84</v>
      </c>
      <c r="G30" s="91">
        <f>ROUND(F30*1.2,2)</f>
        <v>2565.41</v>
      </c>
      <c r="H30" s="107"/>
      <c r="I30" s="97"/>
      <c r="J30" s="97"/>
      <c r="K30" s="95">
        <f t="shared" si="4"/>
        <v>2137.84</v>
      </c>
      <c r="L30" s="90">
        <f t="shared" si="5"/>
        <v>2565.41</v>
      </c>
      <c r="M30" s="46"/>
    </row>
    <row r="31" spans="1:13" ht="21" customHeight="1" x14ac:dyDescent="0.25">
      <c r="A31" s="108" t="s">
        <v>69</v>
      </c>
      <c r="B31" s="40" t="s">
        <v>104</v>
      </c>
      <c r="C31" s="39" t="s">
        <v>12</v>
      </c>
      <c r="D31" s="38">
        <f>D30*1.02</f>
        <v>27.325800000000001</v>
      </c>
      <c r="E31" s="78"/>
      <c r="F31" s="35"/>
      <c r="G31" s="35"/>
      <c r="H31" s="35">
        <f>ROUND(1095.83*1.15,2)</f>
        <v>1260.2</v>
      </c>
      <c r="I31" s="35">
        <f>ROUND(H31*D31,2)</f>
        <v>34435.97</v>
      </c>
      <c r="J31" s="35">
        <f>ROUND(I31*1.2,2)</f>
        <v>41323.160000000003</v>
      </c>
      <c r="K31" s="36">
        <f t="shared" si="4"/>
        <v>34435.97</v>
      </c>
      <c r="L31" s="35">
        <f t="shared" si="5"/>
        <v>41323.160000000003</v>
      </c>
      <c r="M31" s="46" t="s">
        <v>16</v>
      </c>
    </row>
    <row r="32" spans="1:13" ht="21" customHeight="1" x14ac:dyDescent="0.25">
      <c r="A32" s="88">
        <f>A30+1</f>
        <v>16</v>
      </c>
      <c r="B32" s="87" t="s">
        <v>26</v>
      </c>
      <c r="C32" s="88" t="s">
        <v>23</v>
      </c>
      <c r="D32" s="106">
        <v>6</v>
      </c>
      <c r="E32" s="95">
        <v>6715.55</v>
      </c>
      <c r="F32" s="91">
        <f>ROUND(E32*D32,2)</f>
        <v>40293.300000000003</v>
      </c>
      <c r="G32" s="91">
        <f>ROUND(F32*1.2,2)</f>
        <v>48351.96</v>
      </c>
      <c r="H32" s="107"/>
      <c r="I32" s="97"/>
      <c r="J32" s="97"/>
      <c r="K32" s="95">
        <f t="shared" si="4"/>
        <v>40293.300000000003</v>
      </c>
      <c r="L32" s="90">
        <f t="shared" si="5"/>
        <v>48351.96</v>
      </c>
      <c r="M32" s="49"/>
    </row>
    <row r="33" spans="1:13" ht="21" customHeight="1" x14ac:dyDescent="0.25">
      <c r="A33" s="108" t="s">
        <v>66</v>
      </c>
      <c r="B33" s="40" t="s">
        <v>24</v>
      </c>
      <c r="C33" s="39" t="s">
        <v>23</v>
      </c>
      <c r="D33" s="47">
        <v>6</v>
      </c>
      <c r="E33" s="78"/>
      <c r="F33" s="35"/>
      <c r="G33" s="35"/>
      <c r="H33" s="35">
        <v>7106</v>
      </c>
      <c r="I33" s="35">
        <f>ROUND(H33*D33,2)</f>
        <v>42636</v>
      </c>
      <c r="J33" s="35">
        <f>ROUND(I33*1.2,2)</f>
        <v>51163.199999999997</v>
      </c>
      <c r="K33" s="36">
        <f t="shared" si="4"/>
        <v>42636</v>
      </c>
      <c r="L33" s="35">
        <f t="shared" si="5"/>
        <v>51163.199999999997</v>
      </c>
      <c r="M33" s="24"/>
    </row>
    <row r="34" spans="1:13" ht="21" customHeight="1" x14ac:dyDescent="0.25">
      <c r="A34" s="82">
        <f>A32+1</f>
        <v>17</v>
      </c>
      <c r="B34" s="81" t="s">
        <v>125</v>
      </c>
      <c r="C34" s="82" t="s">
        <v>23</v>
      </c>
      <c r="D34" s="99">
        <v>6</v>
      </c>
      <c r="E34" s="102">
        <v>2022.32</v>
      </c>
      <c r="F34" s="103">
        <f>ROUND(E34*D34,2)</f>
        <v>12133.92</v>
      </c>
      <c r="G34" s="103">
        <f>ROUND(F34*1.2,2)</f>
        <v>14560.7</v>
      </c>
      <c r="H34" s="132"/>
      <c r="I34" s="103"/>
      <c r="J34" s="103"/>
      <c r="K34" s="102">
        <f t="shared" ref="K34:K35" si="6">F34+I34</f>
        <v>12133.92</v>
      </c>
      <c r="L34" s="103">
        <f t="shared" ref="L34:L35" si="7">G34+J34</f>
        <v>14560.7</v>
      </c>
      <c r="M34" s="49" t="s">
        <v>129</v>
      </c>
    </row>
    <row r="35" spans="1:13" ht="21" customHeight="1" x14ac:dyDescent="0.25">
      <c r="A35" s="108" t="s">
        <v>63</v>
      </c>
      <c r="B35" s="40" t="s">
        <v>126</v>
      </c>
      <c r="C35" s="39" t="s">
        <v>23</v>
      </c>
      <c r="D35" s="47">
        <v>6</v>
      </c>
      <c r="E35" s="78"/>
      <c r="F35" s="75"/>
      <c r="G35" s="75"/>
      <c r="H35" s="75">
        <v>325.7</v>
      </c>
      <c r="I35" s="75">
        <f>ROUND(H35*D35,2)</f>
        <v>1954.2</v>
      </c>
      <c r="J35" s="75">
        <f>ROUND(I35*1.2,2)</f>
        <v>2345.04</v>
      </c>
      <c r="K35" s="78">
        <f t="shared" si="6"/>
        <v>1954.2</v>
      </c>
      <c r="L35" s="75">
        <f t="shared" si="7"/>
        <v>2345.04</v>
      </c>
      <c r="M35" s="49" t="s">
        <v>129</v>
      </c>
    </row>
    <row r="36" spans="1:13" ht="21" customHeight="1" x14ac:dyDescent="0.25">
      <c r="A36" s="82">
        <f>A34+1</f>
        <v>18</v>
      </c>
      <c r="B36" s="81" t="s">
        <v>127</v>
      </c>
      <c r="C36" s="82" t="s">
        <v>23</v>
      </c>
      <c r="D36" s="99">
        <v>3</v>
      </c>
      <c r="E36" s="102">
        <v>2022.32</v>
      </c>
      <c r="F36" s="103">
        <f>ROUND(E36*D36,2)</f>
        <v>6066.96</v>
      </c>
      <c r="G36" s="103">
        <f>ROUND(F36*1.2,2)</f>
        <v>7280.35</v>
      </c>
      <c r="H36" s="132"/>
      <c r="I36" s="103"/>
      <c r="J36" s="103"/>
      <c r="K36" s="102">
        <f t="shared" ref="K36:K37" si="8">F36+I36</f>
        <v>6066.96</v>
      </c>
      <c r="L36" s="103">
        <f t="shared" ref="L36:L37" si="9">G36+J36</f>
        <v>7280.35</v>
      </c>
      <c r="M36" s="49" t="s">
        <v>129</v>
      </c>
    </row>
    <row r="37" spans="1:13" ht="21" customHeight="1" x14ac:dyDescent="0.25">
      <c r="A37" s="108" t="s">
        <v>60</v>
      </c>
      <c r="B37" s="40" t="s">
        <v>128</v>
      </c>
      <c r="C37" s="39" t="s">
        <v>23</v>
      </c>
      <c r="D37" s="47">
        <v>3</v>
      </c>
      <c r="E37" s="78"/>
      <c r="F37" s="75"/>
      <c r="G37" s="75"/>
      <c r="H37" s="75">
        <v>325.7</v>
      </c>
      <c r="I37" s="75">
        <f>ROUND(H37*D37,2)</f>
        <v>977.1</v>
      </c>
      <c r="J37" s="75">
        <f>ROUND(I37*1.2,2)</f>
        <v>1172.52</v>
      </c>
      <c r="K37" s="78">
        <f t="shared" si="8"/>
        <v>977.1</v>
      </c>
      <c r="L37" s="75">
        <f t="shared" si="9"/>
        <v>1172.52</v>
      </c>
      <c r="M37" s="49" t="s">
        <v>129</v>
      </c>
    </row>
    <row r="38" spans="1:13" ht="21" customHeight="1" x14ac:dyDescent="0.25">
      <c r="A38" s="88">
        <f>A36+1</f>
        <v>19</v>
      </c>
      <c r="B38" s="105" t="s">
        <v>15</v>
      </c>
      <c r="C38" s="88" t="s">
        <v>12</v>
      </c>
      <c r="D38" s="89">
        <v>17.86</v>
      </c>
      <c r="E38" s="95">
        <v>17.53</v>
      </c>
      <c r="F38" s="91">
        <f>ROUND(E38*D38,2)</f>
        <v>313.08999999999997</v>
      </c>
      <c r="G38" s="91">
        <f>ROUND(F38*1.2,2)</f>
        <v>375.71</v>
      </c>
      <c r="H38" s="107"/>
      <c r="I38" s="97"/>
      <c r="J38" s="97"/>
      <c r="K38" s="95">
        <f t="shared" ref="K38:L39" si="10">F38+I38</f>
        <v>313.08999999999997</v>
      </c>
      <c r="L38" s="90">
        <f t="shared" si="10"/>
        <v>375.71</v>
      </c>
    </row>
    <row r="39" spans="1:13" ht="21" customHeight="1" x14ac:dyDescent="0.25">
      <c r="A39" s="108" t="s">
        <v>58</v>
      </c>
      <c r="B39" s="40" t="s">
        <v>13</v>
      </c>
      <c r="C39" s="39" t="s">
        <v>12</v>
      </c>
      <c r="D39" s="38">
        <v>17.86</v>
      </c>
      <c r="E39" s="78"/>
      <c r="F39" s="35"/>
      <c r="G39" s="35"/>
      <c r="H39" s="35">
        <v>18.34</v>
      </c>
      <c r="I39" s="35">
        <f>ROUND(H39*D39,2)</f>
        <v>327.55</v>
      </c>
      <c r="J39" s="35">
        <f>ROUND(I39*1.2,2)</f>
        <v>393.06</v>
      </c>
      <c r="K39" s="36">
        <f t="shared" si="10"/>
        <v>327.55</v>
      </c>
      <c r="L39" s="35">
        <f t="shared" si="10"/>
        <v>393.06</v>
      </c>
    </row>
    <row r="40" spans="1:13" x14ac:dyDescent="0.25">
      <c r="A40" s="32"/>
      <c r="B40" s="34" t="s">
        <v>11</v>
      </c>
      <c r="C40" s="31"/>
      <c r="D40" s="33"/>
      <c r="E40" s="79"/>
      <c r="F40" s="27"/>
      <c r="G40" s="27"/>
      <c r="H40" s="28"/>
      <c r="I40" s="27"/>
      <c r="J40" s="27"/>
      <c r="K40" s="26"/>
      <c r="L40" s="25"/>
    </row>
    <row r="41" spans="1:13" ht="25.5" customHeight="1" x14ac:dyDescent="0.25">
      <c r="A41" s="98">
        <f>A38+1</f>
        <v>20</v>
      </c>
      <c r="B41" s="81" t="s">
        <v>10</v>
      </c>
      <c r="C41" s="82" t="s">
        <v>9</v>
      </c>
      <c r="D41" s="99">
        <v>9</v>
      </c>
      <c r="E41" s="102">
        <v>12000</v>
      </c>
      <c r="F41" s="84">
        <f>ROUND(E41*D41,2)</f>
        <v>108000</v>
      </c>
      <c r="G41" s="84">
        <f>ROUND(F41*1.2,2)</f>
        <v>129600</v>
      </c>
      <c r="H41" s="104"/>
      <c r="I41" s="84"/>
      <c r="J41" s="84"/>
      <c r="K41" s="102">
        <f>F41+I41</f>
        <v>108000</v>
      </c>
      <c r="L41" s="103">
        <f>G41+J41</f>
        <v>129600</v>
      </c>
      <c r="M41" s="24"/>
    </row>
    <row r="42" spans="1:13" s="21" customFormat="1" ht="22.5" customHeight="1" x14ac:dyDescent="0.3">
      <c r="A42" s="117" t="s">
        <v>8</v>
      </c>
      <c r="B42" s="118"/>
      <c r="C42" s="118"/>
      <c r="D42" s="118"/>
      <c r="E42" s="119"/>
      <c r="F42" s="22">
        <f>SUM(F7:F41)</f>
        <v>891717.6399999999</v>
      </c>
      <c r="G42" s="22">
        <f>ROUND(F42*1.2,2)</f>
        <v>1070061.17</v>
      </c>
      <c r="H42" s="23"/>
      <c r="I42" s="22">
        <f>SUM(I7:I41)</f>
        <v>494829.25999999989</v>
      </c>
      <c r="J42" s="22">
        <f>ROUND(I42*1.2,2)</f>
        <v>593795.11</v>
      </c>
      <c r="K42" s="22">
        <f>SUM(K7:K41)</f>
        <v>1386546.9000000001</v>
      </c>
      <c r="L42" s="22">
        <f>ROUND(K42*1.2,2)</f>
        <v>1663856.28</v>
      </c>
    </row>
    <row r="44" spans="1:13" x14ac:dyDescent="0.25">
      <c r="B44" s="110" t="s">
        <v>132</v>
      </c>
    </row>
    <row r="45" spans="1:13" x14ac:dyDescent="0.25">
      <c r="B45" s="111" t="s">
        <v>133</v>
      </c>
    </row>
  </sheetData>
  <mergeCells count="10">
    <mergeCell ref="B6:D6"/>
    <mergeCell ref="A42:E4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F7A-1B45-4D90-A8DE-DC9ADE1BDABF}">
  <sheetPr>
    <tabColor theme="9" tint="0.79998168889431442"/>
  </sheetPr>
  <dimension ref="A1:M28"/>
  <sheetViews>
    <sheetView view="pageBreakPreview" zoomScale="90" zoomScaleNormal="100" zoomScaleSheetLayoutView="90" workbookViewId="0">
      <selection activeCell="H24" sqref="H2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0" t="s">
        <v>7</v>
      </c>
      <c r="B1" s="123" t="s">
        <v>56</v>
      </c>
      <c r="C1" s="126" t="s">
        <v>55</v>
      </c>
      <c r="D1" s="126" t="s">
        <v>54</v>
      </c>
      <c r="E1" s="127" t="s">
        <v>53</v>
      </c>
      <c r="F1" s="128"/>
      <c r="G1" s="128"/>
      <c r="H1" s="128"/>
      <c r="I1" s="128"/>
      <c r="J1" s="128"/>
      <c r="K1" s="128"/>
      <c r="L1" s="128"/>
    </row>
    <row r="2" spans="1:13" ht="14.45" customHeight="1" x14ac:dyDescent="0.25">
      <c r="A2" s="121"/>
      <c r="B2" s="124"/>
      <c r="C2" s="126"/>
      <c r="D2" s="126"/>
      <c r="E2" s="129"/>
      <c r="F2" s="130"/>
      <c r="G2" s="130"/>
      <c r="H2" s="130"/>
      <c r="I2" s="130"/>
      <c r="J2" s="130"/>
      <c r="K2" s="130"/>
      <c r="L2" s="130"/>
    </row>
    <row r="3" spans="1:13" ht="27.75" customHeight="1" x14ac:dyDescent="0.25">
      <c r="A3" s="121"/>
      <c r="B3" s="124"/>
      <c r="C3" s="126"/>
      <c r="D3" s="126"/>
      <c r="E3" s="126" t="s">
        <v>52</v>
      </c>
      <c r="F3" s="126"/>
      <c r="G3" s="126"/>
      <c r="H3" s="126" t="s">
        <v>51</v>
      </c>
      <c r="I3" s="126"/>
      <c r="J3" s="126"/>
      <c r="K3" s="112" t="s">
        <v>50</v>
      </c>
      <c r="L3" s="112"/>
    </row>
    <row r="4" spans="1:13" ht="56.1" customHeight="1" x14ac:dyDescent="0.25">
      <c r="A4" s="122"/>
      <c r="B4" s="125"/>
      <c r="C4" s="126"/>
      <c r="D4" s="126"/>
      <c r="E4" s="72" t="s">
        <v>49</v>
      </c>
      <c r="F4" s="72" t="s">
        <v>48</v>
      </c>
      <c r="G4" s="73" t="s">
        <v>47</v>
      </c>
      <c r="H4" s="72" t="s">
        <v>49</v>
      </c>
      <c r="I4" s="72" t="s">
        <v>48</v>
      </c>
      <c r="J4" s="73" t="s">
        <v>47</v>
      </c>
      <c r="K4" s="72" t="s">
        <v>46</v>
      </c>
      <c r="L4" s="72" t="s">
        <v>4</v>
      </c>
    </row>
    <row r="5" spans="1:13" x14ac:dyDescent="0.25">
      <c r="A5" s="71">
        <v>1</v>
      </c>
      <c r="B5" s="70">
        <v>2</v>
      </c>
      <c r="C5" s="70">
        <v>3</v>
      </c>
      <c r="D5" s="70">
        <v>4</v>
      </c>
      <c r="E5" s="70">
        <v>5</v>
      </c>
      <c r="F5" s="70">
        <v>6</v>
      </c>
      <c r="G5" s="70">
        <v>7</v>
      </c>
      <c r="H5"/>
    </row>
    <row r="6" spans="1:13" ht="20.25" customHeight="1" x14ac:dyDescent="0.25">
      <c r="A6" s="69"/>
      <c r="B6" s="115" t="s">
        <v>115</v>
      </c>
      <c r="C6" s="116"/>
      <c r="D6" s="116"/>
      <c r="E6" s="68"/>
      <c r="F6" s="67"/>
      <c r="G6" s="66"/>
      <c r="H6" s="66"/>
      <c r="I6" s="66"/>
      <c r="J6" s="66"/>
      <c r="K6" s="66"/>
      <c r="L6" s="66"/>
      <c r="M6" s="65"/>
    </row>
    <row r="7" spans="1:13" ht="20.25" customHeight="1" x14ac:dyDescent="0.25">
      <c r="A7" s="64"/>
      <c r="B7" s="63" t="s">
        <v>85</v>
      </c>
      <c r="C7" s="62"/>
      <c r="D7" s="61"/>
      <c r="E7" s="60"/>
      <c r="F7" s="59"/>
      <c r="G7" s="58"/>
      <c r="H7" s="44"/>
      <c r="I7" s="43"/>
      <c r="J7" s="43"/>
      <c r="K7" s="57"/>
      <c r="L7" s="43"/>
    </row>
    <row r="8" spans="1:13" ht="20.25" customHeight="1" x14ac:dyDescent="0.25">
      <c r="A8" s="86" t="s">
        <v>84</v>
      </c>
      <c r="B8" s="87" t="s">
        <v>82</v>
      </c>
      <c r="C8" s="88" t="s">
        <v>35</v>
      </c>
      <c r="D8" s="89">
        <v>4.0599999999999996</v>
      </c>
      <c r="E8" s="90">
        <f>ROUND(65055.24/(297.03*0.05),2)</f>
        <v>4380.38</v>
      </c>
      <c r="F8" s="91">
        <f>ROUND(E8*D8,2)</f>
        <v>17784.34</v>
      </c>
      <c r="G8" s="91">
        <f>ROUND(F8*1.2,2)</f>
        <v>21341.21</v>
      </c>
      <c r="H8" s="92"/>
      <c r="I8" s="91"/>
      <c r="J8" s="91"/>
      <c r="K8" s="93">
        <f t="shared" ref="K8:L10" si="0">F8+I8</f>
        <v>17784.34</v>
      </c>
      <c r="L8" s="91">
        <f t="shared" si="0"/>
        <v>21341.21</v>
      </c>
      <c r="M8" s="46"/>
    </row>
    <row r="9" spans="1:13" ht="20.25" customHeight="1" x14ac:dyDescent="0.25">
      <c r="A9" s="86">
        <f>A8+1</f>
        <v>2</v>
      </c>
      <c r="B9" s="87" t="s">
        <v>81</v>
      </c>
      <c r="C9" s="88" t="s">
        <v>35</v>
      </c>
      <c r="D9" s="89">
        <v>6.42</v>
      </c>
      <c r="E9" s="90">
        <v>304</v>
      </c>
      <c r="F9" s="91">
        <f>ROUND(E9*D9,2)</f>
        <v>1951.68</v>
      </c>
      <c r="G9" s="91">
        <f>ROUND(F9*1.2,2)</f>
        <v>2342.02</v>
      </c>
      <c r="H9" s="91"/>
      <c r="I9" s="91"/>
      <c r="J9" s="91"/>
      <c r="K9" s="93">
        <f t="shared" si="0"/>
        <v>1951.68</v>
      </c>
      <c r="L9" s="91">
        <f t="shared" si="0"/>
        <v>2342.02</v>
      </c>
      <c r="M9" s="46"/>
    </row>
    <row r="10" spans="1:13" ht="20.25" customHeight="1" x14ac:dyDescent="0.25">
      <c r="A10" s="86">
        <f>A9+1</f>
        <v>3</v>
      </c>
      <c r="B10" s="87" t="s">
        <v>80</v>
      </c>
      <c r="C10" s="88" t="s">
        <v>33</v>
      </c>
      <c r="D10" s="89">
        <v>16.3</v>
      </c>
      <c r="E10" s="90">
        <v>431.37</v>
      </c>
      <c r="F10" s="91">
        <f>ROUND(E10*D10,2)</f>
        <v>7031.33</v>
      </c>
      <c r="G10" s="91">
        <f>ROUND(F10*1.2,2)</f>
        <v>8437.6</v>
      </c>
      <c r="H10" s="92"/>
      <c r="I10" s="91"/>
      <c r="J10" s="91"/>
      <c r="K10" s="93">
        <f t="shared" si="0"/>
        <v>7031.33</v>
      </c>
      <c r="L10" s="91">
        <f t="shared" si="0"/>
        <v>8437.6</v>
      </c>
      <c r="M10" s="49" t="s">
        <v>130</v>
      </c>
    </row>
    <row r="11" spans="1:13" ht="18.75" customHeight="1" x14ac:dyDescent="0.25">
      <c r="A11" s="32"/>
      <c r="B11" s="56" t="s">
        <v>43</v>
      </c>
      <c r="C11" s="31"/>
      <c r="D11" s="30"/>
      <c r="E11" s="50"/>
      <c r="F11" s="25"/>
      <c r="G11" s="25"/>
      <c r="H11" s="50"/>
      <c r="I11" s="25"/>
      <c r="J11" s="25"/>
      <c r="K11" s="26"/>
      <c r="L11" s="25"/>
    </row>
    <row r="12" spans="1:13" ht="18.75" customHeight="1" x14ac:dyDescent="0.25">
      <c r="A12" s="94">
        <f>A10+1</f>
        <v>4</v>
      </c>
      <c r="B12" s="87" t="s">
        <v>103</v>
      </c>
      <c r="C12" s="88" t="s">
        <v>35</v>
      </c>
      <c r="D12" s="89">
        <v>13.1</v>
      </c>
      <c r="E12" s="90">
        <v>308.75</v>
      </c>
      <c r="F12" s="91">
        <f>ROUND(E12*D12,2)</f>
        <v>4044.63</v>
      </c>
      <c r="G12" s="91">
        <f>ROUND(F12*1.2,2)</f>
        <v>4853.5600000000004</v>
      </c>
      <c r="H12" s="92"/>
      <c r="I12" s="90"/>
      <c r="J12" s="90"/>
      <c r="K12" s="95">
        <f t="shared" ref="K12:K21" si="1">F12+I12</f>
        <v>4044.63</v>
      </c>
      <c r="L12" s="90">
        <f t="shared" ref="L12:L21" si="2">G12+J12</f>
        <v>4853.5600000000004</v>
      </c>
    </row>
    <row r="13" spans="1:13" ht="18.75" customHeight="1" x14ac:dyDescent="0.25">
      <c r="A13" s="94">
        <f>A12+1</f>
        <v>5</v>
      </c>
      <c r="B13" s="87" t="s">
        <v>78</v>
      </c>
      <c r="C13" s="88" t="s">
        <v>35</v>
      </c>
      <c r="D13" s="89">
        <v>5.62</v>
      </c>
      <c r="E13" s="90">
        <v>1688.15</v>
      </c>
      <c r="F13" s="91">
        <f>ROUND(E13*D13,2)</f>
        <v>9487.4</v>
      </c>
      <c r="G13" s="91">
        <f>ROUND(F13*1.2,2)</f>
        <v>11384.88</v>
      </c>
      <c r="H13" s="92"/>
      <c r="I13" s="90"/>
      <c r="J13" s="90"/>
      <c r="K13" s="95">
        <f t="shared" si="1"/>
        <v>9487.4</v>
      </c>
      <c r="L13" s="90">
        <f t="shared" si="2"/>
        <v>11384.88</v>
      </c>
    </row>
    <row r="14" spans="1:13" ht="20.25" customHeight="1" x14ac:dyDescent="0.25">
      <c r="A14" s="94">
        <f>A13+1</f>
        <v>6</v>
      </c>
      <c r="B14" s="87" t="s">
        <v>77</v>
      </c>
      <c r="C14" s="88" t="s">
        <v>35</v>
      </c>
      <c r="D14" s="89">
        <v>2.58</v>
      </c>
      <c r="E14" s="90">
        <v>1310.05</v>
      </c>
      <c r="F14" s="91">
        <f>ROUND(E14*D14,2)</f>
        <v>3379.93</v>
      </c>
      <c r="G14" s="91">
        <f>ROUND(F14*1.2,2)</f>
        <v>4055.92</v>
      </c>
      <c r="H14" s="91"/>
      <c r="I14" s="97"/>
      <c r="J14" s="97"/>
      <c r="K14" s="95">
        <f t="shared" si="1"/>
        <v>3379.93</v>
      </c>
      <c r="L14" s="90">
        <f t="shared" si="2"/>
        <v>4055.92</v>
      </c>
    </row>
    <row r="15" spans="1:13" ht="20.25" customHeight="1" x14ac:dyDescent="0.25">
      <c r="A15" s="108" t="s">
        <v>30</v>
      </c>
      <c r="B15" s="40" t="s">
        <v>37</v>
      </c>
      <c r="C15" s="39" t="s">
        <v>35</v>
      </c>
      <c r="D15" s="38">
        <f>ROUND(2.58*1.1,2)</f>
        <v>2.84</v>
      </c>
      <c r="E15" s="37"/>
      <c r="F15" s="35"/>
      <c r="G15" s="35"/>
      <c r="H15" s="35">
        <v>1191.3</v>
      </c>
      <c r="I15" s="35">
        <f>ROUND(H15*D15,2)</f>
        <v>3383.29</v>
      </c>
      <c r="J15" s="35">
        <f>ROUND(I15*1.2,2)</f>
        <v>4059.95</v>
      </c>
      <c r="K15" s="36">
        <f t="shared" si="1"/>
        <v>3383.29</v>
      </c>
      <c r="L15" s="35">
        <f t="shared" si="2"/>
        <v>4059.95</v>
      </c>
    </row>
    <row r="16" spans="1:13" ht="18" customHeight="1" x14ac:dyDescent="0.25">
      <c r="A16" s="94">
        <f>A14+1</f>
        <v>7</v>
      </c>
      <c r="B16" s="87" t="s">
        <v>39</v>
      </c>
      <c r="C16" s="88" t="s">
        <v>35</v>
      </c>
      <c r="D16" s="89">
        <v>7.41</v>
      </c>
      <c r="E16" s="90">
        <v>1310.05</v>
      </c>
      <c r="F16" s="91">
        <f>ROUND(E16*D16,2)</f>
        <v>9707.4699999999993</v>
      </c>
      <c r="G16" s="91">
        <f>ROUND(F16*1.2,2)</f>
        <v>11648.96</v>
      </c>
      <c r="H16" s="91"/>
      <c r="I16" s="90"/>
      <c r="J16" s="90"/>
      <c r="K16" s="95">
        <f t="shared" si="1"/>
        <v>9707.4699999999993</v>
      </c>
      <c r="L16" s="90">
        <f t="shared" si="2"/>
        <v>11648.96</v>
      </c>
    </row>
    <row r="17" spans="1:13" ht="20.25" customHeight="1" x14ac:dyDescent="0.25">
      <c r="A17" s="108" t="s">
        <v>28</v>
      </c>
      <c r="B17" s="40" t="s">
        <v>37</v>
      </c>
      <c r="C17" s="39" t="s">
        <v>35</v>
      </c>
      <c r="D17" s="38">
        <f>ROUND(7.41*1.1,2)</f>
        <v>8.15</v>
      </c>
      <c r="E17" s="37"/>
      <c r="F17" s="35"/>
      <c r="G17" s="35"/>
      <c r="H17" s="35">
        <v>1191.3</v>
      </c>
      <c r="I17" s="35">
        <f>ROUND(H17*D17,2)</f>
        <v>9709.1</v>
      </c>
      <c r="J17" s="35">
        <f>ROUND(I17*1.2,2)</f>
        <v>11650.92</v>
      </c>
      <c r="K17" s="36">
        <f t="shared" si="1"/>
        <v>9709.1</v>
      </c>
      <c r="L17" s="35">
        <f t="shared" si="2"/>
        <v>11650.92</v>
      </c>
    </row>
    <row r="18" spans="1:13" ht="18.75" customHeight="1" x14ac:dyDescent="0.25">
      <c r="A18" s="94">
        <f>A16+1</f>
        <v>8</v>
      </c>
      <c r="B18" s="87" t="s">
        <v>111</v>
      </c>
      <c r="C18" s="88" t="s">
        <v>35</v>
      </c>
      <c r="D18" s="89">
        <v>18.600000000000001</v>
      </c>
      <c r="E18" s="90">
        <v>1310.05</v>
      </c>
      <c r="F18" s="91">
        <f>ROUND(E18*D18,2)</f>
        <v>24366.93</v>
      </c>
      <c r="G18" s="91">
        <f>ROUND(F18*1.2,2)</f>
        <v>29240.32</v>
      </c>
      <c r="H18" s="91"/>
      <c r="I18" s="90"/>
      <c r="J18" s="90"/>
      <c r="K18" s="95">
        <f t="shared" si="1"/>
        <v>24366.93</v>
      </c>
      <c r="L18" s="90">
        <f t="shared" si="2"/>
        <v>29240.32</v>
      </c>
    </row>
    <row r="19" spans="1:13" ht="20.25" customHeight="1" x14ac:dyDescent="0.25">
      <c r="A19" s="108" t="s">
        <v>25</v>
      </c>
      <c r="B19" s="40" t="s">
        <v>37</v>
      </c>
      <c r="C19" s="39" t="s">
        <v>35</v>
      </c>
      <c r="D19" s="38">
        <f>ROUND(18.6*1.1,2)</f>
        <v>20.46</v>
      </c>
      <c r="E19" s="37"/>
      <c r="F19" s="35"/>
      <c r="G19" s="35"/>
      <c r="H19" s="35">
        <v>1191.3</v>
      </c>
      <c r="I19" s="35">
        <f>ROUND(H19*D19,2)</f>
        <v>24374</v>
      </c>
      <c r="J19" s="35">
        <f>ROUND(I19*1.2,2)</f>
        <v>29248.799999999999</v>
      </c>
      <c r="K19" s="36">
        <f t="shared" si="1"/>
        <v>24374</v>
      </c>
      <c r="L19" s="35">
        <f t="shared" si="2"/>
        <v>29248.799999999999</v>
      </c>
    </row>
    <row r="20" spans="1:13" ht="18.75" customHeight="1" x14ac:dyDescent="0.25">
      <c r="A20" s="96">
        <f>A18+1</f>
        <v>9</v>
      </c>
      <c r="B20" s="87" t="s">
        <v>72</v>
      </c>
      <c r="C20" s="88" t="s">
        <v>35</v>
      </c>
      <c r="D20" s="89">
        <v>26.01</v>
      </c>
      <c r="E20" s="90">
        <v>188.1</v>
      </c>
      <c r="F20" s="91">
        <f>ROUND(E20*D20,2)</f>
        <v>4892.4799999999996</v>
      </c>
      <c r="G20" s="91">
        <f>ROUND(F20*1.2,2)</f>
        <v>5870.98</v>
      </c>
      <c r="H20" s="95"/>
      <c r="I20" s="91"/>
      <c r="J20" s="91"/>
      <c r="K20" s="95">
        <f t="shared" si="1"/>
        <v>4892.4799999999996</v>
      </c>
      <c r="L20" s="90">
        <f t="shared" si="2"/>
        <v>5870.98</v>
      </c>
    </row>
    <row r="21" spans="1:13" ht="18.75" customHeight="1" x14ac:dyDescent="0.25">
      <c r="A21" s="96">
        <f>A20+1</f>
        <v>10</v>
      </c>
      <c r="B21" s="87" t="s">
        <v>34</v>
      </c>
      <c r="C21" s="88" t="s">
        <v>33</v>
      </c>
      <c r="D21" s="89">
        <v>35.57</v>
      </c>
      <c r="E21" s="90">
        <v>308.75</v>
      </c>
      <c r="F21" s="91">
        <f>ROUND(E21*D21,2)</f>
        <v>10982.24</v>
      </c>
      <c r="G21" s="91">
        <f>ROUND(F21*1.2,2)</f>
        <v>13178.69</v>
      </c>
      <c r="H21" s="92"/>
      <c r="I21" s="90"/>
      <c r="J21" s="90"/>
      <c r="K21" s="95">
        <f t="shared" si="1"/>
        <v>10982.24</v>
      </c>
      <c r="L21" s="90">
        <f t="shared" si="2"/>
        <v>13178.69</v>
      </c>
    </row>
    <row r="22" spans="1:13" ht="22.5" customHeight="1" x14ac:dyDescent="0.25">
      <c r="A22" s="32"/>
      <c r="B22" s="56" t="s">
        <v>32</v>
      </c>
      <c r="C22" s="31"/>
      <c r="D22" s="33"/>
      <c r="E22" s="25"/>
      <c r="F22" s="45"/>
      <c r="G22" s="45"/>
      <c r="H22" s="50"/>
      <c r="I22" s="25"/>
      <c r="J22" s="25"/>
      <c r="K22" s="26"/>
      <c r="L22" s="25"/>
    </row>
    <row r="23" spans="1:13" ht="33" customHeight="1" x14ac:dyDescent="0.25">
      <c r="A23" s="98">
        <f>A21+1</f>
        <v>11</v>
      </c>
      <c r="B23" s="81" t="s">
        <v>114</v>
      </c>
      <c r="C23" s="82" t="s">
        <v>12</v>
      </c>
      <c r="D23" s="83">
        <v>63.3</v>
      </c>
      <c r="E23" s="103">
        <f>966.15*2</f>
        <v>1932.3</v>
      </c>
      <c r="F23" s="84">
        <f>ROUND(E23*D23,2)</f>
        <v>122314.59</v>
      </c>
      <c r="G23" s="84">
        <f>ROUND(F23*1.2,2)</f>
        <v>146777.51</v>
      </c>
      <c r="H23" s="100"/>
      <c r="I23" s="101"/>
      <c r="J23" s="101"/>
      <c r="K23" s="102">
        <f>F23+I23</f>
        <v>122314.59</v>
      </c>
      <c r="L23" s="103">
        <f>G23+J23</f>
        <v>146777.51</v>
      </c>
      <c r="M23" s="65"/>
    </row>
    <row r="24" spans="1:13" ht="18.75" customHeight="1" x14ac:dyDescent="0.25">
      <c r="A24" s="108" t="s">
        <v>14</v>
      </c>
      <c r="B24" s="40" t="s">
        <v>113</v>
      </c>
      <c r="C24" s="39" t="s">
        <v>12</v>
      </c>
      <c r="D24" s="38">
        <f>ROUND(63.3*1.02,2)</f>
        <v>64.569999999999993</v>
      </c>
      <c r="E24" s="37"/>
      <c r="F24" s="35">
        <f>ROUND(E24*D24,2)</f>
        <v>0</v>
      </c>
      <c r="G24" s="35">
        <f>ROUND(F24*1.2,2)</f>
        <v>0</v>
      </c>
      <c r="H24" s="75">
        <f>ROUND(1250*1.15,2)</f>
        <v>1437.5</v>
      </c>
      <c r="I24" s="35">
        <f>ROUND(H24*D24,2)</f>
        <v>92819.38</v>
      </c>
      <c r="J24" s="35">
        <f>ROUND(I24*1.2,2)</f>
        <v>111383.26</v>
      </c>
      <c r="K24" s="36">
        <f>F24+I24</f>
        <v>92819.38</v>
      </c>
      <c r="L24" s="35">
        <f>G24+J24</f>
        <v>111383.26</v>
      </c>
      <c r="M24" s="65" t="s">
        <v>16</v>
      </c>
    </row>
    <row r="25" spans="1:13" s="21" customFormat="1" ht="21" customHeight="1" x14ac:dyDescent="0.3">
      <c r="A25" s="117" t="s">
        <v>8</v>
      </c>
      <c r="B25" s="118"/>
      <c r="C25" s="118"/>
      <c r="D25" s="118"/>
      <c r="E25" s="119"/>
      <c r="F25" s="22">
        <f>SUM(F7:F24)</f>
        <v>215943.02</v>
      </c>
      <c r="G25" s="22">
        <f>ROUND(F25*1.2,2)</f>
        <v>259131.62</v>
      </c>
      <c r="H25" s="23"/>
      <c r="I25" s="22">
        <f>SUM(I7:I24)</f>
        <v>130285.77</v>
      </c>
      <c r="J25" s="22">
        <f>ROUND(I25*1.2,2)</f>
        <v>156342.92000000001</v>
      </c>
      <c r="K25" s="22">
        <f>SUM(K7:K24)</f>
        <v>346228.79000000004</v>
      </c>
      <c r="L25" s="22">
        <f>ROUND(K25*1.2,2)</f>
        <v>415474.55</v>
      </c>
    </row>
    <row r="27" spans="1:13" x14ac:dyDescent="0.25">
      <c r="B27" s="110" t="s">
        <v>132</v>
      </c>
    </row>
    <row r="28" spans="1:13" x14ac:dyDescent="0.25">
      <c r="B28" s="111" t="s">
        <v>133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Свод ЭС2</vt:lpstr>
      <vt:lpstr>ТП7-склад75</vt:lpstr>
      <vt:lpstr>28-28А, 28Б-28В</vt:lpstr>
      <vt:lpstr>1-2; 7-8</vt:lpstr>
      <vt:lpstr>ЭС2 цех417-ММЗ</vt:lpstr>
      <vt:lpstr>ЭС2 Защита</vt:lpstr>
      <vt:lpstr>'1-2; 7-8'!Область_печати</vt:lpstr>
      <vt:lpstr>'28-28А, 28Б-28В'!Область_печати</vt:lpstr>
      <vt:lpstr>'Свод ЭС2'!Область_печати</vt:lpstr>
      <vt:lpstr>'ТП7-склад75'!Область_печати</vt:lpstr>
      <vt:lpstr>'ЭС2 Защита'!Область_печати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2024-10-09T07:32:17Z</dcterms:modified>
</cp:coreProperties>
</file>