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версия-10\"/>
    </mc:Choice>
  </mc:AlternateContent>
  <xr:revisionPtr revIDLastSave="0" documentId="13_ncr:1_{9480B5FF-1C27-4809-9B09-037A199CBF35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Свод" sheetId="6" state="hidden" r:id="rId1"/>
    <sheet name="вер-9.1" sheetId="13" r:id="rId2"/>
    <sheet name="СВОД в.10" sheetId="12" r:id="rId3"/>
    <sheet name="ПЖ" sheetId="15" r:id="rId4"/>
    <sheet name="ГП1" sheetId="14" r:id="rId5"/>
    <sheet name="ЭС2-1-2; 7-8" sheetId="17" r:id="rId6"/>
    <sheet name="АС4" sheetId="16" r:id="rId7"/>
    <sheet name="К10-К10А VS" sheetId="19" r:id="rId8"/>
    <sheet name="ГП2  (2)" sheetId="10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Excel_BuiltIn__FilterDatabase_4" localSheetId="7">#REF!</definedName>
    <definedName name="Excel_BuiltIn__FilterDatabase_4">#REF!</definedName>
    <definedName name="Excel_BuiltIn_Print_Area" localSheetId="7">#REF!</definedName>
    <definedName name="Excel_BuiltIn_Print_Area">#REF!</definedName>
    <definedName name="Excel_BuiltIn_Print_Area_1" localSheetId="7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6">АС4!$A$1:$L$62</definedName>
    <definedName name="_xlnm.Print_Area" localSheetId="4">ГП1!$A$1:$L$53</definedName>
    <definedName name="_xlnm.Print_Area" localSheetId="8">'ГП2  (2)'!$A$1:$L$265</definedName>
    <definedName name="_xlnm.Print_Area" localSheetId="7">'К10-К10А VS'!$A$1:$L$39</definedName>
    <definedName name="_xlnm.Print_Area" localSheetId="3">ПЖ!$A$1:$L$128</definedName>
    <definedName name="_xlnm.Print_Area" localSheetId="0">Свод!$A$1:$H$7</definedName>
    <definedName name="_xlnm.Print_Area" localSheetId="5">'ЭС2-1-2; 7-8'!$A$1:$L$47</definedName>
    <definedName name="ООС" localSheetId="7">#REF!,#REF!</definedName>
    <definedName name="ООС">#REF!,#REF!</definedName>
    <definedName name="от_БИРЖЕВОГО" localSheetId="7">'[2]исх дан'!#REF!</definedName>
    <definedName name="от_БИРЖЕВОГО">'[2]исх дан'!#REF!</definedName>
    <definedName name="ПВ" localSheetId="7">'[2]исх дан'!#REF!</definedName>
    <definedName name="ПВ">'[2]исх дан'!#REF!</definedName>
    <definedName name="ПВС_ОПТ" localSheetId="7">'[2]исх дан'!#REF!</definedName>
    <definedName name="ПВС_ОПТ">'[2]исх дан'!#REF!</definedName>
    <definedName name="ПВС_РОЗН">[10]ПРОЦЕНТЫ!$AQ$7</definedName>
    <definedName name="пр" localSheetId="7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 localSheetId="7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9" i="19" l="1"/>
  <c r="H29" i="12" s="1"/>
  <c r="I29" i="12" s="1"/>
  <c r="U25" i="19"/>
  <c r="Q9" i="19" l="1"/>
  <c r="R9" i="19"/>
  <c r="Q10" i="19"/>
  <c r="R10" i="19"/>
  <c r="Q11" i="19"/>
  <c r="R11" i="19"/>
  <c r="Q12" i="19"/>
  <c r="R12" i="19"/>
  <c r="Q13" i="19"/>
  <c r="R13" i="19"/>
  <c r="Q14" i="19"/>
  <c r="R14" i="19"/>
  <c r="Q15" i="19"/>
  <c r="R15" i="19"/>
  <c r="Q16" i="19"/>
  <c r="R16" i="19"/>
  <c r="Q17" i="19"/>
  <c r="R17" i="19"/>
  <c r="Q18" i="19"/>
  <c r="R18" i="19"/>
  <c r="Q19" i="19"/>
  <c r="R19" i="19"/>
  <c r="Q20" i="19"/>
  <c r="R20" i="19"/>
  <c r="Q21" i="19"/>
  <c r="R21" i="19"/>
  <c r="Q22" i="19"/>
  <c r="R22" i="19"/>
  <c r="Q23" i="19"/>
  <c r="R23" i="19"/>
  <c r="Q24" i="19"/>
  <c r="R24" i="19"/>
  <c r="Q25" i="19"/>
  <c r="R25" i="19"/>
  <c r="Q26" i="19"/>
  <c r="R26" i="19"/>
  <c r="Q27" i="19"/>
  <c r="R27" i="19"/>
  <c r="Q28" i="19"/>
  <c r="R28" i="19"/>
  <c r="Q29" i="19"/>
  <c r="R29" i="19"/>
  <c r="Q30" i="19"/>
  <c r="R30" i="19"/>
  <c r="Q31" i="19"/>
  <c r="R31" i="19"/>
  <c r="Q32" i="19"/>
  <c r="R32" i="19"/>
  <c r="Q33" i="19"/>
  <c r="R33" i="19"/>
  <c r="Q34" i="19"/>
  <c r="R34" i="19"/>
  <c r="Q35" i="19"/>
  <c r="R35" i="19"/>
  <c r="Q36" i="19"/>
  <c r="R36" i="19"/>
  <c r="Q37" i="19"/>
  <c r="R37" i="19"/>
  <c r="Q38" i="19"/>
  <c r="R38" i="19"/>
  <c r="R8" i="19"/>
  <c r="U39" i="19" l="1"/>
  <c r="V38" i="19"/>
  <c r="W38" i="19" s="1"/>
  <c r="S38" i="19"/>
  <c r="X38" i="19" s="1"/>
  <c r="I38" i="19"/>
  <c r="K38" i="19" s="1"/>
  <c r="V37" i="19"/>
  <c r="W37" i="19" s="1"/>
  <c r="S37" i="19"/>
  <c r="T37" i="19" s="1"/>
  <c r="F37" i="19"/>
  <c r="K37" i="19" s="1"/>
  <c r="V36" i="19"/>
  <c r="W36" i="19" s="1"/>
  <c r="S36" i="19"/>
  <c r="D36" i="19"/>
  <c r="I36" i="19" s="1"/>
  <c r="V35" i="19"/>
  <c r="W35" i="19" s="1"/>
  <c r="S35" i="19"/>
  <c r="T35" i="19" s="1"/>
  <c r="Y35" i="19" s="1"/>
  <c r="F35" i="19"/>
  <c r="K35" i="19" s="1"/>
  <c r="V34" i="19"/>
  <c r="W34" i="19" s="1"/>
  <c r="S34" i="19"/>
  <c r="X34" i="19" s="1"/>
  <c r="I34" i="19"/>
  <c r="K34" i="19" s="1"/>
  <c r="V33" i="19"/>
  <c r="W33" i="19" s="1"/>
  <c r="S33" i="19"/>
  <c r="T33" i="19" s="1"/>
  <c r="Y33" i="19" s="1"/>
  <c r="I33" i="19"/>
  <c r="J33" i="19" s="1"/>
  <c r="L33" i="19" s="1"/>
  <c r="D33" i="19"/>
  <c r="V32" i="19"/>
  <c r="W32" i="19" s="1"/>
  <c r="S32" i="19"/>
  <c r="X32" i="19" s="1"/>
  <c r="K32" i="19"/>
  <c r="G32" i="19"/>
  <c r="L32" i="19" s="1"/>
  <c r="F32" i="19"/>
  <c r="S31" i="19"/>
  <c r="I31" i="19"/>
  <c r="K31" i="19" s="1"/>
  <c r="V30" i="19"/>
  <c r="W30" i="19" s="1"/>
  <c r="S30" i="19"/>
  <c r="X30" i="19" s="1"/>
  <c r="I30" i="19"/>
  <c r="J30" i="19" s="1"/>
  <c r="L30" i="19" s="1"/>
  <c r="V29" i="19"/>
  <c r="W29" i="19" s="1"/>
  <c r="S29" i="19"/>
  <c r="T29" i="19" s="1"/>
  <c r="K29" i="19"/>
  <c r="G29" i="19"/>
  <c r="L29" i="19" s="1"/>
  <c r="F29" i="19"/>
  <c r="V28" i="19"/>
  <c r="W28" i="19" s="1"/>
  <c r="L28" i="19"/>
  <c r="K28" i="19"/>
  <c r="G28" i="19"/>
  <c r="F28" i="19"/>
  <c r="S27" i="19"/>
  <c r="D27" i="19"/>
  <c r="I27" i="19" s="1"/>
  <c r="V26" i="19"/>
  <c r="W26" i="19" s="1"/>
  <c r="S26" i="19"/>
  <c r="X26" i="19" s="1"/>
  <c r="F26" i="19"/>
  <c r="G26" i="19" s="1"/>
  <c r="L26" i="19" s="1"/>
  <c r="V25" i="19"/>
  <c r="S25" i="19"/>
  <c r="T25" i="19" s="1"/>
  <c r="D25" i="19"/>
  <c r="I25" i="19" s="1"/>
  <c r="V24" i="19"/>
  <c r="W24" i="19" s="1"/>
  <c r="S24" i="19"/>
  <c r="X24" i="19" s="1"/>
  <c r="L24" i="19"/>
  <c r="K24" i="19"/>
  <c r="G24" i="19"/>
  <c r="F24" i="19"/>
  <c r="V23" i="19"/>
  <c r="W23" i="19" s="1"/>
  <c r="S23" i="19"/>
  <c r="X23" i="19" s="1"/>
  <c r="V22" i="19"/>
  <c r="W22" i="19" s="1"/>
  <c r="S22" i="19"/>
  <c r="T22" i="19" s="1"/>
  <c r="Y22" i="19" s="1"/>
  <c r="D22" i="19"/>
  <c r="F22" i="19" s="1"/>
  <c r="V21" i="19"/>
  <c r="W21" i="19" s="1"/>
  <c r="S21" i="19"/>
  <c r="T21" i="19" s="1"/>
  <c r="V20" i="19"/>
  <c r="W20" i="19" s="1"/>
  <c r="T20" i="19"/>
  <c r="Y20" i="19" s="1"/>
  <c r="S20" i="19"/>
  <c r="F20" i="19"/>
  <c r="K20" i="19" s="1"/>
  <c r="V19" i="19"/>
  <c r="W19" i="19" s="1"/>
  <c r="S19" i="19"/>
  <c r="T19" i="19" s="1"/>
  <c r="K19" i="19"/>
  <c r="G19" i="19"/>
  <c r="L19" i="19" s="1"/>
  <c r="F19" i="19"/>
  <c r="V18" i="19"/>
  <c r="W18" i="19" s="1"/>
  <c r="D18" i="19"/>
  <c r="I18" i="19" s="1"/>
  <c r="V17" i="19"/>
  <c r="S17" i="19"/>
  <c r="T17" i="19" s="1"/>
  <c r="F17" i="19"/>
  <c r="G17" i="19" s="1"/>
  <c r="L17" i="19" s="1"/>
  <c r="V16" i="19"/>
  <c r="W16" i="19" s="1"/>
  <c r="S16" i="19"/>
  <c r="D16" i="19"/>
  <c r="I16" i="19" s="1"/>
  <c r="V15" i="19"/>
  <c r="W15" i="19" s="1"/>
  <c r="S15" i="19"/>
  <c r="T15" i="19" s="1"/>
  <c r="F15" i="19"/>
  <c r="K15" i="19" s="1"/>
  <c r="V14" i="19"/>
  <c r="W14" i="19" s="1"/>
  <c r="S14" i="19"/>
  <c r="T14" i="19" s="1"/>
  <c r="F14" i="19"/>
  <c r="K14" i="19" s="1"/>
  <c r="V13" i="19"/>
  <c r="W13" i="19" s="1"/>
  <c r="S13" i="19"/>
  <c r="X13" i="19" s="1"/>
  <c r="F13" i="19"/>
  <c r="G13" i="19" s="1"/>
  <c r="L13" i="19" s="1"/>
  <c r="V12" i="19"/>
  <c r="W12" i="19" s="1"/>
  <c r="S12" i="19"/>
  <c r="T12" i="19" s="1"/>
  <c r="V11" i="19"/>
  <c r="W11" i="19" s="1"/>
  <c r="S11" i="19"/>
  <c r="X11" i="19" s="1"/>
  <c r="V10" i="19"/>
  <c r="W10" i="19" s="1"/>
  <c r="S10" i="19"/>
  <c r="X10" i="19" s="1"/>
  <c r="D10" i="19"/>
  <c r="F10" i="19" s="1"/>
  <c r="A10" i="19"/>
  <c r="A13" i="19" s="1"/>
  <c r="A14" i="19" s="1"/>
  <c r="A15" i="19" s="1"/>
  <c r="A17" i="19" s="1"/>
  <c r="A19" i="19" s="1"/>
  <c r="A20" i="19" s="1"/>
  <c r="A22" i="19" s="1"/>
  <c r="A24" i="19" s="1"/>
  <c r="A26" i="19" s="1"/>
  <c r="A32" i="19" s="1"/>
  <c r="A35" i="19" s="1"/>
  <c r="A37" i="19" s="1"/>
  <c r="V9" i="19"/>
  <c r="W9" i="19" s="1"/>
  <c r="S9" i="19"/>
  <c r="T9" i="19" s="1"/>
  <c r="V8" i="19"/>
  <c r="S8" i="19"/>
  <c r="F8" i="19"/>
  <c r="G8" i="19" s="1"/>
  <c r="L8" i="19" s="1"/>
  <c r="Y12" i="19" l="1"/>
  <c r="X12" i="19"/>
  <c r="T26" i="19"/>
  <c r="Y26" i="19" s="1"/>
  <c r="X35" i="19"/>
  <c r="Y15" i="19"/>
  <c r="T10" i="19"/>
  <c r="Y10" i="19" s="1"/>
  <c r="Y19" i="19"/>
  <c r="X25" i="19"/>
  <c r="Y9" i="19"/>
  <c r="X17" i="19"/>
  <c r="X9" i="19"/>
  <c r="X15" i="19"/>
  <c r="X20" i="19"/>
  <c r="Y37" i="19"/>
  <c r="T31" i="19"/>
  <c r="K16" i="19"/>
  <c r="J16" i="19"/>
  <c r="L16" i="19" s="1"/>
  <c r="I39" i="19"/>
  <c r="J39" i="19" s="1"/>
  <c r="K36" i="19"/>
  <c r="J36" i="19"/>
  <c r="L36" i="19" s="1"/>
  <c r="X36" i="19"/>
  <c r="T36" i="19"/>
  <c r="Y36" i="19" s="1"/>
  <c r="K25" i="19"/>
  <c r="J25" i="19"/>
  <c r="L25" i="19" s="1"/>
  <c r="X16" i="19"/>
  <c r="T16" i="19"/>
  <c r="Y16" i="19" s="1"/>
  <c r="T8" i="19"/>
  <c r="X8" i="19"/>
  <c r="Y21" i="19"/>
  <c r="T27" i="19"/>
  <c r="G22" i="19"/>
  <c r="L22" i="19" s="1"/>
  <c r="K22" i="19"/>
  <c r="Y29" i="19"/>
  <c r="K10" i="19"/>
  <c r="G10" i="19"/>
  <c r="L10" i="19" s="1"/>
  <c r="K18" i="19"/>
  <c r="J18" i="19"/>
  <c r="L18" i="19" s="1"/>
  <c r="K27" i="19"/>
  <c r="J27" i="19"/>
  <c r="L27" i="19" s="1"/>
  <c r="Y14" i="19"/>
  <c r="W25" i="19"/>
  <c r="Y25" i="19" s="1"/>
  <c r="T11" i="19"/>
  <c r="Y11" i="19" s="1"/>
  <c r="S18" i="19"/>
  <c r="F39" i="19"/>
  <c r="G39" i="19" s="1"/>
  <c r="K17" i="19"/>
  <c r="X22" i="19"/>
  <c r="T24" i="19"/>
  <c r="Y24" i="19" s="1"/>
  <c r="S28" i="19"/>
  <c r="X29" i="19"/>
  <c r="J31" i="19"/>
  <c r="L31" i="19" s="1"/>
  <c r="X14" i="19"/>
  <c r="T32" i="19"/>
  <c r="Y32" i="19" s="1"/>
  <c r="X33" i="19"/>
  <c r="G35" i="19"/>
  <c r="L35" i="19" s="1"/>
  <c r="X37" i="19"/>
  <c r="T13" i="19"/>
  <c r="Y13" i="19" s="1"/>
  <c r="X21" i="19"/>
  <c r="K26" i="19"/>
  <c r="K30" i="19"/>
  <c r="J34" i="19"/>
  <c r="L34" i="19" s="1"/>
  <c r="J38" i="19"/>
  <c r="L38" i="19" s="1"/>
  <c r="G20" i="19"/>
  <c r="L20" i="19" s="1"/>
  <c r="T23" i="19"/>
  <c r="Y23" i="19" s="1"/>
  <c r="W8" i="19"/>
  <c r="W17" i="19"/>
  <c r="Y17" i="19" s="1"/>
  <c r="G15" i="19"/>
  <c r="L15" i="19" s="1"/>
  <c r="V27" i="19"/>
  <c r="W27" i="19" s="1"/>
  <c r="V31" i="19"/>
  <c r="W31" i="19" s="1"/>
  <c r="K13" i="19"/>
  <c r="K8" i="19"/>
  <c r="X19" i="19"/>
  <c r="G14" i="19"/>
  <c r="L14" i="19" s="1"/>
  <c r="K33" i="19"/>
  <c r="G37" i="19"/>
  <c r="L37" i="19" s="1"/>
  <c r="T30" i="19"/>
  <c r="Y30" i="19" s="1"/>
  <c r="T34" i="19"/>
  <c r="Y34" i="19" s="1"/>
  <c r="T38" i="19"/>
  <c r="Y38" i="19" s="1"/>
  <c r="L39" i="19" l="1"/>
  <c r="V39" i="19"/>
  <c r="X18" i="19"/>
  <c r="T18" i="19"/>
  <c r="Y18" i="19" s="1"/>
  <c r="K39" i="19"/>
  <c r="Y27" i="19"/>
  <c r="X27" i="19"/>
  <c r="S39" i="19"/>
  <c r="Y8" i="19"/>
  <c r="Y31" i="19"/>
  <c r="W39" i="19"/>
  <c r="X28" i="19"/>
  <c r="X39" i="19" s="1"/>
  <c r="T28" i="19"/>
  <c r="Y28" i="19" s="1"/>
  <c r="X31" i="19"/>
  <c r="T39" i="19" l="1"/>
  <c r="Y39" i="19"/>
  <c r="Z8" i="19"/>
  <c r="Z44" i="17" l="1"/>
  <c r="Z61" i="16"/>
  <c r="H62" i="12"/>
  <c r="I62" i="12" s="1"/>
  <c r="H46" i="12"/>
  <c r="I46" i="12" s="1"/>
  <c r="H40" i="12"/>
  <c r="I40" i="12" s="1"/>
  <c r="H38" i="12"/>
  <c r="I38" i="12" s="1"/>
  <c r="Z50" i="14"/>
  <c r="Z116" i="15"/>
  <c r="Z69" i="15"/>
  <c r="Z70" i="15"/>
  <c r="Z71" i="15"/>
  <c r="Z72" i="15"/>
  <c r="Z18" i="14"/>
  <c r="I63" i="12" l="1"/>
  <c r="V43" i="17"/>
  <c r="W43" i="17" s="1"/>
  <c r="S43" i="17"/>
  <c r="X43" i="17" s="1"/>
  <c r="V42" i="17"/>
  <c r="W42" i="17" s="1"/>
  <c r="S42" i="17"/>
  <c r="V41" i="17"/>
  <c r="W41" i="17" s="1"/>
  <c r="S41" i="17"/>
  <c r="X41" i="17" s="1"/>
  <c r="V40" i="17"/>
  <c r="W40" i="17" s="1"/>
  <c r="S40" i="17"/>
  <c r="X40" i="17" s="1"/>
  <c r="V39" i="17"/>
  <c r="W39" i="17" s="1"/>
  <c r="S39" i="17"/>
  <c r="X39" i="17" s="1"/>
  <c r="V38" i="17"/>
  <c r="W38" i="17" s="1"/>
  <c r="S38" i="17"/>
  <c r="T38" i="17" s="1"/>
  <c r="Y38" i="17" s="1"/>
  <c r="U37" i="17"/>
  <c r="Q37" i="17"/>
  <c r="V36" i="17"/>
  <c r="W36" i="17" s="1"/>
  <c r="S36" i="17"/>
  <c r="T36" i="17" s="1"/>
  <c r="U35" i="17"/>
  <c r="Q35" i="17"/>
  <c r="V34" i="17"/>
  <c r="S34" i="17"/>
  <c r="T34" i="17" s="1"/>
  <c r="U33" i="17"/>
  <c r="V33" i="17" s="1"/>
  <c r="S33" i="17"/>
  <c r="T33" i="17" s="1"/>
  <c r="U32" i="17"/>
  <c r="V32" i="17" s="1"/>
  <c r="S32" i="17"/>
  <c r="T32" i="17" s="1"/>
  <c r="V31" i="17"/>
  <c r="W31" i="17" s="1"/>
  <c r="S31" i="17"/>
  <c r="X31" i="17" s="1"/>
  <c r="V30" i="17"/>
  <c r="W30" i="17" s="1"/>
  <c r="S30" i="17"/>
  <c r="T30" i="17" s="1"/>
  <c r="V29" i="17"/>
  <c r="W29" i="17" s="1"/>
  <c r="S29" i="17"/>
  <c r="U28" i="17"/>
  <c r="Q28" i="17"/>
  <c r="S28" i="17" s="1"/>
  <c r="V27" i="17"/>
  <c r="W27" i="17" s="1"/>
  <c r="S27" i="17"/>
  <c r="X27" i="17" s="1"/>
  <c r="V26" i="17"/>
  <c r="W26" i="17" s="1"/>
  <c r="S26" i="17"/>
  <c r="T26" i="17" s="1"/>
  <c r="Y26" i="17" s="1"/>
  <c r="V25" i="17"/>
  <c r="W25" i="17" s="1"/>
  <c r="S25" i="17"/>
  <c r="X25" i="17" s="1"/>
  <c r="V24" i="17"/>
  <c r="W24" i="17" s="1"/>
  <c r="S24" i="17"/>
  <c r="X24" i="17" s="1"/>
  <c r="V23" i="17"/>
  <c r="W23" i="17" s="1"/>
  <c r="S23" i="17"/>
  <c r="T23" i="17" s="1"/>
  <c r="Q22" i="17"/>
  <c r="V22" i="17" s="1"/>
  <c r="W22" i="17" s="1"/>
  <c r="V21" i="17"/>
  <c r="S21" i="17"/>
  <c r="T21" i="17" s="1"/>
  <c r="Q20" i="17"/>
  <c r="V20" i="17" s="1"/>
  <c r="W20" i="17" s="1"/>
  <c r="V19" i="17"/>
  <c r="W19" i="17" s="1"/>
  <c r="S19" i="17"/>
  <c r="T19" i="17" s="1"/>
  <c r="Q18" i="17"/>
  <c r="V18" i="17" s="1"/>
  <c r="W18" i="17" s="1"/>
  <c r="V17" i="17"/>
  <c r="W17" i="17" s="1"/>
  <c r="S17" i="17"/>
  <c r="T17" i="17" s="1"/>
  <c r="Q16" i="17"/>
  <c r="V16" i="17" s="1"/>
  <c r="W16" i="17" s="1"/>
  <c r="V15" i="17"/>
  <c r="W15" i="17" s="1"/>
  <c r="S15" i="17"/>
  <c r="X15" i="17" s="1"/>
  <c r="V14" i="17"/>
  <c r="W14" i="17" s="1"/>
  <c r="S14" i="17"/>
  <c r="X14" i="17" s="1"/>
  <c r="V13" i="17"/>
  <c r="W13" i="17" s="1"/>
  <c r="S13" i="17"/>
  <c r="X13" i="17" s="1"/>
  <c r="V12" i="17"/>
  <c r="W12" i="17" s="1"/>
  <c r="S12" i="17"/>
  <c r="T12" i="17" s="1"/>
  <c r="V11" i="17"/>
  <c r="W11" i="17" s="1"/>
  <c r="S11" i="17"/>
  <c r="V10" i="17"/>
  <c r="S10" i="17"/>
  <c r="T10" i="17" s="1"/>
  <c r="V9" i="17"/>
  <c r="W9" i="17" s="1"/>
  <c r="R9" i="17"/>
  <c r="S9" i="17" s="1"/>
  <c r="X9" i="17" s="1"/>
  <c r="V8" i="17"/>
  <c r="S8" i="17"/>
  <c r="T8" i="17" s="1"/>
  <c r="V37" i="17" l="1"/>
  <c r="W37" i="17" s="1"/>
  <c r="X8" i="17"/>
  <c r="X42" i="17"/>
  <c r="V35" i="17"/>
  <c r="W35" i="17" s="1"/>
  <c r="U44" i="17"/>
  <c r="Y36" i="17"/>
  <c r="X11" i="17"/>
  <c r="X29" i="17"/>
  <c r="X23" i="17"/>
  <c r="X10" i="17"/>
  <c r="Y12" i="17"/>
  <c r="X12" i="17"/>
  <c r="S20" i="17"/>
  <c r="X20" i="17" s="1"/>
  <c r="T27" i="17"/>
  <c r="Y27" i="17" s="1"/>
  <c r="T40" i="17"/>
  <c r="Y40" i="17" s="1"/>
  <c r="Y23" i="17"/>
  <c r="X34" i="17"/>
  <c r="T29" i="17"/>
  <c r="X21" i="17"/>
  <c r="Y19" i="17"/>
  <c r="T28" i="17"/>
  <c r="X33" i="17"/>
  <c r="W33" i="17"/>
  <c r="Y33" i="17" s="1"/>
  <c r="W32" i="17"/>
  <c r="Y32" i="17" s="1"/>
  <c r="X32" i="17"/>
  <c r="Y29" i="17"/>
  <c r="Y17" i="17"/>
  <c r="Y30" i="17"/>
  <c r="W21" i="17"/>
  <c r="Y21" i="17" s="1"/>
  <c r="T15" i="17"/>
  <c r="Y15" i="17" s="1"/>
  <c r="T43" i="17"/>
  <c r="Y43" i="17" s="1"/>
  <c r="X19" i="17"/>
  <c r="T13" i="17"/>
  <c r="Y13" i="17" s="1"/>
  <c r="X17" i="17"/>
  <c r="V28" i="17"/>
  <c r="W28" i="17" s="1"/>
  <c r="X30" i="17"/>
  <c r="T41" i="17"/>
  <c r="Y41" i="17" s="1"/>
  <c r="T24" i="17"/>
  <c r="Y24" i="17" s="1"/>
  <c r="T11" i="17"/>
  <c r="Y11" i="17" s="1"/>
  <c r="S22" i="17"/>
  <c r="X26" i="17"/>
  <c r="S35" i="17"/>
  <c r="S37" i="17"/>
  <c r="T39" i="17"/>
  <c r="Y39" i="17" s="1"/>
  <c r="X36" i="17"/>
  <c r="T9" i="17"/>
  <c r="Y9" i="17" s="1"/>
  <c r="S18" i="17"/>
  <c r="T31" i="17"/>
  <c r="Y31" i="17" s="1"/>
  <c r="S16" i="17"/>
  <c r="W10" i="17"/>
  <c r="Y10" i="17" s="1"/>
  <c r="X38" i="17"/>
  <c r="T14" i="17"/>
  <c r="Y14" i="17" s="1"/>
  <c r="T42" i="17"/>
  <c r="Y42" i="17" s="1"/>
  <c r="T25" i="17"/>
  <c r="Y25" i="17" s="1"/>
  <c r="W34" i="17"/>
  <c r="Y34" i="17" s="1"/>
  <c r="W8" i="17"/>
  <c r="Y8" i="17" s="1"/>
  <c r="S44" i="17" l="1"/>
  <c r="T20" i="17"/>
  <c r="Y20" i="17" s="1"/>
  <c r="X18" i="17"/>
  <c r="T18" i="17"/>
  <c r="Y18" i="17" s="1"/>
  <c r="W44" i="17"/>
  <c r="X37" i="17"/>
  <c r="T37" i="17"/>
  <c r="Y37" i="17" s="1"/>
  <c r="X35" i="17"/>
  <c r="T35" i="17"/>
  <c r="Y35" i="17" s="1"/>
  <c r="X28" i="17"/>
  <c r="Y28" i="17"/>
  <c r="V44" i="17"/>
  <c r="X22" i="17"/>
  <c r="T22" i="17"/>
  <c r="Y22" i="17" s="1"/>
  <c r="X16" i="17"/>
  <c r="T16" i="17"/>
  <c r="Y16" i="17" s="1"/>
  <c r="Y44" i="17" l="1"/>
  <c r="X44" i="17"/>
  <c r="T44" i="17"/>
  <c r="F43" i="17" l="1"/>
  <c r="K43" i="17" s="1"/>
  <c r="I41" i="17"/>
  <c r="K41" i="17" s="1"/>
  <c r="F40" i="17"/>
  <c r="K40" i="17" s="1"/>
  <c r="I39" i="17"/>
  <c r="K39" i="17" s="1"/>
  <c r="F38" i="17"/>
  <c r="K38" i="17" s="1"/>
  <c r="H37" i="17"/>
  <c r="D37" i="17"/>
  <c r="F36" i="17"/>
  <c r="G36" i="17" s="1"/>
  <c r="L36" i="17" s="1"/>
  <c r="H35" i="17"/>
  <c r="I35" i="17" s="1"/>
  <c r="D35" i="17"/>
  <c r="F34" i="17"/>
  <c r="G34" i="17" s="1"/>
  <c r="L34" i="17" s="1"/>
  <c r="H33" i="17"/>
  <c r="I33" i="17" s="1"/>
  <c r="K33" i="17" s="1"/>
  <c r="H32" i="17"/>
  <c r="I32" i="17" s="1"/>
  <c r="F31" i="17"/>
  <c r="G31" i="17" s="1"/>
  <c r="L31" i="17" s="1"/>
  <c r="I30" i="17"/>
  <c r="K30" i="17" s="1"/>
  <c r="F29" i="17"/>
  <c r="K29" i="17" s="1"/>
  <c r="H28" i="17"/>
  <c r="I28" i="17" s="1"/>
  <c r="D28" i="17"/>
  <c r="F27" i="17"/>
  <c r="K27" i="17" s="1"/>
  <c r="F25" i="17"/>
  <c r="K25" i="17" s="1"/>
  <c r="F24" i="17"/>
  <c r="K24" i="17" s="1"/>
  <c r="F23" i="17"/>
  <c r="K23" i="17" s="1"/>
  <c r="D22" i="17"/>
  <c r="I22" i="17" s="1"/>
  <c r="F21" i="17"/>
  <c r="K21" i="17" s="1"/>
  <c r="D20" i="17"/>
  <c r="I20" i="17" s="1"/>
  <c r="F19" i="17"/>
  <c r="K19" i="17" s="1"/>
  <c r="D18" i="17"/>
  <c r="I18" i="17" s="1"/>
  <c r="F17" i="17"/>
  <c r="G17" i="17" s="1"/>
  <c r="L17" i="17" s="1"/>
  <c r="D16" i="17"/>
  <c r="I16" i="17" s="1"/>
  <c r="J16" i="17" s="1"/>
  <c r="L16" i="17" s="1"/>
  <c r="F15" i="17"/>
  <c r="K15" i="17" s="1"/>
  <c r="F14" i="17"/>
  <c r="G14" i="17" s="1"/>
  <c r="L14" i="17" s="1"/>
  <c r="F13" i="17"/>
  <c r="K13" i="17" s="1"/>
  <c r="F11" i="17"/>
  <c r="K11" i="17" s="1"/>
  <c r="F10" i="17"/>
  <c r="K10" i="17" s="1"/>
  <c r="E9" i="17"/>
  <c r="F9" i="17" s="1"/>
  <c r="A9" i="17"/>
  <c r="A10" i="17" s="1"/>
  <c r="A11" i="17" s="1"/>
  <c r="A13" i="17" s="1"/>
  <c r="A14" i="17" s="1"/>
  <c r="A15" i="17" s="1"/>
  <c r="A17" i="17" s="1"/>
  <c r="A19" i="17" s="1"/>
  <c r="A21" i="17" s="1"/>
  <c r="A23" i="17" s="1"/>
  <c r="A24" i="17" s="1"/>
  <c r="A25" i="17" s="1"/>
  <c r="A27" i="17" s="1"/>
  <c r="A29" i="17" s="1"/>
  <c r="A31" i="17" s="1"/>
  <c r="A34" i="17" s="1"/>
  <c r="A36" i="17" s="1"/>
  <c r="A38" i="17" s="1"/>
  <c r="A40" i="17" s="1"/>
  <c r="A43" i="17" s="1"/>
  <c r="F8" i="17"/>
  <c r="K8" i="17" s="1"/>
  <c r="I37" i="17" l="1"/>
  <c r="J39" i="17"/>
  <c r="L39" i="17" s="1"/>
  <c r="K31" i="17"/>
  <c r="K17" i="17"/>
  <c r="G19" i="17"/>
  <c r="L19" i="17" s="1"/>
  <c r="K14" i="17"/>
  <c r="K34" i="17"/>
  <c r="K18" i="17"/>
  <c r="J18" i="17"/>
  <c r="L18" i="17" s="1"/>
  <c r="K9" i="17"/>
  <c r="F44" i="17"/>
  <c r="G44" i="17" s="1"/>
  <c r="G9" i="17"/>
  <c r="L9" i="17" s="1"/>
  <c r="K20" i="17"/>
  <c r="J20" i="17"/>
  <c r="L20" i="17" s="1"/>
  <c r="J22" i="17"/>
  <c r="L22" i="17" s="1"/>
  <c r="K22" i="17"/>
  <c r="K35" i="17"/>
  <c r="J35" i="17"/>
  <c r="L35" i="17" s="1"/>
  <c r="J37" i="17"/>
  <c r="L37" i="17" s="1"/>
  <c r="K37" i="17"/>
  <c r="K32" i="17"/>
  <c r="J32" i="17"/>
  <c r="L32" i="17" s="1"/>
  <c r="J28" i="17"/>
  <c r="L28" i="17" s="1"/>
  <c r="K28" i="17"/>
  <c r="J33" i="17"/>
  <c r="L33" i="17" s="1"/>
  <c r="I44" i="17"/>
  <c r="J44" i="17" s="1"/>
  <c r="G10" i="17"/>
  <c r="L10" i="17" s="1"/>
  <c r="G38" i="17"/>
  <c r="L38" i="17" s="1"/>
  <c r="G13" i="17"/>
  <c r="L13" i="17" s="1"/>
  <c r="K36" i="17"/>
  <c r="G24" i="17"/>
  <c r="L24" i="17" s="1"/>
  <c r="G21" i="17"/>
  <c r="L21" i="17" s="1"/>
  <c r="G15" i="17"/>
  <c r="L15" i="17" s="1"/>
  <c r="G8" i="17"/>
  <c r="L8" i="17" s="1"/>
  <c r="G11" i="17"/>
  <c r="L11" i="17" s="1"/>
  <c r="G27" i="17"/>
  <c r="L27" i="17" s="1"/>
  <c r="G25" i="17"/>
  <c r="L25" i="17" s="1"/>
  <c r="G29" i="17"/>
  <c r="L29" i="17" s="1"/>
  <c r="G43" i="17"/>
  <c r="L43" i="17" s="1"/>
  <c r="K16" i="17"/>
  <c r="J30" i="17"/>
  <c r="L30" i="17" s="1"/>
  <c r="Z30" i="17" s="1"/>
  <c r="G23" i="17"/>
  <c r="L23" i="17" s="1"/>
  <c r="J41" i="17"/>
  <c r="L41" i="17" s="1"/>
  <c r="G40" i="17"/>
  <c r="L40" i="17" s="1"/>
  <c r="K44" i="17" l="1"/>
  <c r="L44" i="17" s="1"/>
  <c r="U61" i="16" l="1"/>
  <c r="Q60" i="16"/>
  <c r="V59" i="16"/>
  <c r="W59" i="16" s="1"/>
  <c r="S59" i="16"/>
  <c r="T59" i="16" s="1"/>
  <c r="Q58" i="16"/>
  <c r="S58" i="16" s="1"/>
  <c r="V57" i="16"/>
  <c r="S57" i="16"/>
  <c r="T57" i="16" s="1"/>
  <c r="Q56" i="16"/>
  <c r="V56" i="16" s="1"/>
  <c r="W56" i="16" s="1"/>
  <c r="V55" i="16"/>
  <c r="W55" i="16" s="1"/>
  <c r="S55" i="16"/>
  <c r="T55" i="16" s="1"/>
  <c r="Q54" i="16"/>
  <c r="V54" i="16" s="1"/>
  <c r="W54" i="16" s="1"/>
  <c r="V53" i="16"/>
  <c r="S53" i="16"/>
  <c r="T53" i="16" s="1"/>
  <c r="Q52" i="16"/>
  <c r="V52" i="16" s="1"/>
  <c r="W52" i="16" s="1"/>
  <c r="V51" i="16"/>
  <c r="W51" i="16" s="1"/>
  <c r="S51" i="16"/>
  <c r="V50" i="16"/>
  <c r="W50" i="16" s="1"/>
  <c r="S50" i="16"/>
  <c r="X50" i="16" s="1"/>
  <c r="V49" i="16"/>
  <c r="W49" i="16" s="1"/>
  <c r="S49" i="16"/>
  <c r="X49" i="16" s="1"/>
  <c r="V48" i="16"/>
  <c r="W48" i="16" s="1"/>
  <c r="S48" i="16"/>
  <c r="T48" i="16" s="1"/>
  <c r="V47" i="16"/>
  <c r="W47" i="16" s="1"/>
  <c r="S47" i="16"/>
  <c r="X47" i="16" s="1"/>
  <c r="T46" i="16"/>
  <c r="R46" i="16"/>
  <c r="Q46" i="16"/>
  <c r="V46" i="16" s="1"/>
  <c r="V45" i="16"/>
  <c r="W45" i="16" s="1"/>
  <c r="S45" i="16"/>
  <c r="T45" i="16" s="1"/>
  <c r="V44" i="16"/>
  <c r="W44" i="16" s="1"/>
  <c r="T44" i="16"/>
  <c r="S44" i="16"/>
  <c r="V43" i="16"/>
  <c r="W43" i="16" s="1"/>
  <c r="S43" i="16"/>
  <c r="X43" i="16" s="1"/>
  <c r="V42" i="16"/>
  <c r="W42" i="16" s="1"/>
  <c r="S42" i="16"/>
  <c r="V41" i="16"/>
  <c r="X41" i="16" s="1"/>
  <c r="T41" i="16"/>
  <c r="R41" i="16"/>
  <c r="V40" i="16"/>
  <c r="W40" i="16" s="1"/>
  <c r="S40" i="16"/>
  <c r="X40" i="16" s="1"/>
  <c r="Q39" i="16"/>
  <c r="V39" i="16" s="1"/>
  <c r="W39" i="16" s="1"/>
  <c r="Q38" i="16"/>
  <c r="V38" i="16" s="1"/>
  <c r="W38" i="16" s="1"/>
  <c r="V37" i="16"/>
  <c r="W37" i="16" s="1"/>
  <c r="T37" i="16"/>
  <c r="R37" i="16"/>
  <c r="V36" i="16"/>
  <c r="W36" i="16" s="1"/>
  <c r="S36" i="16"/>
  <c r="X36" i="16" s="1"/>
  <c r="V35" i="16"/>
  <c r="S35" i="16"/>
  <c r="T35" i="16" s="1"/>
  <c r="V34" i="16"/>
  <c r="W34" i="16" s="1"/>
  <c r="S34" i="16"/>
  <c r="X34" i="16" s="1"/>
  <c r="V33" i="16"/>
  <c r="W33" i="16" s="1"/>
  <c r="S33" i="16"/>
  <c r="Q32" i="16"/>
  <c r="V32" i="16" s="1"/>
  <c r="W32" i="16" s="1"/>
  <c r="V31" i="16"/>
  <c r="W31" i="16" s="1"/>
  <c r="S31" i="16"/>
  <c r="V30" i="16"/>
  <c r="W30" i="16" s="1"/>
  <c r="S30" i="16"/>
  <c r="T30" i="16" s="1"/>
  <c r="V29" i="16"/>
  <c r="W29" i="16" s="1"/>
  <c r="S29" i="16"/>
  <c r="X29" i="16" s="1"/>
  <c r="V28" i="16"/>
  <c r="W28" i="16" s="1"/>
  <c r="S28" i="16"/>
  <c r="T28" i="16" s="1"/>
  <c r="V27" i="16"/>
  <c r="W27" i="16" s="1"/>
  <c r="S27" i="16"/>
  <c r="X27" i="16" s="1"/>
  <c r="V26" i="16"/>
  <c r="S26" i="16"/>
  <c r="T26" i="16" s="1"/>
  <c r="V25" i="16"/>
  <c r="W25" i="16" s="1"/>
  <c r="S25" i="16"/>
  <c r="Q24" i="16"/>
  <c r="V24" i="16" s="1"/>
  <c r="W24" i="16" s="1"/>
  <c r="V23" i="16"/>
  <c r="W23" i="16" s="1"/>
  <c r="S23" i="16"/>
  <c r="X23" i="16" s="1"/>
  <c r="V22" i="16"/>
  <c r="W22" i="16" s="1"/>
  <c r="S22" i="16"/>
  <c r="V21" i="16"/>
  <c r="W21" i="16" s="1"/>
  <c r="S21" i="16"/>
  <c r="V20" i="16"/>
  <c r="W20" i="16" s="1"/>
  <c r="S20" i="16"/>
  <c r="T20" i="16" s="1"/>
  <c r="Y20" i="16" s="1"/>
  <c r="Q19" i="16"/>
  <c r="V19" i="16" s="1"/>
  <c r="W19" i="16" s="1"/>
  <c r="Q18" i="16"/>
  <c r="V18" i="16" s="1"/>
  <c r="W18" i="16" s="1"/>
  <c r="Q17" i="16"/>
  <c r="V17" i="16" s="1"/>
  <c r="W17" i="16" s="1"/>
  <c r="V16" i="16"/>
  <c r="W16" i="16" s="1"/>
  <c r="S16" i="16"/>
  <c r="V15" i="16"/>
  <c r="S15" i="16"/>
  <c r="T15" i="16" s="1"/>
  <c r="V14" i="16"/>
  <c r="W14" i="16" s="1"/>
  <c r="S14" i="16"/>
  <c r="X14" i="16" s="1"/>
  <c r="V13" i="16"/>
  <c r="W13" i="16" s="1"/>
  <c r="S13" i="16"/>
  <c r="T13" i="16" s="1"/>
  <c r="V12" i="16"/>
  <c r="W12" i="16" s="1"/>
  <c r="S12" i="16"/>
  <c r="R11" i="16"/>
  <c r="Q11" i="16"/>
  <c r="V11" i="16" s="1"/>
  <c r="W11" i="16" s="1"/>
  <c r="V10" i="16"/>
  <c r="W10" i="16" s="1"/>
  <c r="S10" i="16"/>
  <c r="X10" i="16" s="1"/>
  <c r="V9" i="16"/>
  <c r="S9" i="16"/>
  <c r="T9" i="16" s="1"/>
  <c r="V8" i="16"/>
  <c r="W8" i="16" s="1"/>
  <c r="R8" i="16"/>
  <c r="S8" i="16" s="1"/>
  <c r="D60" i="16"/>
  <c r="I60" i="16" s="1"/>
  <c r="F59" i="16"/>
  <c r="G59" i="16" s="1"/>
  <c r="L59" i="16" s="1"/>
  <c r="D58" i="16"/>
  <c r="I58" i="16" s="1"/>
  <c r="K58" i="16" s="1"/>
  <c r="F57" i="16"/>
  <c r="K57" i="16" s="1"/>
  <c r="D56" i="16"/>
  <c r="I56" i="16" s="1"/>
  <c r="F55" i="16"/>
  <c r="G55" i="16" s="1"/>
  <c r="L55" i="16" s="1"/>
  <c r="D54" i="16"/>
  <c r="I54" i="16" s="1"/>
  <c r="F53" i="16"/>
  <c r="K53" i="16" s="1"/>
  <c r="D52" i="16"/>
  <c r="I52" i="16" s="1"/>
  <c r="F51" i="16"/>
  <c r="K51" i="16" s="1"/>
  <c r="F50" i="16"/>
  <c r="G50" i="16" s="1"/>
  <c r="L50" i="16" s="1"/>
  <c r="F49" i="16"/>
  <c r="G49" i="16" s="1"/>
  <c r="L49" i="16" s="1"/>
  <c r="I47" i="16"/>
  <c r="J47" i="16" s="1"/>
  <c r="L47" i="16" s="1"/>
  <c r="D46" i="16"/>
  <c r="F46" i="16" s="1"/>
  <c r="I45" i="16"/>
  <c r="K45" i="16" s="1"/>
  <c r="I44" i="16"/>
  <c r="K44" i="16" s="1"/>
  <c r="I43" i="16"/>
  <c r="K43" i="16" s="1"/>
  <c r="I42" i="16"/>
  <c r="J42" i="16" s="1"/>
  <c r="L42" i="16" s="1"/>
  <c r="F41" i="16"/>
  <c r="K41" i="16" s="1"/>
  <c r="D39" i="16"/>
  <c r="F39" i="16" s="1"/>
  <c r="D38" i="16"/>
  <c r="F38" i="16" s="1"/>
  <c r="A38" i="16"/>
  <c r="A39" i="16" s="1"/>
  <c r="A41" i="16" s="1"/>
  <c r="A46" i="16" s="1"/>
  <c r="A49" i="16" s="1"/>
  <c r="A50" i="16" s="1"/>
  <c r="A51" i="16" s="1"/>
  <c r="A53" i="16" s="1"/>
  <c r="A55" i="16" s="1"/>
  <c r="A57" i="16" s="1"/>
  <c r="A59" i="16" s="1"/>
  <c r="E37" i="16"/>
  <c r="F37" i="16" s="1"/>
  <c r="G37" i="16" s="1"/>
  <c r="L37" i="16" s="1"/>
  <c r="I34" i="16"/>
  <c r="J34" i="16" s="1"/>
  <c r="L34" i="16" s="1"/>
  <c r="F33" i="16"/>
  <c r="K33" i="16" s="1"/>
  <c r="D32" i="16"/>
  <c r="I32" i="16" s="1"/>
  <c r="F31" i="16"/>
  <c r="G31" i="16" s="1"/>
  <c r="L31" i="16" s="1"/>
  <c r="F30" i="16"/>
  <c r="K30" i="16" s="1"/>
  <c r="I29" i="16"/>
  <c r="J29" i="16" s="1"/>
  <c r="L29" i="16" s="1"/>
  <c r="I28" i="16"/>
  <c r="K28" i="16" s="1"/>
  <c r="I27" i="16"/>
  <c r="J27" i="16" s="1"/>
  <c r="L27" i="16" s="1"/>
  <c r="I26" i="16"/>
  <c r="K26" i="16" s="1"/>
  <c r="I25" i="16"/>
  <c r="K25" i="16" s="1"/>
  <c r="D24" i="16"/>
  <c r="I24" i="16" s="1"/>
  <c r="F23" i="16"/>
  <c r="K23" i="16" s="1"/>
  <c r="I22" i="16"/>
  <c r="F21" i="16"/>
  <c r="G21" i="16" s="1"/>
  <c r="D19" i="16"/>
  <c r="F19" i="16" s="1"/>
  <c r="D18" i="16"/>
  <c r="F18" i="16" s="1"/>
  <c r="D17" i="16"/>
  <c r="F17" i="16" s="1"/>
  <c r="F16" i="16"/>
  <c r="G16" i="16" s="1"/>
  <c r="L16" i="16" s="1"/>
  <c r="F15" i="16"/>
  <c r="K15" i="16" s="1"/>
  <c r="F14" i="16"/>
  <c r="K14" i="16" s="1"/>
  <c r="F13" i="16"/>
  <c r="G13" i="16" s="1"/>
  <c r="L13" i="16" s="1"/>
  <c r="D11" i="16"/>
  <c r="F11" i="16" s="1"/>
  <c r="G11" i="16" s="1"/>
  <c r="L11" i="16" s="1"/>
  <c r="F9" i="16"/>
  <c r="K9" i="16" s="1"/>
  <c r="E8" i="16"/>
  <c r="F8" i="16" s="1"/>
  <c r="X53" i="16" l="1"/>
  <c r="X15" i="16"/>
  <c r="X25" i="16"/>
  <c r="X33" i="16"/>
  <c r="Y55" i="16"/>
  <c r="Y30" i="16"/>
  <c r="X37" i="16"/>
  <c r="X12" i="16"/>
  <c r="X59" i="16"/>
  <c r="X21" i="16"/>
  <c r="Y37" i="16"/>
  <c r="Z37" i="16" s="1"/>
  <c r="X46" i="16"/>
  <c r="W46" i="16"/>
  <c r="Y35" i="16"/>
  <c r="Y13" i="16"/>
  <c r="X26" i="16"/>
  <c r="W26" i="16"/>
  <c r="Y26" i="16" s="1"/>
  <c r="T33" i="16"/>
  <c r="Y33" i="16" s="1"/>
  <c r="X48" i="16"/>
  <c r="Y48" i="16"/>
  <c r="T21" i="16"/>
  <c r="Y21" i="16" s="1"/>
  <c r="Z21" i="16" s="1"/>
  <c r="W53" i="16"/>
  <c r="Y53" i="16" s="1"/>
  <c r="G9" i="16"/>
  <c r="L9" i="16" s="1"/>
  <c r="T49" i="16"/>
  <c r="Y49" i="16" s="1"/>
  <c r="W15" i="16"/>
  <c r="Y15" i="16" s="1"/>
  <c r="Y28" i="16"/>
  <c r="Y44" i="16"/>
  <c r="S38" i="16"/>
  <c r="T38" i="16" s="1"/>
  <c r="Y38" i="16" s="1"/>
  <c r="T50" i="16"/>
  <c r="Y50" i="16" s="1"/>
  <c r="S11" i="16"/>
  <c r="X11" i="16" s="1"/>
  <c r="S24" i="16"/>
  <c r="X28" i="16"/>
  <c r="X57" i="16"/>
  <c r="T40" i="16"/>
  <c r="Y40" i="16" s="1"/>
  <c r="W57" i="16"/>
  <c r="Y57" i="16" s="1"/>
  <c r="X35" i="16"/>
  <c r="X30" i="16"/>
  <c r="W35" i="16"/>
  <c r="Y59" i="16"/>
  <c r="X20" i="16"/>
  <c r="X16" i="16"/>
  <c r="T16" i="16"/>
  <c r="Y16" i="16" s="1"/>
  <c r="S18" i="16"/>
  <c r="W9" i="16"/>
  <c r="Y9" i="16" s="1"/>
  <c r="X13" i="16"/>
  <c r="X9" i="16"/>
  <c r="T42" i="16"/>
  <c r="Y42" i="16" s="1"/>
  <c r="X42" i="16"/>
  <c r="G14" i="16"/>
  <c r="L14" i="16" s="1"/>
  <c r="T58" i="16"/>
  <c r="T22" i="16"/>
  <c r="Y22" i="16" s="1"/>
  <c r="X22" i="16"/>
  <c r="K27" i="16"/>
  <c r="X55" i="16"/>
  <c r="X8" i="16"/>
  <c r="T8" i="16"/>
  <c r="T51" i="16"/>
  <c r="Y51" i="16" s="1"/>
  <c r="X51" i="16"/>
  <c r="K55" i="16"/>
  <c r="T29" i="16"/>
  <c r="Y29" i="16" s="1"/>
  <c r="X44" i="16"/>
  <c r="V60" i="16"/>
  <c r="W60" i="16" s="1"/>
  <c r="S60" i="16"/>
  <c r="T31" i="16"/>
  <c r="Y31" i="16" s="1"/>
  <c r="X31" i="16"/>
  <c r="Y45" i="16"/>
  <c r="T27" i="16"/>
  <c r="Y27" i="16" s="1"/>
  <c r="T36" i="16"/>
  <c r="Y36" i="16" s="1"/>
  <c r="T47" i="16"/>
  <c r="Y47" i="16" s="1"/>
  <c r="K59" i="16"/>
  <c r="T14" i="16"/>
  <c r="Y14" i="16" s="1"/>
  <c r="S56" i="16"/>
  <c r="T25" i="16"/>
  <c r="Y25" i="16" s="1"/>
  <c r="T34" i="16"/>
  <c r="Y34" i="16" s="1"/>
  <c r="S54" i="16"/>
  <c r="V58" i="16"/>
  <c r="W58" i="16" s="1"/>
  <c r="K47" i="16"/>
  <c r="T10" i="16"/>
  <c r="Y10" i="16" s="1"/>
  <c r="T12" i="16"/>
  <c r="Y12" i="16" s="1"/>
  <c r="T23" i="16"/>
  <c r="Y23" i="16" s="1"/>
  <c r="S32" i="16"/>
  <c r="T43" i="16"/>
  <c r="Y43" i="16" s="1"/>
  <c r="S52" i="16"/>
  <c r="X45" i="16"/>
  <c r="K31" i="16"/>
  <c r="S19" i="16"/>
  <c r="S39" i="16"/>
  <c r="W41" i="16"/>
  <c r="Y41" i="16" s="1"/>
  <c r="K34" i="16"/>
  <c r="S17" i="16"/>
  <c r="I61" i="16"/>
  <c r="J61" i="16" s="1"/>
  <c r="K54" i="16"/>
  <c r="J54" i="16"/>
  <c r="L54" i="16" s="1"/>
  <c r="G18" i="16"/>
  <c r="L18" i="16" s="1"/>
  <c r="K18" i="16"/>
  <c r="J60" i="16"/>
  <c r="L60" i="16" s="1"/>
  <c r="K60" i="16"/>
  <c r="K17" i="16"/>
  <c r="G17" i="16"/>
  <c r="L17" i="16" s="1"/>
  <c r="G19" i="16"/>
  <c r="L19" i="16" s="1"/>
  <c r="K19" i="16"/>
  <c r="K8" i="16"/>
  <c r="G8" i="16"/>
  <c r="L8" i="16" s="1"/>
  <c r="F61" i="16"/>
  <c r="G61" i="16" s="1"/>
  <c r="K39" i="16"/>
  <c r="G39" i="16"/>
  <c r="L39" i="16" s="1"/>
  <c r="K56" i="16"/>
  <c r="J56" i="16"/>
  <c r="L56" i="16" s="1"/>
  <c r="K52" i="16"/>
  <c r="J52" i="16"/>
  <c r="L52" i="16" s="1"/>
  <c r="K24" i="16"/>
  <c r="J24" i="16"/>
  <c r="L24" i="16" s="1"/>
  <c r="G46" i="16"/>
  <c r="L46" i="16" s="1"/>
  <c r="Y46" i="16" s="1"/>
  <c r="K46" i="16"/>
  <c r="K32" i="16"/>
  <c r="J32" i="16"/>
  <c r="L32" i="16" s="1"/>
  <c r="K38" i="16"/>
  <c r="G38" i="16"/>
  <c r="L38" i="16" s="1"/>
  <c r="G15" i="16"/>
  <c r="L15" i="16" s="1"/>
  <c r="K37" i="16"/>
  <c r="G41" i="16"/>
  <c r="L41" i="16" s="1"/>
  <c r="J45" i="16"/>
  <c r="L45" i="16" s="1"/>
  <c r="K49" i="16"/>
  <c r="J28" i="16"/>
  <c r="L28" i="16" s="1"/>
  <c r="K11" i="16"/>
  <c r="G57" i="16"/>
  <c r="L57" i="16" s="1"/>
  <c r="G53" i="16"/>
  <c r="L53" i="16" s="1"/>
  <c r="K16" i="16"/>
  <c r="K29" i="16"/>
  <c r="K13" i="16"/>
  <c r="J22" i="16"/>
  <c r="L22" i="16" s="1"/>
  <c r="J43" i="16"/>
  <c r="L43" i="16" s="1"/>
  <c r="K22" i="16"/>
  <c r="J26" i="16"/>
  <c r="L26" i="16" s="1"/>
  <c r="G30" i="16"/>
  <c r="L30" i="16" s="1"/>
  <c r="G51" i="16"/>
  <c r="L51" i="16" s="1"/>
  <c r="J25" i="16"/>
  <c r="L25" i="16" s="1"/>
  <c r="K42" i="16"/>
  <c r="K50" i="16"/>
  <c r="G33" i="16"/>
  <c r="L33" i="16" s="1"/>
  <c r="G23" i="16"/>
  <c r="L23" i="16" s="1"/>
  <c r="J44" i="16"/>
  <c r="L44" i="16" s="1"/>
  <c r="J58" i="16"/>
  <c r="L58" i="16" s="1"/>
  <c r="V61" i="16" l="1"/>
  <c r="X38" i="16"/>
  <c r="Z41" i="16"/>
  <c r="T11" i="16"/>
  <c r="Y11" i="16" s="1"/>
  <c r="X24" i="16"/>
  <c r="T24" i="16"/>
  <c r="Y24" i="16" s="1"/>
  <c r="S61" i="16"/>
  <c r="Y8" i="16"/>
  <c r="X58" i="16"/>
  <c r="X32" i="16"/>
  <c r="T32" i="16"/>
  <c r="Y32" i="16" s="1"/>
  <c r="W61" i="16"/>
  <c r="X54" i="16"/>
  <c r="T54" i="16"/>
  <c r="Y54" i="16" s="1"/>
  <c r="Y58" i="16"/>
  <c r="T18" i="16"/>
  <c r="Y18" i="16" s="1"/>
  <c r="X18" i="16"/>
  <c r="X17" i="16"/>
  <c r="T17" i="16"/>
  <c r="Y17" i="16" s="1"/>
  <c r="X60" i="16"/>
  <c r="T60" i="16"/>
  <c r="Y60" i="16" s="1"/>
  <c r="X52" i="16"/>
  <c r="T52" i="16"/>
  <c r="Y52" i="16" s="1"/>
  <c r="X39" i="16"/>
  <c r="T39" i="16"/>
  <c r="Y39" i="16" s="1"/>
  <c r="X56" i="16"/>
  <c r="T56" i="16"/>
  <c r="Y56" i="16" s="1"/>
  <c r="X19" i="16"/>
  <c r="T19" i="16"/>
  <c r="Y19" i="16" s="1"/>
  <c r="K61" i="16"/>
  <c r="L61" i="16" s="1"/>
  <c r="X61" i="16" l="1"/>
  <c r="T61" i="16"/>
  <c r="Y61" i="16"/>
  <c r="Q18" i="14" l="1"/>
  <c r="U10" i="15"/>
  <c r="U11" i="15"/>
  <c r="U12" i="15"/>
  <c r="U13" i="15"/>
  <c r="U14" i="15"/>
  <c r="U15" i="15"/>
  <c r="U16" i="15"/>
  <c r="U17" i="15"/>
  <c r="U18" i="15"/>
  <c r="U19" i="15"/>
  <c r="U20" i="15"/>
  <c r="V20" i="15" s="1"/>
  <c r="W20" i="15" s="1"/>
  <c r="U21" i="15"/>
  <c r="V21" i="15" s="1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V36" i="15" s="1"/>
  <c r="W36" i="15" s="1"/>
  <c r="U37" i="15"/>
  <c r="V37" i="15" s="1"/>
  <c r="W37" i="15" s="1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V53" i="15" s="1"/>
  <c r="W53" i="15" s="1"/>
  <c r="U54" i="15"/>
  <c r="V54" i="15" s="1"/>
  <c r="W54" i="15" s="1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V69" i="15" s="1"/>
  <c r="W69" i="15" s="1"/>
  <c r="U70" i="15"/>
  <c r="V70" i="15" s="1"/>
  <c r="W70" i="15" s="1"/>
  <c r="U71" i="15"/>
  <c r="U72" i="15"/>
  <c r="U73" i="15"/>
  <c r="U74" i="15"/>
  <c r="U75" i="15"/>
  <c r="U76" i="15"/>
  <c r="U77" i="15"/>
  <c r="U78" i="15"/>
  <c r="U79" i="15"/>
  <c r="U80" i="15"/>
  <c r="U81" i="15"/>
  <c r="U82" i="15"/>
  <c r="U83" i="15"/>
  <c r="U84" i="15"/>
  <c r="U85" i="15"/>
  <c r="U86" i="15"/>
  <c r="V86" i="15" s="1"/>
  <c r="W86" i="15" s="1"/>
  <c r="U87" i="15"/>
  <c r="U88" i="15"/>
  <c r="U89" i="15"/>
  <c r="U90" i="15"/>
  <c r="U91" i="15"/>
  <c r="U92" i="15"/>
  <c r="U93" i="15"/>
  <c r="U94" i="15"/>
  <c r="U95" i="15"/>
  <c r="U96" i="15"/>
  <c r="U97" i="15"/>
  <c r="U98" i="15"/>
  <c r="U99" i="15"/>
  <c r="U100" i="15"/>
  <c r="U101" i="15"/>
  <c r="U102" i="15"/>
  <c r="V102" i="15" s="1"/>
  <c r="U103" i="15"/>
  <c r="U104" i="15"/>
  <c r="U105" i="15"/>
  <c r="U106" i="15"/>
  <c r="U107" i="15"/>
  <c r="U108" i="15"/>
  <c r="U109" i="15"/>
  <c r="U110" i="15"/>
  <c r="U111" i="15"/>
  <c r="U112" i="15"/>
  <c r="U113" i="15"/>
  <c r="V113" i="15" s="1"/>
  <c r="W113" i="15" s="1"/>
  <c r="U114" i="15"/>
  <c r="U115" i="15"/>
  <c r="U9" i="15"/>
  <c r="Q10" i="15"/>
  <c r="V10" i="15" s="1"/>
  <c r="W10" i="15" s="1"/>
  <c r="R10" i="15"/>
  <c r="S10" i="15" s="1"/>
  <c r="Q11" i="15"/>
  <c r="V11" i="15" s="1"/>
  <c r="W11" i="15" s="1"/>
  <c r="R11" i="15"/>
  <c r="R12" i="15"/>
  <c r="Q13" i="15"/>
  <c r="R13" i="15"/>
  <c r="S13" i="15" s="1"/>
  <c r="Q14" i="15"/>
  <c r="S14" i="15" s="1"/>
  <c r="R14" i="15"/>
  <c r="Q15" i="15"/>
  <c r="V15" i="15" s="1"/>
  <c r="W15" i="15" s="1"/>
  <c r="R15" i="15"/>
  <c r="Q16" i="15"/>
  <c r="V16" i="15" s="1"/>
  <c r="W16" i="15" s="1"/>
  <c r="R16" i="15"/>
  <c r="Q17" i="15"/>
  <c r="V17" i="15" s="1"/>
  <c r="R17" i="15"/>
  <c r="S17" i="15" s="1"/>
  <c r="T17" i="15" s="1"/>
  <c r="Q18" i="15"/>
  <c r="R18" i="15"/>
  <c r="Q19" i="15"/>
  <c r="R19" i="15"/>
  <c r="S19" i="15" s="1"/>
  <c r="T19" i="15" s="1"/>
  <c r="Q20" i="15"/>
  <c r="R20" i="15"/>
  <c r="Q21" i="15"/>
  <c r="R21" i="15"/>
  <c r="Q22" i="15"/>
  <c r="R22" i="15"/>
  <c r="R23" i="15"/>
  <c r="Q24" i="15"/>
  <c r="R24" i="15"/>
  <c r="Q25" i="15"/>
  <c r="R25" i="15"/>
  <c r="R26" i="15"/>
  <c r="Q27" i="15"/>
  <c r="R27" i="15"/>
  <c r="Q28" i="15"/>
  <c r="R28" i="15"/>
  <c r="Q29" i="15"/>
  <c r="R29" i="15"/>
  <c r="Q30" i="15"/>
  <c r="S30" i="15" s="1"/>
  <c r="T30" i="15" s="1"/>
  <c r="R30" i="15"/>
  <c r="Q31" i="15"/>
  <c r="R31" i="15"/>
  <c r="Q32" i="15"/>
  <c r="V32" i="15" s="1"/>
  <c r="W32" i="15" s="1"/>
  <c r="R32" i="15"/>
  <c r="R33" i="15"/>
  <c r="Q34" i="15"/>
  <c r="V34" i="15" s="1"/>
  <c r="W34" i="15" s="1"/>
  <c r="R34" i="15"/>
  <c r="Q35" i="15"/>
  <c r="S35" i="15" s="1"/>
  <c r="R35" i="15"/>
  <c r="Q36" i="15"/>
  <c r="R36" i="15"/>
  <c r="S36" i="15" s="1"/>
  <c r="Q37" i="15"/>
  <c r="R37" i="15"/>
  <c r="Q38" i="15"/>
  <c r="R38" i="15"/>
  <c r="Q39" i="15"/>
  <c r="R39" i="15"/>
  <c r="Q40" i="15"/>
  <c r="R40" i="15"/>
  <c r="Q41" i="15"/>
  <c r="R41" i="15"/>
  <c r="Q42" i="15"/>
  <c r="S42" i="15" s="1"/>
  <c r="R42" i="15"/>
  <c r="Q43" i="15"/>
  <c r="R43" i="15"/>
  <c r="S43" i="15" s="1"/>
  <c r="Q44" i="15"/>
  <c r="R44" i="15"/>
  <c r="S44" i="15" s="1"/>
  <c r="T44" i="15" s="1"/>
  <c r="Q45" i="15"/>
  <c r="R45" i="15"/>
  <c r="Q46" i="15"/>
  <c r="V46" i="15" s="1"/>
  <c r="W46" i="15" s="1"/>
  <c r="R46" i="15"/>
  <c r="Q47" i="15"/>
  <c r="V47" i="15" s="1"/>
  <c r="W47" i="15" s="1"/>
  <c r="R47" i="15"/>
  <c r="Q48" i="15"/>
  <c r="V48" i="15" s="1"/>
  <c r="W48" i="15" s="1"/>
  <c r="R48" i="15"/>
  <c r="Q49" i="15"/>
  <c r="R49" i="15"/>
  <c r="Q50" i="15"/>
  <c r="V50" i="15" s="1"/>
  <c r="R50" i="15"/>
  <c r="S50" i="15" s="1"/>
  <c r="T50" i="15" s="1"/>
  <c r="Q51" i="15"/>
  <c r="V51" i="15" s="1"/>
  <c r="R51" i="15"/>
  <c r="S51" i="15" s="1"/>
  <c r="T51" i="15" s="1"/>
  <c r="Q52" i="15"/>
  <c r="R52" i="15"/>
  <c r="S52" i="15" s="1"/>
  <c r="Q53" i="15"/>
  <c r="R53" i="15"/>
  <c r="Q54" i="15"/>
  <c r="R54" i="15"/>
  <c r="Q55" i="15"/>
  <c r="R55" i="15"/>
  <c r="Q56" i="15"/>
  <c r="R56" i="15"/>
  <c r="Q57" i="15"/>
  <c r="S57" i="15" s="1"/>
  <c r="T57" i="15" s="1"/>
  <c r="R57" i="15"/>
  <c r="Q58" i="15"/>
  <c r="R58" i="15"/>
  <c r="Q59" i="15"/>
  <c r="S59" i="15" s="1"/>
  <c r="T59" i="15" s="1"/>
  <c r="R59" i="15"/>
  <c r="R60" i="15"/>
  <c r="Q61" i="15"/>
  <c r="R61" i="15"/>
  <c r="Q62" i="15"/>
  <c r="S62" i="15" s="1"/>
  <c r="R62" i="15"/>
  <c r="Q63" i="15"/>
  <c r="R63" i="15"/>
  <c r="Q64" i="15"/>
  <c r="V64" i="15" s="1"/>
  <c r="W64" i="15" s="1"/>
  <c r="R64" i="15"/>
  <c r="Q65" i="15"/>
  <c r="R65" i="15"/>
  <c r="Q66" i="15"/>
  <c r="V66" i="15" s="1"/>
  <c r="W66" i="15" s="1"/>
  <c r="R66" i="15"/>
  <c r="Q67" i="15"/>
  <c r="R67" i="15"/>
  <c r="Q68" i="15"/>
  <c r="R68" i="15"/>
  <c r="R69" i="15"/>
  <c r="R70" i="15"/>
  <c r="R72" i="15"/>
  <c r="S72" i="15" s="1"/>
  <c r="T72" i="15" s="1"/>
  <c r="Q73" i="15"/>
  <c r="R73" i="15"/>
  <c r="Q74" i="15"/>
  <c r="R74" i="15"/>
  <c r="Q75" i="15"/>
  <c r="S75" i="15" s="1"/>
  <c r="R75" i="15"/>
  <c r="Q76" i="15"/>
  <c r="R76" i="15"/>
  <c r="Q77" i="15"/>
  <c r="V77" i="15" s="1"/>
  <c r="W77" i="15" s="1"/>
  <c r="R77" i="15"/>
  <c r="Q78" i="15"/>
  <c r="V78" i="15" s="1"/>
  <c r="W78" i="15" s="1"/>
  <c r="R78" i="15"/>
  <c r="Q79" i="15"/>
  <c r="V79" i="15" s="1"/>
  <c r="W79" i="15" s="1"/>
  <c r="R79" i="15"/>
  <c r="Q80" i="15"/>
  <c r="R80" i="15"/>
  <c r="Q81" i="15"/>
  <c r="R81" i="15"/>
  <c r="S81" i="15" s="1"/>
  <c r="Q82" i="15"/>
  <c r="R82" i="15"/>
  <c r="S82" i="15" s="1"/>
  <c r="Q83" i="15"/>
  <c r="V83" i="15" s="1"/>
  <c r="W83" i="15" s="1"/>
  <c r="R83" i="15"/>
  <c r="S83" i="15" s="1"/>
  <c r="Q84" i="15"/>
  <c r="V84" i="15" s="1"/>
  <c r="W84" i="15" s="1"/>
  <c r="R84" i="15"/>
  <c r="Q85" i="15"/>
  <c r="S85" i="15" s="1"/>
  <c r="R85" i="15"/>
  <c r="Q86" i="15"/>
  <c r="R86" i="15"/>
  <c r="Q87" i="15"/>
  <c r="R87" i="15"/>
  <c r="Q88" i="15"/>
  <c r="R88" i="15"/>
  <c r="Q89" i="15"/>
  <c r="R89" i="15"/>
  <c r="S89" i="15" s="1"/>
  <c r="T89" i="15" s="1"/>
  <c r="Q90" i="15"/>
  <c r="R90" i="15"/>
  <c r="S90" i="15" s="1"/>
  <c r="Q91" i="15"/>
  <c r="R91" i="15"/>
  <c r="S91" i="15" s="1"/>
  <c r="Q92" i="15"/>
  <c r="V92" i="15" s="1"/>
  <c r="W92" i="15" s="1"/>
  <c r="R92" i="15"/>
  <c r="S92" i="15" s="1"/>
  <c r="Q93" i="15"/>
  <c r="R93" i="15"/>
  <c r="Q94" i="15"/>
  <c r="R94" i="15"/>
  <c r="Q95" i="15"/>
  <c r="V95" i="15" s="1"/>
  <c r="W95" i="15" s="1"/>
  <c r="R95" i="15"/>
  <c r="R96" i="15"/>
  <c r="Q97" i="15"/>
  <c r="R97" i="15"/>
  <c r="Q98" i="15"/>
  <c r="R98" i="15"/>
  <c r="Q99" i="15"/>
  <c r="V99" i="15" s="1"/>
  <c r="W99" i="15" s="1"/>
  <c r="R99" i="15"/>
  <c r="S99" i="15" s="1"/>
  <c r="Q100" i="15"/>
  <c r="R100" i="15"/>
  <c r="Q101" i="15"/>
  <c r="V101" i="15" s="1"/>
  <c r="W101" i="15" s="1"/>
  <c r="R101" i="15"/>
  <c r="Q102" i="15"/>
  <c r="S102" i="15" s="1"/>
  <c r="T102" i="15" s="1"/>
  <c r="R102" i="15"/>
  <c r="Q103" i="15"/>
  <c r="R103" i="15"/>
  <c r="S103" i="15" s="1"/>
  <c r="Q104" i="15"/>
  <c r="R104" i="15"/>
  <c r="Q105" i="15"/>
  <c r="R105" i="15"/>
  <c r="R106" i="15"/>
  <c r="R107" i="15"/>
  <c r="Q108" i="15"/>
  <c r="R108" i="15"/>
  <c r="Q109" i="15"/>
  <c r="V109" i="15" s="1"/>
  <c r="W109" i="15" s="1"/>
  <c r="R109" i="15"/>
  <c r="Q110" i="15"/>
  <c r="V110" i="15" s="1"/>
  <c r="W110" i="15" s="1"/>
  <c r="R110" i="15"/>
  <c r="Q111" i="15"/>
  <c r="R111" i="15"/>
  <c r="Q112" i="15"/>
  <c r="R112" i="15"/>
  <c r="Q113" i="15"/>
  <c r="S113" i="15" s="1"/>
  <c r="R113" i="15"/>
  <c r="Q114" i="15"/>
  <c r="R114" i="15"/>
  <c r="Q115" i="15"/>
  <c r="S115" i="15" s="1"/>
  <c r="R115" i="15"/>
  <c r="R9" i="15"/>
  <c r="Q9" i="15"/>
  <c r="V115" i="15"/>
  <c r="W115" i="15" s="1"/>
  <c r="S114" i="15"/>
  <c r="V98" i="15"/>
  <c r="S98" i="15"/>
  <c r="T98" i="15" s="1"/>
  <c r="V97" i="15"/>
  <c r="W97" i="15" s="1"/>
  <c r="V94" i="15"/>
  <c r="W94" i="15" s="1"/>
  <c r="S94" i="15"/>
  <c r="X94" i="15" s="1"/>
  <c r="S93" i="15"/>
  <c r="T93" i="15" s="1"/>
  <c r="V90" i="15"/>
  <c r="W90" i="15" s="1"/>
  <c r="S86" i="15"/>
  <c r="V82" i="15"/>
  <c r="W82" i="15" s="1"/>
  <c r="S74" i="15"/>
  <c r="S70" i="15"/>
  <c r="S69" i="15"/>
  <c r="V68" i="15"/>
  <c r="W68" i="15" s="1"/>
  <c r="V67" i="15"/>
  <c r="W67" i="15" s="1"/>
  <c r="S67" i="15"/>
  <c r="T67" i="15" s="1"/>
  <c r="V61" i="15"/>
  <c r="W61" i="15" s="1"/>
  <c r="S61" i="15"/>
  <c r="S53" i="15"/>
  <c r="T53" i="15" s="1"/>
  <c r="V52" i="15"/>
  <c r="W52" i="15" s="1"/>
  <c r="V45" i="15"/>
  <c r="W45" i="15" s="1"/>
  <c r="S45" i="15"/>
  <c r="V44" i="15"/>
  <c r="W44" i="15" s="1"/>
  <c r="S37" i="15"/>
  <c r="T37" i="15" s="1"/>
  <c r="V30" i="15"/>
  <c r="V29" i="15"/>
  <c r="W29" i="15" s="1"/>
  <c r="S29" i="15"/>
  <c r="V28" i="15"/>
  <c r="W28" i="15" s="1"/>
  <c r="S28" i="15"/>
  <c r="S20" i="15"/>
  <c r="V18" i="15"/>
  <c r="W18" i="15" s="1"/>
  <c r="S18" i="15"/>
  <c r="V14" i="15"/>
  <c r="W14" i="15" s="1"/>
  <c r="V13" i="15"/>
  <c r="W13" i="15" s="1"/>
  <c r="F115" i="15"/>
  <c r="G115" i="15" s="1"/>
  <c r="L115" i="15" s="1"/>
  <c r="F114" i="15"/>
  <c r="K114" i="15" s="1"/>
  <c r="F113" i="15"/>
  <c r="K113" i="15" s="1"/>
  <c r="F112" i="15"/>
  <c r="K112" i="15" s="1"/>
  <c r="I111" i="15"/>
  <c r="F110" i="15"/>
  <c r="G110" i="15" s="1"/>
  <c r="L110" i="15" s="1"/>
  <c r="F109" i="15"/>
  <c r="D107" i="15"/>
  <c r="Q107" i="15" s="1"/>
  <c r="D106" i="15"/>
  <c r="Q106" i="15" s="1"/>
  <c r="D105" i="15"/>
  <c r="F105" i="15" s="1"/>
  <c r="G105" i="15" s="1"/>
  <c r="L105" i="15" s="1"/>
  <c r="F104" i="15"/>
  <c r="E103" i="15"/>
  <c r="F103" i="15" s="1"/>
  <c r="F101" i="15"/>
  <c r="K101" i="15" s="1"/>
  <c r="F100" i="15"/>
  <c r="F99" i="15"/>
  <c r="K99" i="15" s="1"/>
  <c r="D97" i="15"/>
  <c r="F97" i="15" s="1"/>
  <c r="G97" i="15" s="1"/>
  <c r="L97" i="15" s="1"/>
  <c r="D96" i="15"/>
  <c r="F96" i="15" s="1"/>
  <c r="F95" i="15"/>
  <c r="G95" i="15" s="1"/>
  <c r="L95" i="15" s="1"/>
  <c r="F94" i="15"/>
  <c r="K94" i="15" s="1"/>
  <c r="F93" i="15"/>
  <c r="F92" i="15"/>
  <c r="K92" i="15" s="1"/>
  <c r="F91" i="15"/>
  <c r="G91" i="15" s="1"/>
  <c r="L91" i="15" s="1"/>
  <c r="F88" i="15"/>
  <c r="K88" i="15" s="1"/>
  <c r="F87" i="15"/>
  <c r="G87" i="15" s="1"/>
  <c r="L87" i="15" s="1"/>
  <c r="F86" i="15"/>
  <c r="K86" i="15" s="1"/>
  <c r="F85" i="15"/>
  <c r="K85" i="15" s="1"/>
  <c r="F84" i="15"/>
  <c r="K84" i="15" s="1"/>
  <c r="F82" i="15"/>
  <c r="F81" i="15"/>
  <c r="G81" i="15" s="1"/>
  <c r="L81" i="15" s="1"/>
  <c r="F79" i="15"/>
  <c r="K79" i="15" s="1"/>
  <c r="F78" i="15"/>
  <c r="K78" i="15" s="1"/>
  <c r="D77" i="15"/>
  <c r="F77" i="15" s="1"/>
  <c r="E76" i="15"/>
  <c r="F76" i="15" s="1"/>
  <c r="K76" i="15" s="1"/>
  <c r="F75" i="15"/>
  <c r="F74" i="15"/>
  <c r="I72" i="15"/>
  <c r="K72" i="15" s="1"/>
  <c r="E71" i="15"/>
  <c r="F71" i="15" s="1"/>
  <c r="I70" i="15"/>
  <c r="K70" i="15" s="1"/>
  <c r="D69" i="15"/>
  <c r="I69" i="15" s="1"/>
  <c r="I68" i="15"/>
  <c r="K68" i="15" s="1"/>
  <c r="I67" i="15"/>
  <c r="K67" i="15" s="1"/>
  <c r="F66" i="15"/>
  <c r="G66" i="15" s="1"/>
  <c r="L66" i="15" s="1"/>
  <c r="F65" i="15"/>
  <c r="K65" i="15" s="1"/>
  <c r="F64" i="15"/>
  <c r="K64" i="15" s="1"/>
  <c r="I62" i="15"/>
  <c r="K62" i="15" s="1"/>
  <c r="F61" i="15"/>
  <c r="D60" i="15"/>
  <c r="I60" i="15" s="1"/>
  <c r="F59" i="15"/>
  <c r="G59" i="15" s="1"/>
  <c r="L59" i="15" s="1"/>
  <c r="D58" i="15"/>
  <c r="I58" i="15" s="1"/>
  <c r="F57" i="15"/>
  <c r="G57" i="15" s="1"/>
  <c r="L57" i="15" s="1"/>
  <c r="F56" i="15"/>
  <c r="K56" i="15" s="1"/>
  <c r="I54" i="15"/>
  <c r="K54" i="15" s="1"/>
  <c r="I53" i="15"/>
  <c r="K53" i="15" s="1"/>
  <c r="F52" i="15"/>
  <c r="G52" i="15" s="1"/>
  <c r="L52" i="15" s="1"/>
  <c r="F51" i="15"/>
  <c r="F49" i="15"/>
  <c r="F48" i="15"/>
  <c r="K48" i="15" s="1"/>
  <c r="F47" i="15"/>
  <c r="G47" i="15" s="1"/>
  <c r="L47" i="15" s="1"/>
  <c r="F46" i="15"/>
  <c r="K46" i="15" s="1"/>
  <c r="F45" i="15"/>
  <c r="G45" i="15" s="1"/>
  <c r="L45" i="15" s="1"/>
  <c r="F43" i="15"/>
  <c r="K43" i="15" s="1"/>
  <c r="F41" i="15"/>
  <c r="K41" i="15" s="1"/>
  <c r="F39" i="15"/>
  <c r="G39" i="15" s="1"/>
  <c r="L39" i="15" s="1"/>
  <c r="I38" i="15"/>
  <c r="F37" i="15"/>
  <c r="G37" i="15" s="1"/>
  <c r="L37" i="15" s="1"/>
  <c r="D35" i="15"/>
  <c r="F35" i="15" s="1"/>
  <c r="F34" i="15"/>
  <c r="K34" i="15" s="1"/>
  <c r="D33" i="15"/>
  <c r="F33" i="15" s="1"/>
  <c r="K33" i="15" s="1"/>
  <c r="F31" i="15"/>
  <c r="K31" i="15" s="1"/>
  <c r="F30" i="15"/>
  <c r="K30" i="15" s="1"/>
  <c r="F29" i="15"/>
  <c r="G29" i="15" s="1"/>
  <c r="L29" i="15" s="1"/>
  <c r="F28" i="15"/>
  <c r="G28" i="15" s="1"/>
  <c r="L28" i="15" s="1"/>
  <c r="D26" i="15"/>
  <c r="I26" i="15" s="1"/>
  <c r="F25" i="15"/>
  <c r="F24" i="15"/>
  <c r="K24" i="15" s="1"/>
  <c r="D23" i="15"/>
  <c r="I23" i="15" s="1"/>
  <c r="F22" i="15"/>
  <c r="G22" i="15" s="1"/>
  <c r="L22" i="15" s="1"/>
  <c r="I21" i="15"/>
  <c r="F20" i="15"/>
  <c r="K20" i="15" s="1"/>
  <c r="D19" i="15"/>
  <c r="I19" i="15" s="1"/>
  <c r="F18" i="15"/>
  <c r="G18" i="15" s="1"/>
  <c r="L18" i="15" s="1"/>
  <c r="F16" i="15"/>
  <c r="G16" i="15" s="1"/>
  <c r="L16" i="15" s="1"/>
  <c r="F15" i="15"/>
  <c r="F14" i="15"/>
  <c r="G14" i="15" s="1"/>
  <c r="L14" i="15" s="1"/>
  <c r="F13" i="15"/>
  <c r="G13" i="15" s="1"/>
  <c r="L13" i="15" s="1"/>
  <c r="D12" i="15"/>
  <c r="F12" i="15" s="1"/>
  <c r="D11" i="15"/>
  <c r="F11" i="15" s="1"/>
  <c r="K11" i="15" s="1"/>
  <c r="F10" i="15"/>
  <c r="G10" i="15" s="1"/>
  <c r="L10" i="15" s="1"/>
  <c r="A10" i="15"/>
  <c r="A11" i="15" s="1"/>
  <c r="A12" i="15" s="1"/>
  <c r="A13" i="15" s="1"/>
  <c r="A14" i="15" s="1"/>
  <c r="A15" i="15" s="1"/>
  <c r="A16" i="15" s="1"/>
  <c r="A18" i="15" s="1"/>
  <c r="A20" i="15" s="1"/>
  <c r="A22" i="15" s="1"/>
  <c r="A24" i="15" s="1"/>
  <c r="A25" i="15" s="1"/>
  <c r="A28" i="15" s="1"/>
  <c r="A29" i="15" s="1"/>
  <c r="A30" i="15" s="1"/>
  <c r="A31" i="15" s="1"/>
  <c r="A33" i="15" s="1"/>
  <c r="A34" i="15" s="1"/>
  <c r="A35" i="15" s="1"/>
  <c r="A37" i="15" s="1"/>
  <c r="A39" i="15" s="1"/>
  <c r="A41" i="15" s="1"/>
  <c r="A43" i="15" s="1"/>
  <c r="A45" i="15" s="1"/>
  <c r="A46" i="15" s="1"/>
  <c r="A47" i="15" s="1"/>
  <c r="A48" i="15" s="1"/>
  <c r="A49" i="15" s="1"/>
  <c r="A51" i="15" s="1"/>
  <c r="A52" i="15" s="1"/>
  <c r="A56" i="15" s="1"/>
  <c r="A57" i="15" s="1"/>
  <c r="A59" i="15" s="1"/>
  <c r="A61" i="15" s="1"/>
  <c r="A64" i="15" s="1"/>
  <c r="A65" i="15" s="1"/>
  <c r="A66" i="15" s="1"/>
  <c r="A71" i="15" s="1"/>
  <c r="A74" i="15" s="1"/>
  <c r="A75" i="15" s="1"/>
  <c r="A76" i="15" s="1"/>
  <c r="A77" i="15" s="1"/>
  <c r="A78" i="15" s="1"/>
  <c r="A79" i="15" s="1"/>
  <c r="A81" i="15" s="1"/>
  <c r="A82" i="15" s="1"/>
  <c r="A84" i="15" s="1"/>
  <c r="A85" i="15" s="1"/>
  <c r="A86" i="15" s="1"/>
  <c r="A87" i="15" s="1"/>
  <c r="A88" i="15" s="1"/>
  <c r="A91" i="15" s="1"/>
  <c r="A92" i="15" s="1"/>
  <c r="A93" i="15" s="1"/>
  <c r="A94" i="15" s="1"/>
  <c r="A95" i="15" s="1"/>
  <c r="A96" i="15" s="1"/>
  <c r="F9" i="15"/>
  <c r="S108" i="15" l="1"/>
  <c r="T108" i="15" s="1"/>
  <c r="S76" i="15"/>
  <c r="T76" i="15" s="1"/>
  <c r="X10" i="15"/>
  <c r="V9" i="15"/>
  <c r="V65" i="15"/>
  <c r="V49" i="15"/>
  <c r="W49" i="15" s="1"/>
  <c r="Q33" i="15"/>
  <c r="S33" i="15" s="1"/>
  <c r="T33" i="15" s="1"/>
  <c r="S25" i="15"/>
  <c r="T25" i="15" s="1"/>
  <c r="Y25" i="15" s="1"/>
  <c r="V114" i="15"/>
  <c r="W114" i="15" s="1"/>
  <c r="V85" i="15"/>
  <c r="W85" i="15" s="1"/>
  <c r="V81" i="15"/>
  <c r="W81" i="15" s="1"/>
  <c r="S34" i="15"/>
  <c r="X34" i="15" s="1"/>
  <c r="S78" i="15"/>
  <c r="T78" i="15" s="1"/>
  <c r="Y78" i="15" s="1"/>
  <c r="S39" i="15"/>
  <c r="S31" i="15"/>
  <c r="T31" i="15" s="1"/>
  <c r="Q23" i="15"/>
  <c r="S23" i="15" s="1"/>
  <c r="T23" i="15" s="1"/>
  <c r="V108" i="15"/>
  <c r="V112" i="15"/>
  <c r="W112" i="15" s="1"/>
  <c r="S104" i="15"/>
  <c r="Q96" i="15"/>
  <c r="V96" i="15" s="1"/>
  <c r="W96" i="15" s="1"/>
  <c r="V80" i="15"/>
  <c r="W80" i="15" s="1"/>
  <c r="S54" i="15"/>
  <c r="T54" i="15" s="1"/>
  <c r="Y54" i="15" s="1"/>
  <c r="S100" i="15"/>
  <c r="T100" i="15" s="1"/>
  <c r="Q26" i="15"/>
  <c r="S26" i="15" s="1"/>
  <c r="S109" i="15"/>
  <c r="X109" i="15" s="1"/>
  <c r="R71" i="15"/>
  <c r="V93" i="15"/>
  <c r="W93" i="15" s="1"/>
  <c r="V76" i="15"/>
  <c r="X76" i="15" s="1"/>
  <c r="S111" i="15"/>
  <c r="S9" i="15"/>
  <c r="S16" i="15"/>
  <c r="X16" i="15" s="1"/>
  <c r="V91" i="15"/>
  <c r="W91" i="15" s="1"/>
  <c r="V75" i="15"/>
  <c r="W75" i="15" s="1"/>
  <c r="V59" i="15"/>
  <c r="V43" i="15"/>
  <c r="W43" i="15" s="1"/>
  <c r="V100" i="15"/>
  <c r="V74" i="15"/>
  <c r="W74" i="15" s="1"/>
  <c r="V58" i="15"/>
  <c r="W58" i="15" s="1"/>
  <c r="V42" i="15"/>
  <c r="W42" i="15" s="1"/>
  <c r="V26" i="15"/>
  <c r="W26" i="15" s="1"/>
  <c r="S66" i="15"/>
  <c r="X66" i="15" s="1"/>
  <c r="S68" i="15"/>
  <c r="T68" i="15" s="1"/>
  <c r="Y68" i="15" s="1"/>
  <c r="Q60" i="15"/>
  <c r="V60" i="15" s="1"/>
  <c r="Q12" i="15"/>
  <c r="V12" i="15" s="1"/>
  <c r="W12" i="15" s="1"/>
  <c r="V57" i="15"/>
  <c r="W57" i="15" s="1"/>
  <c r="V25" i="15"/>
  <c r="W25" i="15" s="1"/>
  <c r="X69" i="15"/>
  <c r="V89" i="15"/>
  <c r="W89" i="15" s="1"/>
  <c r="X20" i="15"/>
  <c r="V88" i="15"/>
  <c r="W88" i="15" s="1"/>
  <c r="V103" i="15"/>
  <c r="W103" i="15" s="1"/>
  <c r="V87" i="15"/>
  <c r="W87" i="15" s="1"/>
  <c r="V71" i="15"/>
  <c r="W71" i="15" s="1"/>
  <c r="V55" i="15"/>
  <c r="W55" i="15" s="1"/>
  <c r="X86" i="15"/>
  <c r="V73" i="15"/>
  <c r="W73" i="15" s="1"/>
  <c r="V41" i="15"/>
  <c r="W41" i="15" s="1"/>
  <c r="V40" i="15"/>
  <c r="W40" i="15" s="1"/>
  <c r="Y40" i="15" s="1"/>
  <c r="V24" i="15"/>
  <c r="W24" i="15" s="1"/>
  <c r="Y57" i="15"/>
  <c r="X36" i="15"/>
  <c r="V56" i="15"/>
  <c r="W56" i="15" s="1"/>
  <c r="V38" i="15"/>
  <c r="W38" i="15" s="1"/>
  <c r="V22" i="15"/>
  <c r="W22" i="15" s="1"/>
  <c r="X14" i="15"/>
  <c r="X115" i="15"/>
  <c r="X29" i="15"/>
  <c r="X45" i="15"/>
  <c r="U116" i="15"/>
  <c r="S24" i="15"/>
  <c r="V111" i="15"/>
  <c r="W111" i="15" s="1"/>
  <c r="S15" i="15"/>
  <c r="X15" i="15" s="1"/>
  <c r="S84" i="15"/>
  <c r="T84" i="15" s="1"/>
  <c r="Y84" i="15" s="1"/>
  <c r="S112" i="15"/>
  <c r="X112" i="15" s="1"/>
  <c r="X57" i="15"/>
  <c r="S79" i="15"/>
  <c r="T79" i="15" s="1"/>
  <c r="Y79" i="15" s="1"/>
  <c r="S87" i="15"/>
  <c r="T87" i="15" s="1"/>
  <c r="S95" i="15"/>
  <c r="X95" i="15" s="1"/>
  <c r="V104" i="15"/>
  <c r="W104" i="15" s="1"/>
  <c r="S38" i="15"/>
  <c r="S46" i="15"/>
  <c r="T46" i="15" s="1"/>
  <c r="Y46" i="15" s="1"/>
  <c r="S71" i="15"/>
  <c r="T71" i="15" s="1"/>
  <c r="X53" i="15"/>
  <c r="S80" i="15"/>
  <c r="T80" i="15" s="1"/>
  <c r="Y80" i="15" s="1"/>
  <c r="S88" i="15"/>
  <c r="X88" i="15" s="1"/>
  <c r="S47" i="15"/>
  <c r="X47" i="15" s="1"/>
  <c r="S64" i="15"/>
  <c r="X64" i="15" s="1"/>
  <c r="V72" i="15"/>
  <c r="X72" i="15" s="1"/>
  <c r="V39" i="15"/>
  <c r="W39" i="15" s="1"/>
  <c r="S40" i="15"/>
  <c r="T40" i="15" s="1"/>
  <c r="S48" i="15"/>
  <c r="X48" i="15" s="1"/>
  <c r="S55" i="15"/>
  <c r="T55" i="15" s="1"/>
  <c r="Y55" i="15" s="1"/>
  <c r="S65" i="15"/>
  <c r="T65" i="15" s="1"/>
  <c r="S73" i="15"/>
  <c r="S22" i="15"/>
  <c r="T22" i="15" s="1"/>
  <c r="V31" i="15"/>
  <c r="S110" i="15"/>
  <c r="T110" i="15" s="1"/>
  <c r="Y110" i="15" s="1"/>
  <c r="S32" i="15"/>
  <c r="X32" i="15" s="1"/>
  <c r="S41" i="15"/>
  <c r="T41" i="15" s="1"/>
  <c r="S49" i="15"/>
  <c r="X49" i="15" s="1"/>
  <c r="S56" i="15"/>
  <c r="T56" i="15" s="1"/>
  <c r="Y56" i="15" s="1"/>
  <c r="X28" i="15"/>
  <c r="X43" i="15"/>
  <c r="Y44" i="15"/>
  <c r="X68" i="15"/>
  <c r="X83" i="15"/>
  <c r="X30" i="15"/>
  <c r="X59" i="15"/>
  <c r="X13" i="15"/>
  <c r="X70" i="15"/>
  <c r="X98" i="15"/>
  <c r="G43" i="15"/>
  <c r="L43" i="15" s="1"/>
  <c r="X61" i="15"/>
  <c r="X85" i="15"/>
  <c r="X92" i="15"/>
  <c r="X17" i="15"/>
  <c r="V33" i="15"/>
  <c r="X33" i="15" s="1"/>
  <c r="X67" i="15"/>
  <c r="K87" i="15"/>
  <c r="X89" i="15"/>
  <c r="X102" i="15"/>
  <c r="X50" i="15"/>
  <c r="Y89" i="15"/>
  <c r="V19" i="15"/>
  <c r="W19" i="15" s="1"/>
  <c r="Y19" i="15" s="1"/>
  <c r="X44" i="15"/>
  <c r="S96" i="15"/>
  <c r="X96" i="15" s="1"/>
  <c r="X110" i="15"/>
  <c r="T14" i="15"/>
  <c r="Y14" i="15" s="1"/>
  <c r="V62" i="15"/>
  <c r="W62" i="15" s="1"/>
  <c r="S21" i="15"/>
  <c r="T21" i="15" s="1"/>
  <c r="X51" i="15"/>
  <c r="T104" i="15"/>
  <c r="V35" i="15"/>
  <c r="W35" i="15" s="1"/>
  <c r="X52" i="15"/>
  <c r="X75" i="15"/>
  <c r="X46" i="15"/>
  <c r="X81" i="15"/>
  <c r="X87" i="15"/>
  <c r="X113" i="15"/>
  <c r="Y53" i="15"/>
  <c r="X93" i="15"/>
  <c r="X99" i="15"/>
  <c r="S105" i="15"/>
  <c r="Y37" i="15"/>
  <c r="Y93" i="15"/>
  <c r="X37" i="15"/>
  <c r="X108" i="15"/>
  <c r="Y67" i="15"/>
  <c r="G20" i="15"/>
  <c r="L20" i="15" s="1"/>
  <c r="T85" i="15"/>
  <c r="Y85" i="15" s="1"/>
  <c r="S58" i="15"/>
  <c r="X9" i="15"/>
  <c r="T9" i="15"/>
  <c r="T62" i="15"/>
  <c r="T74" i="15"/>
  <c r="Y74" i="15" s="1"/>
  <c r="T29" i="15"/>
  <c r="Y29" i="15" s="1"/>
  <c r="W60" i="15"/>
  <c r="W100" i="15"/>
  <c r="T113" i="15"/>
  <c r="Y113" i="15" s="1"/>
  <c r="W21" i="15"/>
  <c r="T42" i="15"/>
  <c r="T70" i="15"/>
  <c r="Y70" i="15" s="1"/>
  <c r="X38" i="15"/>
  <c r="T38" i="15"/>
  <c r="Y38" i="15" s="1"/>
  <c r="X54" i="15"/>
  <c r="X82" i="15"/>
  <c r="T82" i="15"/>
  <c r="Y82" i="15" s="1"/>
  <c r="W65" i="15"/>
  <c r="T49" i="15"/>
  <c r="Y49" i="15" s="1"/>
  <c r="W17" i="15"/>
  <c r="Y17" i="15" s="1"/>
  <c r="X18" i="15"/>
  <c r="T18" i="15"/>
  <c r="Y18" i="15" s="1"/>
  <c r="X22" i="15"/>
  <c r="W31" i="15"/>
  <c r="T94" i="15"/>
  <c r="Y94" i="15" s="1"/>
  <c r="T92" i="15"/>
  <c r="Y92" i="15" s="1"/>
  <c r="T35" i="15"/>
  <c r="W108" i="15"/>
  <c r="Y108" i="15" s="1"/>
  <c r="X90" i="15"/>
  <c r="T90" i="15"/>
  <c r="Y90" i="15" s="1"/>
  <c r="W98" i="15"/>
  <c r="Y98" i="15" s="1"/>
  <c r="W102" i="15"/>
  <c r="Y102" i="15" s="1"/>
  <c r="T115" i="15"/>
  <c r="Y115" i="15" s="1"/>
  <c r="T13" i="15"/>
  <c r="T15" i="15"/>
  <c r="T47" i="15"/>
  <c r="Y47" i="15" s="1"/>
  <c r="W51" i="15"/>
  <c r="Y51" i="15" s="1"/>
  <c r="T24" i="15"/>
  <c r="F106" i="15"/>
  <c r="K106" i="15" s="1"/>
  <c r="S11" i="15"/>
  <c r="T83" i="15"/>
  <c r="Y83" i="15" s="1"/>
  <c r="T111" i="15"/>
  <c r="Y111" i="15" s="1"/>
  <c r="T81" i="15"/>
  <c r="F107" i="15"/>
  <c r="X103" i="15"/>
  <c r="T103" i="15"/>
  <c r="Y103" i="15" s="1"/>
  <c r="T20" i="15"/>
  <c r="Y20" i="15" s="1"/>
  <c r="T45" i="15"/>
  <c r="Y45" i="15" s="1"/>
  <c r="T66" i="15"/>
  <c r="Y66" i="15" s="1"/>
  <c r="S77" i="15"/>
  <c r="W9" i="15"/>
  <c r="Y13" i="15"/>
  <c r="T36" i="15"/>
  <c r="Y36" i="15" s="1"/>
  <c r="T52" i="15"/>
  <c r="Y52" i="15" s="1"/>
  <c r="T75" i="15"/>
  <c r="Y75" i="15" s="1"/>
  <c r="T99" i="15"/>
  <c r="Y99" i="15" s="1"/>
  <c r="S101" i="15"/>
  <c r="T16" i="15"/>
  <c r="Y16" i="15" s="1"/>
  <c r="T43" i="15"/>
  <c r="Y43" i="15" s="1"/>
  <c r="T61" i="15"/>
  <c r="Y61" i="15" s="1"/>
  <c r="T64" i="15"/>
  <c r="Y64" i="15" s="1"/>
  <c r="T86" i="15"/>
  <c r="Y86" i="15" s="1"/>
  <c r="S97" i="15"/>
  <c r="T114" i="15"/>
  <c r="T28" i="15"/>
  <c r="Y28" i="15" s="1"/>
  <c r="W30" i="15"/>
  <c r="Y30" i="15" s="1"/>
  <c r="W50" i="15"/>
  <c r="Y50" i="15" s="1"/>
  <c r="W59" i="15"/>
  <c r="Y59" i="15" s="1"/>
  <c r="T69" i="15"/>
  <c r="Y69" i="15" s="1"/>
  <c r="T112" i="15"/>
  <c r="Y112" i="15" s="1"/>
  <c r="T10" i="15"/>
  <c r="Y10" i="15" s="1"/>
  <c r="T39" i="15"/>
  <c r="T91" i="15"/>
  <c r="K39" i="15"/>
  <c r="G86" i="15"/>
  <c r="L86" i="15" s="1"/>
  <c r="G24" i="15"/>
  <c r="L24" i="15" s="1"/>
  <c r="G56" i="15"/>
  <c r="L56" i="15" s="1"/>
  <c r="G99" i="15"/>
  <c r="L99" i="15" s="1"/>
  <c r="K29" i="15"/>
  <c r="K45" i="15"/>
  <c r="J67" i="15"/>
  <c r="L67" i="15" s="1"/>
  <c r="K13" i="15"/>
  <c r="K110" i="15"/>
  <c r="K57" i="15"/>
  <c r="K37" i="15"/>
  <c r="K59" i="15"/>
  <c r="G48" i="15"/>
  <c r="L48" i="15" s="1"/>
  <c r="K109" i="15"/>
  <c r="G109" i="15"/>
  <c r="L109" i="15" s="1"/>
  <c r="K91" i="15"/>
  <c r="J68" i="15"/>
  <c r="L68" i="15" s="1"/>
  <c r="K81" i="15"/>
  <c r="K22" i="15"/>
  <c r="G84" i="15"/>
  <c r="L84" i="15" s="1"/>
  <c r="J70" i="15"/>
  <c r="L70" i="15" s="1"/>
  <c r="G92" i="15"/>
  <c r="L92" i="15" s="1"/>
  <c r="K115" i="15"/>
  <c r="K47" i="15"/>
  <c r="K14" i="15"/>
  <c r="J62" i="15"/>
  <c r="L62" i="15" s="1"/>
  <c r="G74" i="15"/>
  <c r="L74" i="15" s="1"/>
  <c r="K74" i="15"/>
  <c r="K18" i="15"/>
  <c r="K52" i="15"/>
  <c r="K95" i="15"/>
  <c r="K66" i="15"/>
  <c r="K97" i="15"/>
  <c r="K96" i="15"/>
  <c r="G96" i="15"/>
  <c r="L96" i="15" s="1"/>
  <c r="K35" i="15"/>
  <c r="G35" i="15"/>
  <c r="L35" i="15" s="1"/>
  <c r="A99" i="15"/>
  <c r="A100" i="15" s="1"/>
  <c r="A101" i="15" s="1"/>
  <c r="A103" i="15" s="1"/>
  <c r="A104" i="15" s="1"/>
  <c r="A105" i="15" s="1"/>
  <c r="A97" i="15"/>
  <c r="K69" i="15"/>
  <c r="J69" i="15"/>
  <c r="L69" i="15" s="1"/>
  <c r="K58" i="15"/>
  <c r="J58" i="15"/>
  <c r="L58" i="15" s="1"/>
  <c r="J72" i="15"/>
  <c r="L72" i="15" s="1"/>
  <c r="G114" i="15"/>
  <c r="L114" i="15" s="1"/>
  <c r="K9" i="15"/>
  <c r="G9" i="15"/>
  <c r="L9" i="15" s="1"/>
  <c r="K60" i="15"/>
  <c r="J60" i="15"/>
  <c r="L60" i="15" s="1"/>
  <c r="G75" i="15"/>
  <c r="L75" i="15" s="1"/>
  <c r="K75" i="15"/>
  <c r="K15" i="15"/>
  <c r="G15" i="15"/>
  <c r="L15" i="15" s="1"/>
  <c r="J53" i="15"/>
  <c r="L53" i="15" s="1"/>
  <c r="K93" i="15"/>
  <c r="G93" i="15"/>
  <c r="L93" i="15" s="1"/>
  <c r="K10" i="15"/>
  <c r="G76" i="15"/>
  <c r="L76" i="15" s="1"/>
  <c r="K16" i="15"/>
  <c r="K23" i="15"/>
  <c r="J23" i="15"/>
  <c r="L23" i="15" s="1"/>
  <c r="K38" i="15"/>
  <c r="J38" i="15"/>
  <c r="L38" i="15" s="1"/>
  <c r="K103" i="15"/>
  <c r="G103" i="15"/>
  <c r="L103" i="15" s="1"/>
  <c r="K77" i="15"/>
  <c r="G77" i="15"/>
  <c r="L77" i="15" s="1"/>
  <c r="G11" i="15"/>
  <c r="L11" i="15" s="1"/>
  <c r="G31" i="15"/>
  <c r="L31" i="15" s="1"/>
  <c r="K111" i="15"/>
  <c r="J111" i="15"/>
  <c r="L111" i="15" s="1"/>
  <c r="K104" i="15"/>
  <c r="G104" i="15"/>
  <c r="L104" i="15" s="1"/>
  <c r="K26" i="15"/>
  <c r="J26" i="15"/>
  <c r="L26" i="15" s="1"/>
  <c r="K21" i="15"/>
  <c r="J21" i="15"/>
  <c r="L21" i="15" s="1"/>
  <c r="K28" i="15"/>
  <c r="K107" i="15"/>
  <c r="G107" i="15"/>
  <c r="L107" i="15" s="1"/>
  <c r="K100" i="15"/>
  <c r="G100" i="15"/>
  <c r="L100" i="15" s="1"/>
  <c r="K61" i="15"/>
  <c r="G61" i="15"/>
  <c r="L61" i="15" s="1"/>
  <c r="K12" i="15"/>
  <c r="G12" i="15"/>
  <c r="L12" i="15" s="1"/>
  <c r="I116" i="15"/>
  <c r="J116" i="15" s="1"/>
  <c r="K19" i="15"/>
  <c r="K25" i="15"/>
  <c r="G25" i="15"/>
  <c r="L25" i="15" s="1"/>
  <c r="G65" i="15"/>
  <c r="L65" i="15" s="1"/>
  <c r="G79" i="15"/>
  <c r="L79" i="15" s="1"/>
  <c r="K105" i="15"/>
  <c r="J19" i="15"/>
  <c r="L19" i="15" s="1"/>
  <c r="G33" i="15"/>
  <c r="L33" i="15" s="1"/>
  <c r="K71" i="15"/>
  <c r="G71" i="15"/>
  <c r="L71" i="15" s="1"/>
  <c r="K49" i="15"/>
  <c r="G49" i="15"/>
  <c r="L49" i="15" s="1"/>
  <c r="K51" i="15"/>
  <c r="G51" i="15"/>
  <c r="L51" i="15" s="1"/>
  <c r="K82" i="15"/>
  <c r="G82" i="15"/>
  <c r="L82" i="15" s="1"/>
  <c r="G46" i="15"/>
  <c r="L46" i="15" s="1"/>
  <c r="G88" i="15"/>
  <c r="L88" i="15" s="1"/>
  <c r="G41" i="15"/>
  <c r="L41" i="15" s="1"/>
  <c r="J54" i="15"/>
  <c r="L54" i="15" s="1"/>
  <c r="G85" i="15"/>
  <c r="L85" i="15" s="1"/>
  <c r="G94" i="15"/>
  <c r="L94" i="15" s="1"/>
  <c r="G101" i="15"/>
  <c r="L101" i="15" s="1"/>
  <c r="G112" i="15"/>
  <c r="L112" i="15" s="1"/>
  <c r="G30" i="15"/>
  <c r="L30" i="15" s="1"/>
  <c r="G34" i="15"/>
  <c r="L34" i="15" s="1"/>
  <c r="G64" i="15"/>
  <c r="L64" i="15" s="1"/>
  <c r="G78" i="15"/>
  <c r="L78" i="15" s="1"/>
  <c r="G113" i="15"/>
  <c r="L113" i="15" s="1"/>
  <c r="X25" i="15" l="1"/>
  <c r="Y91" i="15"/>
  <c r="W76" i="15"/>
  <c r="Y76" i="15" s="1"/>
  <c r="X74" i="15"/>
  <c r="X78" i="15"/>
  <c r="X80" i="15"/>
  <c r="Y81" i="15"/>
  <c r="V23" i="15"/>
  <c r="W23" i="15" s="1"/>
  <c r="Y23" i="15" s="1"/>
  <c r="T48" i="15"/>
  <c r="Y48" i="15" s="1"/>
  <c r="T34" i="15"/>
  <c r="Y34" i="15" s="1"/>
  <c r="X84" i="15"/>
  <c r="X56" i="15"/>
  <c r="Y31" i="15"/>
  <c r="S60" i="15"/>
  <c r="T60" i="15" s="1"/>
  <c r="Y60" i="15" s="1"/>
  <c r="S12" i="15"/>
  <c r="T12" i="15" s="1"/>
  <c r="Y42" i="15"/>
  <c r="X31" i="15"/>
  <c r="X42" i="15"/>
  <c r="T109" i="15"/>
  <c r="Y109" i="15" s="1"/>
  <c r="X79" i="15"/>
  <c r="X100" i="15"/>
  <c r="Y22" i="15"/>
  <c r="Y114" i="15"/>
  <c r="X91" i="15"/>
  <c r="Y100" i="15"/>
  <c r="X114" i="15"/>
  <c r="Y87" i="15"/>
  <c r="Y71" i="15"/>
  <c r="X23" i="15"/>
  <c r="Y41" i="15"/>
  <c r="X41" i="15"/>
  <c r="Y24" i="15"/>
  <c r="X39" i="15"/>
  <c r="Y39" i="15"/>
  <c r="X73" i="15"/>
  <c r="X24" i="15"/>
  <c r="X55" i="15"/>
  <c r="Y65" i="15"/>
  <c r="W33" i="15"/>
  <c r="Y33" i="15" s="1"/>
  <c r="W72" i="15"/>
  <c r="Y72" i="15" s="1"/>
  <c r="T32" i="15"/>
  <c r="Y32" i="15" s="1"/>
  <c r="X65" i="15"/>
  <c r="X40" i="15"/>
  <c r="Y21" i="15"/>
  <c r="T95" i="15"/>
  <c r="Y95" i="15" s="1"/>
  <c r="T88" i="15"/>
  <c r="Y88" i="15" s="1"/>
  <c r="X71" i="15"/>
  <c r="X104" i="15"/>
  <c r="T73" i="15"/>
  <c r="Y73" i="15" s="1"/>
  <c r="X111" i="15"/>
  <c r="T96" i="15"/>
  <c r="Y96" i="15" s="1"/>
  <c r="Y12" i="15"/>
  <c r="X35" i="15"/>
  <c r="Y35" i="15"/>
  <c r="X12" i="15"/>
  <c r="V105" i="15"/>
  <c r="W105" i="15" s="1"/>
  <c r="X19" i="15"/>
  <c r="X62" i="15"/>
  <c r="Y62" i="15"/>
  <c r="X21" i="15"/>
  <c r="V107" i="15"/>
  <c r="W107" i="15" s="1"/>
  <c r="S107" i="15"/>
  <c r="X97" i="15"/>
  <c r="T97" i="15"/>
  <c r="Y97" i="15" s="1"/>
  <c r="Y9" i="15"/>
  <c r="G106" i="15"/>
  <c r="L106" i="15" s="1"/>
  <c r="X26" i="15"/>
  <c r="T26" i="15"/>
  <c r="Y26" i="15" s="1"/>
  <c r="Y15" i="15"/>
  <c r="X11" i="15"/>
  <c r="T11" i="15"/>
  <c r="Y11" i="15" s="1"/>
  <c r="X101" i="15"/>
  <c r="T101" i="15"/>
  <c r="Y101" i="15" s="1"/>
  <c r="X77" i="15"/>
  <c r="T77" i="15"/>
  <c r="Y77" i="15" s="1"/>
  <c r="X58" i="15"/>
  <c r="T58" i="15"/>
  <c r="Y58" i="15" s="1"/>
  <c r="F116" i="15"/>
  <c r="G116" i="15" s="1"/>
  <c r="S106" i="15"/>
  <c r="V106" i="15"/>
  <c r="T105" i="15"/>
  <c r="K116" i="15"/>
  <c r="L116" i="15" s="1"/>
  <c r="A106" i="15"/>
  <c r="A107" i="15" s="1"/>
  <c r="A109" i="15"/>
  <c r="A110" i="15" s="1"/>
  <c r="A112" i="15" s="1"/>
  <c r="A113" i="15" s="1"/>
  <c r="A114" i="15" s="1"/>
  <c r="A115" i="15" s="1"/>
  <c r="X60" i="15" l="1"/>
  <c r="Y105" i="15"/>
  <c r="X105" i="15"/>
  <c r="T106" i="15"/>
  <c r="X106" i="15"/>
  <c r="S116" i="15"/>
  <c r="X107" i="15"/>
  <c r="T107" i="15"/>
  <c r="Y107" i="15" s="1"/>
  <c r="W106" i="15"/>
  <c r="W116" i="15" s="1"/>
  <c r="V116" i="15"/>
  <c r="X116" i="15" l="1"/>
  <c r="Y106" i="15"/>
  <c r="T116" i="15"/>
  <c r="Y116" i="15" l="1"/>
  <c r="Q9" i="14" l="1"/>
  <c r="V9" i="14" s="1"/>
  <c r="W9" i="14" s="1"/>
  <c r="Q10" i="14"/>
  <c r="V10" i="14" s="1"/>
  <c r="W10" i="14" s="1"/>
  <c r="Q11" i="14"/>
  <c r="Q12" i="14"/>
  <c r="Q13" i="14"/>
  <c r="V13" i="14" s="1"/>
  <c r="W13" i="14" s="1"/>
  <c r="Q14" i="14"/>
  <c r="S14" i="14" s="1"/>
  <c r="Q15" i="14"/>
  <c r="Q16" i="14"/>
  <c r="V16" i="14" s="1"/>
  <c r="W16" i="14" s="1"/>
  <c r="Q17" i="14"/>
  <c r="S17" i="14" s="1"/>
  <c r="T17" i="14" s="1"/>
  <c r="Q19" i="14"/>
  <c r="V19" i="14" s="1"/>
  <c r="W19" i="14" s="1"/>
  <c r="Q20" i="14"/>
  <c r="V20" i="14" s="1"/>
  <c r="W20" i="14" s="1"/>
  <c r="Q21" i="14"/>
  <c r="S21" i="14" s="1"/>
  <c r="T21" i="14" s="1"/>
  <c r="Q22" i="14"/>
  <c r="V22" i="14" s="1"/>
  <c r="W22" i="14" s="1"/>
  <c r="Q23" i="14"/>
  <c r="V23" i="14" s="1"/>
  <c r="W23" i="14" s="1"/>
  <c r="Q24" i="14"/>
  <c r="S24" i="14" s="1"/>
  <c r="T24" i="14" s="1"/>
  <c r="Q25" i="14"/>
  <c r="V25" i="14" s="1"/>
  <c r="W25" i="14" s="1"/>
  <c r="Q26" i="14"/>
  <c r="Q27" i="14"/>
  <c r="V27" i="14" s="1"/>
  <c r="W27" i="14" s="1"/>
  <c r="Q28" i="14"/>
  <c r="S28" i="14" s="1"/>
  <c r="T28" i="14" s="1"/>
  <c r="Q29" i="14"/>
  <c r="V29" i="14" s="1"/>
  <c r="W29" i="14" s="1"/>
  <c r="Q30" i="14"/>
  <c r="S30" i="14" s="1"/>
  <c r="Q31" i="14"/>
  <c r="V31" i="14" s="1"/>
  <c r="W31" i="14" s="1"/>
  <c r="Q32" i="14"/>
  <c r="V32" i="14" s="1"/>
  <c r="W32" i="14" s="1"/>
  <c r="Q33" i="14"/>
  <c r="V33" i="14" s="1"/>
  <c r="W33" i="14" s="1"/>
  <c r="Q34" i="14"/>
  <c r="V34" i="14" s="1"/>
  <c r="W34" i="14" s="1"/>
  <c r="Q35" i="14"/>
  <c r="V35" i="14" s="1"/>
  <c r="W35" i="14" s="1"/>
  <c r="Q36" i="14"/>
  <c r="V36" i="14" s="1"/>
  <c r="W36" i="14" s="1"/>
  <c r="Q37" i="14"/>
  <c r="V37" i="14" s="1"/>
  <c r="W37" i="14" s="1"/>
  <c r="Q38" i="14"/>
  <c r="V38" i="14" s="1"/>
  <c r="W38" i="14" s="1"/>
  <c r="Q39" i="14"/>
  <c r="V39" i="14" s="1"/>
  <c r="Q40" i="14"/>
  <c r="V40" i="14" s="1"/>
  <c r="W40" i="14" s="1"/>
  <c r="Q41" i="14"/>
  <c r="S41" i="14" s="1"/>
  <c r="Q42" i="14"/>
  <c r="Q43" i="14"/>
  <c r="Q44" i="14"/>
  <c r="V44" i="14" s="1"/>
  <c r="W44" i="14" s="1"/>
  <c r="Q45" i="14"/>
  <c r="V45" i="14" s="1"/>
  <c r="W45" i="14" s="1"/>
  <c r="Q46" i="14"/>
  <c r="V46" i="14" s="1"/>
  <c r="W46" i="14" s="1"/>
  <c r="Q47" i="14"/>
  <c r="V47" i="14" s="1"/>
  <c r="W47" i="14" s="1"/>
  <c r="Q48" i="14"/>
  <c r="Q8" i="14"/>
  <c r="V8" i="14" s="1"/>
  <c r="U50" i="14"/>
  <c r="V49" i="14"/>
  <c r="W49" i="14" s="1"/>
  <c r="S49" i="14"/>
  <c r="T49" i="14" s="1"/>
  <c r="V48" i="14"/>
  <c r="S48" i="14"/>
  <c r="T48" i="14" s="1"/>
  <c r="V43" i="14"/>
  <c r="W43" i="14" s="1"/>
  <c r="S43" i="14"/>
  <c r="T43" i="14" s="1"/>
  <c r="V42" i="14"/>
  <c r="W42" i="14" s="1"/>
  <c r="S42" i="14"/>
  <c r="T42" i="14" s="1"/>
  <c r="V28" i="14"/>
  <c r="V26" i="14"/>
  <c r="W26" i="14" s="1"/>
  <c r="S26" i="14"/>
  <c r="T26" i="14" s="1"/>
  <c r="R20" i="14"/>
  <c r="S18" i="14"/>
  <c r="V15" i="14"/>
  <c r="S15" i="14"/>
  <c r="T15" i="14" s="1"/>
  <c r="R13" i="14"/>
  <c r="V11" i="14"/>
  <c r="W11" i="14" s="1"/>
  <c r="S11" i="14"/>
  <c r="R9" i="14"/>
  <c r="F49" i="14"/>
  <c r="G49" i="14" s="1"/>
  <c r="L49" i="14" s="1"/>
  <c r="F47" i="14"/>
  <c r="G47" i="14" s="1"/>
  <c r="L47" i="14" s="1"/>
  <c r="A47" i="14"/>
  <c r="A49" i="14" s="1"/>
  <c r="I45" i="14"/>
  <c r="J45" i="14" s="1"/>
  <c r="L45" i="14" s="1"/>
  <c r="I44" i="14"/>
  <c r="K44" i="14" s="1"/>
  <c r="I43" i="14"/>
  <c r="K43" i="14" s="1"/>
  <c r="F42" i="14"/>
  <c r="K42" i="14" s="1"/>
  <c r="I41" i="14"/>
  <c r="J41" i="14" s="1"/>
  <c r="L41" i="14" s="1"/>
  <c r="F40" i="14"/>
  <c r="K40" i="14" s="1"/>
  <c r="I39" i="14"/>
  <c r="K39" i="14" s="1"/>
  <c r="F38" i="14"/>
  <c r="K38" i="14" s="1"/>
  <c r="F37" i="14"/>
  <c r="G37" i="14" s="1"/>
  <c r="L37" i="14" s="1"/>
  <c r="I36" i="14"/>
  <c r="K36" i="14" s="1"/>
  <c r="F35" i="14"/>
  <c r="K35" i="14" s="1"/>
  <c r="I33" i="14"/>
  <c r="J33" i="14" s="1"/>
  <c r="L33" i="14" s="1"/>
  <c r="F32" i="14"/>
  <c r="K32" i="14" s="1"/>
  <c r="I31" i="14"/>
  <c r="K31" i="14" s="1"/>
  <c r="F30" i="14"/>
  <c r="K30" i="14" s="1"/>
  <c r="I29" i="14"/>
  <c r="K29" i="14" s="1"/>
  <c r="F28" i="14"/>
  <c r="G28" i="14" s="1"/>
  <c r="L28" i="14" s="1"/>
  <c r="I27" i="14"/>
  <c r="K27" i="14" s="1"/>
  <c r="F26" i="14"/>
  <c r="K26" i="14" s="1"/>
  <c r="I25" i="14"/>
  <c r="K25" i="14" s="1"/>
  <c r="F24" i="14"/>
  <c r="K24" i="14" s="1"/>
  <c r="I23" i="14"/>
  <c r="K23" i="14" s="1"/>
  <c r="F22" i="14"/>
  <c r="K22" i="14" s="1"/>
  <c r="I21" i="14"/>
  <c r="J21" i="14" s="1"/>
  <c r="F20" i="14"/>
  <c r="G20" i="14" s="1"/>
  <c r="L20" i="14" s="1"/>
  <c r="F18" i="14"/>
  <c r="K18" i="14" s="1"/>
  <c r="F16" i="14"/>
  <c r="K16" i="14" s="1"/>
  <c r="F15" i="14"/>
  <c r="K15" i="14" s="1"/>
  <c r="F13" i="14"/>
  <c r="K13" i="14" s="1"/>
  <c r="F11" i="14"/>
  <c r="K11" i="14" s="1"/>
  <c r="F10" i="14"/>
  <c r="K10" i="14" s="1"/>
  <c r="F9" i="14"/>
  <c r="G9" i="14" s="1"/>
  <c r="L9" i="14" s="1"/>
  <c r="F8" i="14"/>
  <c r="S20" i="14" l="1"/>
  <c r="V17" i="14"/>
  <c r="X17" i="14" s="1"/>
  <c r="S32" i="14"/>
  <c r="T32" i="14" s="1"/>
  <c r="S8" i="14"/>
  <c r="S33" i="14"/>
  <c r="T33" i="14" s="1"/>
  <c r="S34" i="14"/>
  <c r="X34" i="14" s="1"/>
  <c r="S35" i="14"/>
  <c r="T35" i="14" s="1"/>
  <c r="Y35" i="14" s="1"/>
  <c r="S16" i="14"/>
  <c r="X16" i="14" s="1"/>
  <c r="V41" i="14"/>
  <c r="W41" i="14" s="1"/>
  <c r="S45" i="14"/>
  <c r="X45" i="14" s="1"/>
  <c r="V21" i="14"/>
  <c r="X21" i="14" s="1"/>
  <c r="S10" i="14"/>
  <c r="X10" i="14" s="1"/>
  <c r="S39" i="14"/>
  <c r="T39" i="14" s="1"/>
  <c r="S13" i="14"/>
  <c r="T13" i="14" s="1"/>
  <c r="Y13" i="14" s="1"/>
  <c r="S31" i="14"/>
  <c r="T31" i="14" s="1"/>
  <c r="Y31" i="14" s="1"/>
  <c r="S47" i="14"/>
  <c r="X47" i="14" s="1"/>
  <c r="S9" i="14"/>
  <c r="X9" i="14" s="1"/>
  <c r="S37" i="14"/>
  <c r="T37" i="14" s="1"/>
  <c r="Y37" i="14" s="1"/>
  <c r="V24" i="14"/>
  <c r="W24" i="14" s="1"/>
  <c r="Y24" i="14" s="1"/>
  <c r="T30" i="14"/>
  <c r="S29" i="14"/>
  <c r="X29" i="14" s="1"/>
  <c r="V14" i="14"/>
  <c r="W14" i="14" s="1"/>
  <c r="S22" i="14"/>
  <c r="X22" i="14" s="1"/>
  <c r="S23" i="14"/>
  <c r="X23" i="14" s="1"/>
  <c r="X43" i="14"/>
  <c r="W17" i="14"/>
  <c r="Y17" i="14" s="1"/>
  <c r="X28" i="14"/>
  <c r="X48" i="14"/>
  <c r="Y43" i="14"/>
  <c r="V30" i="14"/>
  <c r="W30" i="14" s="1"/>
  <c r="S38" i="14"/>
  <c r="X38" i="14" s="1"/>
  <c r="S44" i="14"/>
  <c r="T44" i="14" s="1"/>
  <c r="Y44" i="14" s="1"/>
  <c r="X15" i="14"/>
  <c r="Y32" i="14"/>
  <c r="X11" i="14"/>
  <c r="S46" i="14"/>
  <c r="T46" i="14" s="1"/>
  <c r="Y46" i="14" s="1"/>
  <c r="X32" i="14"/>
  <c r="S40" i="14"/>
  <c r="T40" i="14" s="1"/>
  <c r="Y40" i="14" s="1"/>
  <c r="S19" i="14"/>
  <c r="T18" i="14"/>
  <c r="Y26" i="14"/>
  <c r="Y33" i="14"/>
  <c r="X41" i="14"/>
  <c r="T41" i="14"/>
  <c r="Y41" i="14" s="1"/>
  <c r="X20" i="14"/>
  <c r="T20" i="14"/>
  <c r="Y20" i="14" s="1"/>
  <c r="Y34" i="14"/>
  <c r="Y42" i="14"/>
  <c r="Y49" i="14"/>
  <c r="W39" i="14"/>
  <c r="T8" i="14"/>
  <c r="W8" i="14"/>
  <c r="X26" i="14"/>
  <c r="X35" i="14"/>
  <c r="X46" i="14"/>
  <c r="X8" i="14"/>
  <c r="T16" i="14"/>
  <c r="Y16" i="14" s="1"/>
  <c r="V18" i="14"/>
  <c r="W18" i="14" s="1"/>
  <c r="T11" i="14"/>
  <c r="Y11" i="14" s="1"/>
  <c r="T14" i="14"/>
  <c r="S27" i="14"/>
  <c r="S36" i="14"/>
  <c r="X42" i="14"/>
  <c r="S25" i="14"/>
  <c r="X49" i="14"/>
  <c r="T34" i="14"/>
  <c r="W28" i="14"/>
  <c r="Y28" i="14" s="1"/>
  <c r="X33" i="14"/>
  <c r="W48" i="14"/>
  <c r="Y48" i="14" s="1"/>
  <c r="W15" i="14"/>
  <c r="Y15" i="14" s="1"/>
  <c r="F50" i="14"/>
  <c r="K49" i="14"/>
  <c r="I50" i="14"/>
  <c r="L21" i="14"/>
  <c r="G13" i="14"/>
  <c r="L13" i="14" s="1"/>
  <c r="G32" i="14"/>
  <c r="L32" i="14" s="1"/>
  <c r="K8" i="14"/>
  <c r="K45" i="14"/>
  <c r="G15" i="14"/>
  <c r="L15" i="14" s="1"/>
  <c r="J29" i="14"/>
  <c r="L29" i="14" s="1"/>
  <c r="G42" i="14"/>
  <c r="L42" i="14" s="1"/>
  <c r="K21" i="14"/>
  <c r="K33" i="14"/>
  <c r="K47" i="14"/>
  <c r="G10" i="14"/>
  <c r="L10" i="14" s="1"/>
  <c r="G16" i="14"/>
  <c r="L16" i="14" s="1"/>
  <c r="G22" i="14"/>
  <c r="L22" i="14" s="1"/>
  <c r="G26" i="14"/>
  <c r="L26" i="14" s="1"/>
  <c r="G30" i="14"/>
  <c r="L30" i="14" s="1"/>
  <c r="G35" i="14"/>
  <c r="L35" i="14" s="1"/>
  <c r="J39" i="14"/>
  <c r="L39" i="14" s="1"/>
  <c r="J43" i="14"/>
  <c r="L43" i="14" s="1"/>
  <c r="K28" i="14"/>
  <c r="K37" i="14"/>
  <c r="J25" i="14"/>
  <c r="L25" i="14" s="1"/>
  <c r="G38" i="14"/>
  <c r="L38" i="14" s="1"/>
  <c r="K9" i="14"/>
  <c r="G11" i="14"/>
  <c r="L11" i="14" s="1"/>
  <c r="G18" i="14"/>
  <c r="L18" i="14" s="1"/>
  <c r="J23" i="14"/>
  <c r="L23" i="14" s="1"/>
  <c r="J27" i="14"/>
  <c r="L27" i="14" s="1"/>
  <c r="J31" i="14"/>
  <c r="L31" i="14" s="1"/>
  <c r="J36" i="14"/>
  <c r="L36" i="14" s="1"/>
  <c r="G40" i="14"/>
  <c r="L40" i="14" s="1"/>
  <c r="J44" i="14"/>
  <c r="L44" i="14" s="1"/>
  <c r="G8" i="14"/>
  <c r="G24" i="14"/>
  <c r="L24" i="14" s="1"/>
  <c r="K20" i="14"/>
  <c r="K41" i="14"/>
  <c r="T23" i="14" l="1"/>
  <c r="Y23" i="14" s="1"/>
  <c r="T47" i="14"/>
  <c r="Y47" i="14" s="1"/>
  <c r="X44" i="14"/>
  <c r="X37" i="14"/>
  <c r="X24" i="14"/>
  <c r="T9" i="14"/>
  <c r="Y9" i="14" s="1"/>
  <c r="Y14" i="14"/>
  <c r="T38" i="14"/>
  <c r="Y38" i="14" s="1"/>
  <c r="Y39" i="14"/>
  <c r="Y30" i="14"/>
  <c r="X13" i="14"/>
  <c r="T10" i="14"/>
  <c r="Y10" i="14" s="1"/>
  <c r="T45" i="14"/>
  <c r="Y45" i="14" s="1"/>
  <c r="W21" i="14"/>
  <c r="Y21" i="14" s="1"/>
  <c r="V50" i="14"/>
  <c r="X39" i="14"/>
  <c r="X31" i="14"/>
  <c r="T19" i="14"/>
  <c r="Y19" i="14" s="1"/>
  <c r="X19" i="14"/>
  <c r="T29" i="14"/>
  <c r="Y29" i="14" s="1"/>
  <c r="Y18" i="14"/>
  <c r="X30" i="14"/>
  <c r="X40" i="14"/>
  <c r="X14" i="14"/>
  <c r="S50" i="14"/>
  <c r="T22" i="14"/>
  <c r="Y22" i="14" s="1"/>
  <c r="X36" i="14"/>
  <c r="T36" i="14"/>
  <c r="Y36" i="14" s="1"/>
  <c r="X27" i="14"/>
  <c r="T27" i="14"/>
  <c r="Y27" i="14" s="1"/>
  <c r="X18" i="14"/>
  <c r="X25" i="14"/>
  <c r="T25" i="14"/>
  <c r="Y25" i="14" s="1"/>
  <c r="Y8" i="14"/>
  <c r="G50" i="14"/>
  <c r="L8" i="14"/>
  <c r="L50" i="14" s="1"/>
  <c r="J50" i="14"/>
  <c r="K50" i="14"/>
  <c r="W50" i="14" l="1"/>
  <c r="X50" i="14"/>
  <c r="Y50" i="14"/>
  <c r="T50" i="14"/>
  <c r="G48" i="13" l="1"/>
  <c r="M39" i="13"/>
  <c r="M38" i="13"/>
  <c r="M11" i="13" s="1"/>
  <c r="M37" i="13"/>
  <c r="M22" i="13" s="1"/>
  <c r="D36" i="13"/>
  <c r="C36" i="13"/>
  <c r="J35" i="13"/>
  <c r="K35" i="13" s="1"/>
  <c r="E35" i="13"/>
  <c r="D35" i="13"/>
  <c r="K34" i="13"/>
  <c r="J34" i="13" s="1"/>
  <c r="E34" i="13"/>
  <c r="K32" i="13"/>
  <c r="K31" i="13"/>
  <c r="K30" i="13"/>
  <c r="M30" i="13" s="1"/>
  <c r="N30" i="13" s="1"/>
  <c r="O30" i="13" s="1"/>
  <c r="E30" i="13"/>
  <c r="O29" i="13"/>
  <c r="N29" i="13"/>
  <c r="M29" i="13"/>
  <c r="K29" i="13"/>
  <c r="E29" i="13"/>
  <c r="K28" i="13"/>
  <c r="M28" i="13" s="1"/>
  <c r="N28" i="13" s="1"/>
  <c r="O28" i="13" s="1"/>
  <c r="E28" i="13"/>
  <c r="O27" i="13"/>
  <c r="J27" i="13"/>
  <c r="K27" i="13" s="1"/>
  <c r="E27" i="13"/>
  <c r="O26" i="13"/>
  <c r="J26" i="13"/>
  <c r="K26" i="13" s="1"/>
  <c r="E26" i="13"/>
  <c r="O25" i="13"/>
  <c r="K25" i="13"/>
  <c r="J25" i="13"/>
  <c r="F25" i="13"/>
  <c r="E25" i="13"/>
  <c r="K24" i="13"/>
  <c r="M24" i="13" s="1"/>
  <c r="N24" i="13" s="1"/>
  <c r="O24" i="13" s="1"/>
  <c r="E24" i="13"/>
  <c r="K23" i="13"/>
  <c r="M23" i="13" s="1"/>
  <c r="N23" i="13" s="1"/>
  <c r="O23" i="13" s="1"/>
  <c r="E23" i="13"/>
  <c r="N22" i="13"/>
  <c r="F29" i="12" s="1"/>
  <c r="G29" i="12" s="1"/>
  <c r="K22" i="13"/>
  <c r="J22" i="13" s="1"/>
  <c r="F22" i="13"/>
  <c r="E22" i="13"/>
  <c r="N21" i="13"/>
  <c r="M21" i="13"/>
  <c r="K21" i="13"/>
  <c r="J21" i="13"/>
  <c r="E21" i="13"/>
  <c r="N20" i="13"/>
  <c r="M20" i="13"/>
  <c r="K20" i="13"/>
  <c r="J20" i="13" s="1"/>
  <c r="F20" i="13"/>
  <c r="E20" i="13"/>
  <c r="N19" i="13"/>
  <c r="O19" i="13" s="1"/>
  <c r="M19" i="13"/>
  <c r="K19" i="13"/>
  <c r="J19" i="13" s="1"/>
  <c r="F19" i="13"/>
  <c r="E19" i="13"/>
  <c r="M18" i="13"/>
  <c r="N18" i="13" s="1"/>
  <c r="O18" i="13" s="1"/>
  <c r="K18" i="13"/>
  <c r="J18" i="13"/>
  <c r="F18" i="13"/>
  <c r="E18" i="13"/>
  <c r="N17" i="13"/>
  <c r="O17" i="13" s="1"/>
  <c r="J17" i="13"/>
  <c r="K17" i="13" s="1"/>
  <c r="E17" i="13"/>
  <c r="J16" i="13"/>
  <c r="K16" i="13" s="1"/>
  <c r="M16" i="13" s="1"/>
  <c r="N16" i="13" s="1"/>
  <c r="O16" i="13" s="1"/>
  <c r="E16" i="13"/>
  <c r="J15" i="13"/>
  <c r="K15" i="13" s="1"/>
  <c r="M15" i="13" s="1"/>
  <c r="N15" i="13" s="1"/>
  <c r="O15" i="13" s="1"/>
  <c r="E15" i="13"/>
  <c r="M14" i="13"/>
  <c r="N14" i="13" s="1"/>
  <c r="O14" i="13" s="1"/>
  <c r="E14" i="13"/>
  <c r="M13" i="13"/>
  <c r="N13" i="13" s="1"/>
  <c r="O13" i="13" s="1"/>
  <c r="K13" i="13"/>
  <c r="J13" i="13"/>
  <c r="E13" i="13"/>
  <c r="N12" i="13"/>
  <c r="M12" i="13"/>
  <c r="J12" i="13"/>
  <c r="G12" i="13"/>
  <c r="F12" i="13" s="1"/>
  <c r="F36" i="13" s="1"/>
  <c r="E12" i="13"/>
  <c r="N11" i="13"/>
  <c r="K11" i="13"/>
  <c r="J11" i="13" s="1"/>
  <c r="F11" i="13"/>
  <c r="E11" i="13"/>
  <c r="N10" i="13"/>
  <c r="F16" i="12" s="1"/>
  <c r="G16" i="12" s="1"/>
  <c r="K10" i="13"/>
  <c r="M10" i="13" s="1"/>
  <c r="E10" i="13"/>
  <c r="N9" i="13"/>
  <c r="K9" i="13"/>
  <c r="M9" i="13" s="1"/>
  <c r="E9" i="13"/>
  <c r="K8" i="13"/>
  <c r="M8" i="13" s="1"/>
  <c r="E8" i="13"/>
  <c r="K7" i="13"/>
  <c r="M7" i="13" s="1"/>
  <c r="E7" i="13"/>
  <c r="J6" i="13"/>
  <c r="K6" i="13" s="1"/>
  <c r="N6" i="13" s="1"/>
  <c r="O6" i="13" s="1"/>
  <c r="F6" i="13"/>
  <c r="E6" i="13"/>
  <c r="M5" i="13"/>
  <c r="N5" i="13" s="1"/>
  <c r="O5" i="13" s="1"/>
  <c r="K5" i="13"/>
  <c r="J5" i="13" s="1"/>
  <c r="G5" i="13"/>
  <c r="G36" i="13" s="1"/>
  <c r="E5" i="13"/>
  <c r="E36" i="13" s="1"/>
  <c r="N4" i="13"/>
  <c r="O4" i="13" s="1"/>
  <c r="M4" i="13"/>
  <c r="K4" i="13"/>
  <c r="E4" i="13"/>
  <c r="K3" i="13"/>
  <c r="N3" i="13" s="1"/>
  <c r="E3" i="13"/>
  <c r="O20" i="13" l="1"/>
  <c r="O11" i="13"/>
  <c r="F33" i="12"/>
  <c r="G33" i="12" s="1"/>
  <c r="O12" i="13"/>
  <c r="J3" i="13"/>
  <c r="O21" i="13"/>
  <c r="F38" i="12"/>
  <c r="G38" i="12" s="1"/>
  <c r="F40" i="12"/>
  <c r="G40" i="12" s="1"/>
  <c r="F46" i="12"/>
  <c r="G46" i="12" s="1"/>
  <c r="F62" i="12"/>
  <c r="G62" i="12" s="1"/>
  <c r="J7" i="13"/>
  <c r="J36" i="13" s="1"/>
  <c r="K33" i="13"/>
  <c r="K36" i="13" s="1"/>
  <c r="O10" i="13"/>
  <c r="O9" i="13"/>
  <c r="O22" i="13"/>
  <c r="N8" i="13"/>
  <c r="O8" i="13" s="1"/>
  <c r="M3" i="13"/>
  <c r="M33" i="13" s="1"/>
  <c r="M36" i="13" s="1"/>
  <c r="N7" i="13"/>
  <c r="O7" i="13" s="1"/>
  <c r="O3" i="13" l="1"/>
  <c r="N33" i="13"/>
  <c r="I66" i="12" s="1"/>
  <c r="I67" i="12" s="1"/>
  <c r="N36" i="13" l="1"/>
  <c r="G49" i="13" s="1"/>
  <c r="G50" i="13" s="1"/>
  <c r="E63" i="12"/>
  <c r="C63" i="12"/>
  <c r="I264" i="10" l="1"/>
  <c r="K264" i="10" s="1"/>
  <c r="F263" i="10"/>
  <c r="G263" i="10" s="1"/>
  <c r="L263" i="10" s="1"/>
  <c r="H262" i="10"/>
  <c r="I262" i="10" s="1"/>
  <c r="K262" i="10" s="1"/>
  <c r="H261" i="10"/>
  <c r="I261" i="10" s="1"/>
  <c r="H260" i="10"/>
  <c r="I260" i="10" s="1"/>
  <c r="H259" i="10"/>
  <c r="I259" i="10" s="1"/>
  <c r="H258" i="10"/>
  <c r="I258" i="10" s="1"/>
  <c r="K258" i="10" s="1"/>
  <c r="H257" i="10"/>
  <c r="I257" i="10" s="1"/>
  <c r="J257" i="10" s="1"/>
  <c r="L257" i="10" s="1"/>
  <c r="H256" i="10"/>
  <c r="I256" i="10" s="1"/>
  <c r="J256" i="10" s="1"/>
  <c r="L256" i="10" s="1"/>
  <c r="H255" i="10"/>
  <c r="I255" i="10" s="1"/>
  <c r="K255" i="10" s="1"/>
  <c r="H254" i="10"/>
  <c r="I254" i="10" s="1"/>
  <c r="H253" i="10"/>
  <c r="I253" i="10" s="1"/>
  <c r="H252" i="10"/>
  <c r="I252" i="10" s="1"/>
  <c r="K252" i="10" s="1"/>
  <c r="H251" i="10"/>
  <c r="I251" i="10" s="1"/>
  <c r="J251" i="10" s="1"/>
  <c r="L251" i="10" s="1"/>
  <c r="H250" i="10"/>
  <c r="I250" i="10" s="1"/>
  <c r="K250" i="10" s="1"/>
  <c r="F249" i="10"/>
  <c r="K249" i="10" s="1"/>
  <c r="H248" i="10"/>
  <c r="I248" i="10" s="1"/>
  <c r="H247" i="10"/>
  <c r="I247" i="10" s="1"/>
  <c r="H246" i="10"/>
  <c r="I246" i="10" s="1"/>
  <c r="K246" i="10" s="1"/>
  <c r="F245" i="10"/>
  <c r="G245" i="10" s="1"/>
  <c r="L245" i="10" s="1"/>
  <c r="F243" i="10"/>
  <c r="G243" i="10" s="1"/>
  <c r="L243" i="10" s="1"/>
  <c r="D240" i="10"/>
  <c r="D241" i="10" s="1"/>
  <c r="I241" i="10" s="1"/>
  <c r="D238" i="10"/>
  <c r="F238" i="10" s="1"/>
  <c r="I236" i="10"/>
  <c r="K236" i="10" s="1"/>
  <c r="F235" i="10"/>
  <c r="G235" i="10" s="1"/>
  <c r="L235" i="10" s="1"/>
  <c r="I233" i="10"/>
  <c r="K233" i="10" s="1"/>
  <c r="F232" i="10"/>
  <c r="D230" i="10"/>
  <c r="D231" i="10" s="1"/>
  <c r="I231" i="10" s="1"/>
  <c r="I227" i="10"/>
  <c r="K227" i="10" s="1"/>
  <c r="I226" i="10"/>
  <c r="K226" i="10" s="1"/>
  <c r="F225" i="10"/>
  <c r="E222" i="10"/>
  <c r="F222" i="10" s="1"/>
  <c r="D222" i="10"/>
  <c r="E221" i="10"/>
  <c r="F221" i="10" s="1"/>
  <c r="E220" i="10"/>
  <c r="F220" i="10" s="1"/>
  <c r="D220" i="10"/>
  <c r="I217" i="10"/>
  <c r="K217" i="10" s="1"/>
  <c r="I216" i="10"/>
  <c r="K216" i="10" s="1"/>
  <c r="I215" i="10"/>
  <c r="J215" i="10" s="1"/>
  <c r="L215" i="10" s="1"/>
  <c r="D214" i="10"/>
  <c r="F214" i="10" s="1"/>
  <c r="K214" i="10" s="1"/>
  <c r="E211" i="10"/>
  <c r="F211" i="10" s="1"/>
  <c r="K211" i="10" s="1"/>
  <c r="D211" i="10"/>
  <c r="I208" i="10"/>
  <c r="K208" i="10" s="1"/>
  <c r="I207" i="10"/>
  <c r="I206" i="10"/>
  <c r="K206" i="10" s="1"/>
  <c r="D205" i="10"/>
  <c r="F205" i="10" s="1"/>
  <c r="K205" i="10" s="1"/>
  <c r="E202" i="10"/>
  <c r="F202" i="10" s="1"/>
  <c r="I199" i="10"/>
  <c r="K199" i="10" s="1"/>
  <c r="D198" i="10"/>
  <c r="F198" i="10" s="1"/>
  <c r="E196" i="10"/>
  <c r="F196" i="10" s="1"/>
  <c r="I193" i="10"/>
  <c r="I192" i="10"/>
  <c r="K192" i="10" s="1"/>
  <c r="I191" i="10"/>
  <c r="K191" i="10" s="1"/>
  <c r="D190" i="10"/>
  <c r="F190" i="10" s="1"/>
  <c r="E187" i="10"/>
  <c r="F187" i="10" s="1"/>
  <c r="I184" i="10"/>
  <c r="I183" i="10"/>
  <c r="K183" i="10" s="1"/>
  <c r="I182" i="10"/>
  <c r="K182" i="10" s="1"/>
  <c r="F181" i="10"/>
  <c r="D181" i="10"/>
  <c r="E179" i="10"/>
  <c r="F179" i="10" s="1"/>
  <c r="I176" i="10"/>
  <c r="I175" i="10"/>
  <c r="K175" i="10" s="1"/>
  <c r="I174" i="10"/>
  <c r="K174" i="10" s="1"/>
  <c r="D173" i="10"/>
  <c r="F173" i="10" s="1"/>
  <c r="E170" i="10"/>
  <c r="F170" i="10" s="1"/>
  <c r="I167" i="10"/>
  <c r="I166" i="10"/>
  <c r="K166" i="10" s="1"/>
  <c r="D165" i="10"/>
  <c r="F165" i="10" s="1"/>
  <c r="K165" i="10" s="1"/>
  <c r="E163" i="10"/>
  <c r="F163" i="10" s="1"/>
  <c r="K163" i="10" s="1"/>
  <c r="I160" i="10"/>
  <c r="K160" i="10" s="1"/>
  <c r="I159" i="10"/>
  <c r="I158" i="10"/>
  <c r="K158" i="10" s="1"/>
  <c r="G157" i="10"/>
  <c r="L157" i="10" s="1"/>
  <c r="D157" i="10"/>
  <c r="F157" i="10" s="1"/>
  <c r="K157" i="10" s="1"/>
  <c r="E154" i="10"/>
  <c r="F154" i="10" s="1"/>
  <c r="K154" i="10" s="1"/>
  <c r="E151" i="10"/>
  <c r="F151" i="10" s="1"/>
  <c r="K151" i="10" s="1"/>
  <c r="G150" i="10"/>
  <c r="L150" i="10" s="1"/>
  <c r="E150" i="10"/>
  <c r="F150" i="10" s="1"/>
  <c r="K150" i="10" s="1"/>
  <c r="E149" i="10"/>
  <c r="F149" i="10" s="1"/>
  <c r="K149" i="10" s="1"/>
  <c r="D149" i="10"/>
  <c r="I146" i="10"/>
  <c r="J146" i="10" s="1"/>
  <c r="L146" i="10" s="1"/>
  <c r="I145" i="10"/>
  <c r="I144" i="10"/>
  <c r="J144" i="10" s="1"/>
  <c r="L144" i="10" s="1"/>
  <c r="D143" i="10"/>
  <c r="F143" i="10" s="1"/>
  <c r="E140" i="10"/>
  <c r="F140" i="10" s="1"/>
  <c r="H136" i="10"/>
  <c r="I136" i="10" s="1"/>
  <c r="J136" i="10" s="1"/>
  <c r="L136" i="10" s="1"/>
  <c r="F135" i="10"/>
  <c r="K135" i="10" s="1"/>
  <c r="F133" i="10"/>
  <c r="K133" i="10" s="1"/>
  <c r="F132" i="10"/>
  <c r="E130" i="10"/>
  <c r="D130" i="10"/>
  <c r="F129" i="10"/>
  <c r="G129" i="10" s="1"/>
  <c r="L129" i="10" s="1"/>
  <c r="D128" i="10"/>
  <c r="I128" i="10" s="1"/>
  <c r="F127" i="10"/>
  <c r="K127" i="10" s="1"/>
  <c r="I126" i="10"/>
  <c r="I125" i="10"/>
  <c r="K125" i="10" s="1"/>
  <c r="D124" i="10"/>
  <c r="F124" i="10" s="1"/>
  <c r="F122" i="10"/>
  <c r="K122" i="10" s="1"/>
  <c r="H120" i="10"/>
  <c r="D120" i="10"/>
  <c r="F119" i="10"/>
  <c r="K119" i="10" s="1"/>
  <c r="I118" i="10"/>
  <c r="J118" i="10" s="1"/>
  <c r="L118" i="10" s="1"/>
  <c r="D117" i="10"/>
  <c r="I117" i="10" s="1"/>
  <c r="E116" i="10"/>
  <c r="F116" i="10" s="1"/>
  <c r="E115" i="10"/>
  <c r="F115" i="10" s="1"/>
  <c r="I113" i="10"/>
  <c r="J113" i="10" s="1"/>
  <c r="L113" i="10" s="1"/>
  <c r="I112" i="10"/>
  <c r="K112" i="10" s="1"/>
  <c r="J111" i="10"/>
  <c r="L111" i="10" s="1"/>
  <c r="I111" i="10"/>
  <c r="K111" i="10" s="1"/>
  <c r="F110" i="10"/>
  <c r="G110" i="10" s="1"/>
  <c r="L110" i="10" s="1"/>
  <c r="D109" i="10"/>
  <c r="I109" i="10" s="1"/>
  <c r="J109" i="10" s="1"/>
  <c r="L109" i="10" s="1"/>
  <c r="F108" i="10"/>
  <c r="K108" i="10" s="1"/>
  <c r="D107" i="10"/>
  <c r="I107" i="10" s="1"/>
  <c r="F106" i="10"/>
  <c r="K106" i="10" s="1"/>
  <c r="H104" i="10"/>
  <c r="I104" i="10" s="1"/>
  <c r="K104" i="10" s="1"/>
  <c r="F103" i="10"/>
  <c r="G103" i="10" s="1"/>
  <c r="L103" i="10" s="1"/>
  <c r="F102" i="10"/>
  <c r="K102" i="10" s="1"/>
  <c r="F101" i="10"/>
  <c r="F100" i="10"/>
  <c r="K100" i="10" s="1"/>
  <c r="I98" i="10"/>
  <c r="J98" i="10" s="1"/>
  <c r="L98" i="10" s="1"/>
  <c r="F97" i="10"/>
  <c r="F96" i="10"/>
  <c r="K96" i="10" s="1"/>
  <c r="F95" i="10"/>
  <c r="K95" i="10" s="1"/>
  <c r="A95" i="10"/>
  <c r="A96" i="10" s="1"/>
  <c r="A97" i="10" s="1"/>
  <c r="A100" i="10" s="1"/>
  <c r="A101" i="10" s="1"/>
  <c r="A102" i="10" s="1"/>
  <c r="A103" i="10" s="1"/>
  <c r="A106" i="10" s="1"/>
  <c r="A108" i="10" s="1"/>
  <c r="A110" i="10" s="1"/>
  <c r="A115" i="10" s="1"/>
  <c r="A116" i="10" s="1"/>
  <c r="A119" i="10" s="1"/>
  <c r="A122" i="10" s="1"/>
  <c r="A124" i="10" s="1"/>
  <c r="A127" i="10" s="1"/>
  <c r="A129" i="10" s="1"/>
  <c r="A130" i="10" s="1"/>
  <c r="A132" i="10" s="1"/>
  <c r="A133" i="10" s="1"/>
  <c r="A135" i="10" s="1"/>
  <c r="A140" i="10" s="1"/>
  <c r="A143" i="10" s="1"/>
  <c r="A149" i="10" s="1"/>
  <c r="A150" i="10" s="1"/>
  <c r="A151" i="10" s="1"/>
  <c r="A154" i="10" s="1"/>
  <c r="A157" i="10" s="1"/>
  <c r="A163" i="10" s="1"/>
  <c r="A165" i="10" s="1"/>
  <c r="A170" i="10" s="1"/>
  <c r="A173" i="10" s="1"/>
  <c r="A179" i="10" s="1"/>
  <c r="A181" i="10" s="1"/>
  <c r="A187" i="10" s="1"/>
  <c r="A190" i="10" s="1"/>
  <c r="A196" i="10" s="1"/>
  <c r="A198" i="10" s="1"/>
  <c r="A202" i="10" s="1"/>
  <c r="A205" i="10" s="1"/>
  <c r="A211" i="10" s="1"/>
  <c r="A214" i="10" s="1"/>
  <c r="A220" i="10" s="1"/>
  <c r="A221" i="10" s="1"/>
  <c r="A222" i="10" s="1"/>
  <c r="A225" i="10" s="1"/>
  <c r="A230" i="10" s="1"/>
  <c r="A232" i="10" s="1"/>
  <c r="D93" i="10"/>
  <c r="I93" i="10" s="1"/>
  <c r="F92" i="10"/>
  <c r="G92" i="10" s="1"/>
  <c r="L92" i="10" s="1"/>
  <c r="I90" i="10"/>
  <c r="K90" i="10" s="1"/>
  <c r="F89" i="10"/>
  <c r="K89" i="10" s="1"/>
  <c r="D88" i="10"/>
  <c r="I88" i="10" s="1"/>
  <c r="K88" i="10" s="1"/>
  <c r="F87" i="10"/>
  <c r="K87" i="10" s="1"/>
  <c r="D86" i="10"/>
  <c r="I86" i="10" s="1"/>
  <c r="J86" i="10" s="1"/>
  <c r="L86" i="10" s="1"/>
  <c r="G85" i="10"/>
  <c r="L85" i="10" s="1"/>
  <c r="F85" i="10"/>
  <c r="K85" i="10" s="1"/>
  <c r="D84" i="10"/>
  <c r="I84" i="10" s="1"/>
  <c r="J84" i="10" s="1"/>
  <c r="L84" i="10" s="1"/>
  <c r="F83" i="10"/>
  <c r="K83" i="10" s="1"/>
  <c r="D82" i="10"/>
  <c r="I82" i="10" s="1"/>
  <c r="D81" i="10"/>
  <c r="I81" i="10" s="1"/>
  <c r="F80" i="10"/>
  <c r="G80" i="10" s="1"/>
  <c r="L80" i="10" s="1"/>
  <c r="D79" i="10"/>
  <c r="I79" i="10" s="1"/>
  <c r="K79" i="10" s="1"/>
  <c r="F78" i="10"/>
  <c r="G78" i="10" s="1"/>
  <c r="L78" i="10" s="1"/>
  <c r="D77" i="10"/>
  <c r="I77" i="10" s="1"/>
  <c r="K77" i="10" s="1"/>
  <c r="F76" i="10"/>
  <c r="D74" i="10"/>
  <c r="I74" i="10" s="1"/>
  <c r="F73" i="10"/>
  <c r="G73" i="10" s="1"/>
  <c r="L73" i="10" s="1"/>
  <c r="D72" i="10"/>
  <c r="I72" i="10" s="1"/>
  <c r="K72" i="10" s="1"/>
  <c r="F71" i="10"/>
  <c r="G71" i="10" s="1"/>
  <c r="L71" i="10" s="1"/>
  <c r="D70" i="10"/>
  <c r="I70" i="10" s="1"/>
  <c r="K70" i="10" s="1"/>
  <c r="F69" i="10"/>
  <c r="D68" i="10"/>
  <c r="F68" i="10" s="1"/>
  <c r="F67" i="10"/>
  <c r="K67" i="10" s="1"/>
  <c r="H65" i="10"/>
  <c r="D65" i="10"/>
  <c r="F64" i="10"/>
  <c r="G64" i="10" s="1"/>
  <c r="L64" i="10" s="1"/>
  <c r="H63" i="10"/>
  <c r="D63" i="10"/>
  <c r="F62" i="10"/>
  <c r="G62" i="10" s="1"/>
  <c r="L62" i="10" s="1"/>
  <c r="A62" i="10"/>
  <c r="A64" i="10" s="1"/>
  <c r="A67" i="10" s="1"/>
  <c r="A68" i="10" s="1"/>
  <c r="A69" i="10" s="1"/>
  <c r="A71" i="10" s="1"/>
  <c r="A73" i="10" s="1"/>
  <c r="A76" i="10" s="1"/>
  <c r="A78" i="10" s="1"/>
  <c r="A80" i="10" s="1"/>
  <c r="A83" i="10" s="1"/>
  <c r="A85" i="10" s="1"/>
  <c r="A87" i="10" s="1"/>
  <c r="A89" i="10" s="1"/>
  <c r="A92" i="10" s="1"/>
  <c r="I60" i="10"/>
  <c r="J60" i="10" s="1"/>
  <c r="L60" i="10" s="1"/>
  <c r="I59" i="10"/>
  <c r="K59" i="10" s="1"/>
  <c r="K58" i="10"/>
  <c r="I58" i="10"/>
  <c r="J58" i="10" s="1"/>
  <c r="L58" i="10" s="1"/>
  <c r="D57" i="10"/>
  <c r="F57" i="10" s="1"/>
  <c r="G57" i="10" s="1"/>
  <c r="L57" i="10" s="1"/>
  <c r="I55" i="10"/>
  <c r="J55" i="10" s="1"/>
  <c r="L55" i="10" s="1"/>
  <c r="F54" i="10"/>
  <c r="G54" i="10" s="1"/>
  <c r="L54" i="10" s="1"/>
  <c r="H53" i="10"/>
  <c r="I53" i="10" s="1"/>
  <c r="F52" i="10"/>
  <c r="G52" i="10" s="1"/>
  <c r="L52" i="10" s="1"/>
  <c r="H51" i="10"/>
  <c r="I51" i="10" s="1"/>
  <c r="K51" i="10" s="1"/>
  <c r="D50" i="10"/>
  <c r="F50" i="10" s="1"/>
  <c r="F48" i="10"/>
  <c r="G48" i="10" s="1"/>
  <c r="L48" i="10" s="1"/>
  <c r="F47" i="10"/>
  <c r="K47" i="10" s="1"/>
  <c r="I46" i="10"/>
  <c r="K46" i="10" s="1"/>
  <c r="H45" i="10"/>
  <c r="I45" i="10" s="1"/>
  <c r="J45" i="10" s="1"/>
  <c r="L45" i="10" s="1"/>
  <c r="I44" i="10"/>
  <c r="K44" i="10" s="1"/>
  <c r="I43" i="10"/>
  <c r="K43" i="10" s="1"/>
  <c r="I42" i="10"/>
  <c r="K42" i="10" s="1"/>
  <c r="D41" i="10"/>
  <c r="F41" i="10" s="1"/>
  <c r="K41" i="10" s="1"/>
  <c r="D38" i="10"/>
  <c r="D39" i="10" s="1"/>
  <c r="I39" i="10" s="1"/>
  <c r="H37" i="10"/>
  <c r="D36" i="10"/>
  <c r="D37" i="10" s="1"/>
  <c r="I37" i="10" s="1"/>
  <c r="H35" i="10"/>
  <c r="D35" i="10"/>
  <c r="F34" i="10"/>
  <c r="G34" i="10" s="1"/>
  <c r="L34" i="10" s="1"/>
  <c r="I33" i="10"/>
  <c r="K33" i="10" s="1"/>
  <c r="I32" i="10"/>
  <c r="K32" i="10" s="1"/>
  <c r="I31" i="10"/>
  <c r="K31" i="10" s="1"/>
  <c r="F30" i="10"/>
  <c r="K30" i="10" s="1"/>
  <c r="H29" i="10"/>
  <c r="D29" i="10"/>
  <c r="F28" i="10"/>
  <c r="K28" i="10" s="1"/>
  <c r="A28" i="10"/>
  <c r="A30" i="10" s="1"/>
  <c r="A34" i="10" s="1"/>
  <c r="A36" i="10" s="1"/>
  <c r="A38" i="10" s="1"/>
  <c r="A41" i="10" s="1"/>
  <c r="A47" i="10" s="1"/>
  <c r="A48" i="10" s="1"/>
  <c r="A50" i="10" s="1"/>
  <c r="A52" i="10" s="1"/>
  <c r="A54" i="10" s="1"/>
  <c r="A57" i="10" s="1"/>
  <c r="I27" i="10"/>
  <c r="F26" i="10"/>
  <c r="G26" i="10" s="1"/>
  <c r="L26" i="10" s="1"/>
  <c r="F24" i="10"/>
  <c r="K24" i="10" s="1"/>
  <c r="F23" i="10"/>
  <c r="K23" i="10" s="1"/>
  <c r="E21" i="10"/>
  <c r="F21" i="10" s="1"/>
  <c r="E20" i="10"/>
  <c r="F20" i="10" s="1"/>
  <c r="F19" i="10"/>
  <c r="K19" i="10" s="1"/>
  <c r="F18" i="10"/>
  <c r="G18" i="10" s="1"/>
  <c r="L18" i="10" s="1"/>
  <c r="K17" i="10"/>
  <c r="F17" i="10"/>
  <c r="G17" i="10" s="1"/>
  <c r="L17" i="10" s="1"/>
  <c r="F16" i="10"/>
  <c r="K16" i="10" s="1"/>
  <c r="F15" i="10"/>
  <c r="G15" i="10" s="1"/>
  <c r="L15" i="10" s="1"/>
  <c r="F14" i="10"/>
  <c r="K14" i="10" s="1"/>
  <c r="F13" i="10"/>
  <c r="K13" i="10" s="1"/>
  <c r="F12" i="10"/>
  <c r="G12" i="10" s="1"/>
  <c r="L12" i="10" s="1"/>
  <c r="F11" i="10"/>
  <c r="K11" i="10" s="1"/>
  <c r="F10" i="10"/>
  <c r="G10" i="10" s="1"/>
  <c r="L10" i="10" s="1"/>
  <c r="F9" i="10"/>
  <c r="K9" i="10" s="1"/>
  <c r="F8" i="10"/>
  <c r="K8" i="10" s="1"/>
  <c r="A8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3" i="10" s="1"/>
  <c r="A24" i="10" s="1"/>
  <c r="G106" i="10" l="1"/>
  <c r="L106" i="10" s="1"/>
  <c r="A9" i="10"/>
  <c r="G108" i="10"/>
  <c r="L108" i="10" s="1"/>
  <c r="K144" i="10"/>
  <c r="G24" i="10"/>
  <c r="L24" i="10" s="1"/>
  <c r="K80" i="10"/>
  <c r="K146" i="10"/>
  <c r="J233" i="10"/>
  <c r="L233" i="10" s="1"/>
  <c r="K55" i="10"/>
  <c r="K78" i="10"/>
  <c r="G96" i="10"/>
  <c r="L96" i="10" s="1"/>
  <c r="K243" i="10"/>
  <c r="K257" i="10"/>
  <c r="J90" i="10"/>
  <c r="L90" i="10" s="1"/>
  <c r="F36" i="10"/>
  <c r="G36" i="10" s="1"/>
  <c r="L36" i="10" s="1"/>
  <c r="G165" i="10"/>
  <c r="L165" i="10" s="1"/>
  <c r="K64" i="10"/>
  <c r="J43" i="10"/>
  <c r="L43" i="10" s="1"/>
  <c r="J44" i="10"/>
  <c r="L44" i="10" s="1"/>
  <c r="J72" i="10"/>
  <c r="L72" i="10" s="1"/>
  <c r="J32" i="10"/>
  <c r="L32" i="10" s="1"/>
  <c r="K62" i="10"/>
  <c r="J70" i="10"/>
  <c r="L70" i="10" s="1"/>
  <c r="J160" i="10"/>
  <c r="L160" i="10" s="1"/>
  <c r="G214" i="10"/>
  <c r="L214" i="10" s="1"/>
  <c r="F230" i="10"/>
  <c r="K230" i="10" s="1"/>
  <c r="J250" i="10"/>
  <c r="L250" i="10" s="1"/>
  <c r="K15" i="10"/>
  <c r="K26" i="10"/>
  <c r="I29" i="10"/>
  <c r="K29" i="10" s="1"/>
  <c r="I35" i="10"/>
  <c r="K35" i="10" s="1"/>
  <c r="K60" i="10"/>
  <c r="G154" i="10"/>
  <c r="L154" i="10" s="1"/>
  <c r="J217" i="10"/>
  <c r="L217" i="10" s="1"/>
  <c r="J226" i="10"/>
  <c r="L226" i="10" s="1"/>
  <c r="K235" i="10"/>
  <c r="K86" i="10"/>
  <c r="G89" i="10"/>
  <c r="L89" i="10" s="1"/>
  <c r="K98" i="10"/>
  <c r="G102" i="10"/>
  <c r="L102" i="10" s="1"/>
  <c r="K113" i="10"/>
  <c r="F130" i="10"/>
  <c r="K130" i="10" s="1"/>
  <c r="G135" i="10"/>
  <c r="L135" i="10" s="1"/>
  <c r="K117" i="10"/>
  <c r="J117" i="10"/>
  <c r="L117" i="10" s="1"/>
  <c r="G50" i="10"/>
  <c r="L50" i="10" s="1"/>
  <c r="K50" i="10"/>
  <c r="K39" i="10"/>
  <c r="J39" i="10"/>
  <c r="L39" i="10" s="1"/>
  <c r="K261" i="10"/>
  <c r="J261" i="10"/>
  <c r="L261" i="10" s="1"/>
  <c r="G11" i="10"/>
  <c r="L11" i="10" s="1"/>
  <c r="G30" i="10"/>
  <c r="L30" i="10" s="1"/>
  <c r="J31" i="10"/>
  <c r="L31" i="10" s="1"/>
  <c r="F38" i="10"/>
  <c r="G38" i="10" s="1"/>
  <c r="L38" i="10" s="1"/>
  <c r="G41" i="10"/>
  <c r="L41" i="10" s="1"/>
  <c r="K54" i="10"/>
  <c r="J59" i="10"/>
  <c r="L59" i="10" s="1"/>
  <c r="I63" i="10"/>
  <c r="K63" i="10" s="1"/>
  <c r="G83" i="10"/>
  <c r="L83" i="10" s="1"/>
  <c r="K84" i="10"/>
  <c r="K109" i="10"/>
  <c r="G119" i="10"/>
  <c r="L119" i="10" s="1"/>
  <c r="G122" i="10"/>
  <c r="L122" i="10" s="1"/>
  <c r="G149" i="10"/>
  <c r="L149" i="10" s="1"/>
  <c r="J174" i="10"/>
  <c r="L174" i="10" s="1"/>
  <c r="J182" i="10"/>
  <c r="L182" i="10" s="1"/>
  <c r="J191" i="10"/>
  <c r="L191" i="10" s="1"/>
  <c r="J208" i="10"/>
  <c r="L208" i="10" s="1"/>
  <c r="J216" i="10"/>
  <c r="L216" i="10" s="1"/>
  <c r="J236" i="10"/>
  <c r="L236" i="10" s="1"/>
  <c r="F240" i="10"/>
  <c r="G249" i="10"/>
  <c r="L249" i="10" s="1"/>
  <c r="J262" i="10"/>
  <c r="L262" i="10" s="1"/>
  <c r="J33" i="10"/>
  <c r="L33" i="10" s="1"/>
  <c r="G47" i="10"/>
  <c r="L47" i="10" s="1"/>
  <c r="K71" i="10"/>
  <c r="K73" i="10"/>
  <c r="J77" i="10"/>
  <c r="L77" i="10" s="1"/>
  <c r="J79" i="10"/>
  <c r="L79" i="10" s="1"/>
  <c r="K92" i="10"/>
  <c r="I120" i="10"/>
  <c r="J120" i="10" s="1"/>
  <c r="L120" i="10" s="1"/>
  <c r="J199" i="10"/>
  <c r="L199" i="10" s="1"/>
  <c r="K215" i="10"/>
  <c r="K245" i="10"/>
  <c r="K256" i="10"/>
  <c r="J264" i="10"/>
  <c r="L264" i="10" s="1"/>
  <c r="G19" i="10"/>
  <c r="L19" i="10" s="1"/>
  <c r="K263" i="10"/>
  <c r="J37" i="10"/>
  <c r="L37" i="10" s="1"/>
  <c r="K37" i="10"/>
  <c r="K20" i="10"/>
  <c r="G20" i="10"/>
  <c r="L20" i="10" s="1"/>
  <c r="K21" i="10"/>
  <c r="G21" i="10"/>
  <c r="L21" i="10" s="1"/>
  <c r="A235" i="10"/>
  <c r="A238" i="10"/>
  <c r="A240" i="10" s="1"/>
  <c r="A243" i="10" s="1"/>
  <c r="A245" i="10" s="1"/>
  <c r="A249" i="10" s="1"/>
  <c r="A263" i="10" s="1"/>
  <c r="K53" i="10"/>
  <c r="J53" i="10"/>
  <c r="L53" i="10" s="1"/>
  <c r="K76" i="10"/>
  <c r="G76" i="10"/>
  <c r="L76" i="10" s="1"/>
  <c r="G14" i="10"/>
  <c r="L14" i="10" s="1"/>
  <c r="K18" i="10"/>
  <c r="G28" i="10"/>
  <c r="L28" i="10" s="1"/>
  <c r="K34" i="10"/>
  <c r="J42" i="10"/>
  <c r="L42" i="10" s="1"/>
  <c r="K45" i="10"/>
  <c r="J51" i="10"/>
  <c r="L51" i="10" s="1"/>
  <c r="K57" i="10"/>
  <c r="K82" i="10"/>
  <c r="J82" i="10"/>
  <c r="L82" i="10" s="1"/>
  <c r="K120" i="10"/>
  <c r="K124" i="10"/>
  <c r="G124" i="10"/>
  <c r="L124" i="10" s="1"/>
  <c r="G143" i="10"/>
  <c r="L143" i="10" s="1"/>
  <c r="K143" i="10"/>
  <c r="K179" i="10"/>
  <c r="G179" i="10"/>
  <c r="L179" i="10" s="1"/>
  <c r="K254" i="10"/>
  <c r="J254" i="10"/>
  <c r="L254" i="10" s="1"/>
  <c r="K69" i="10"/>
  <c r="G69" i="10"/>
  <c r="L69" i="10" s="1"/>
  <c r="K27" i="10"/>
  <c r="K184" i="10"/>
  <c r="J184" i="10"/>
  <c r="L184" i="10" s="1"/>
  <c r="K97" i="10"/>
  <c r="G97" i="10"/>
  <c r="L97" i="10" s="1"/>
  <c r="K202" i="10"/>
  <c r="G202" i="10"/>
  <c r="L202" i="10" s="1"/>
  <c r="G9" i="10"/>
  <c r="L9" i="10" s="1"/>
  <c r="G13" i="10"/>
  <c r="L13" i="10" s="1"/>
  <c r="G16" i="10"/>
  <c r="L16" i="10" s="1"/>
  <c r="G23" i="10"/>
  <c r="L23" i="10" s="1"/>
  <c r="J27" i="10"/>
  <c r="L27" i="10" s="1"/>
  <c r="J46" i="10"/>
  <c r="L46" i="10" s="1"/>
  <c r="J107" i="10"/>
  <c r="L107" i="10" s="1"/>
  <c r="K107" i="10"/>
  <c r="J126" i="10"/>
  <c r="L126" i="10" s="1"/>
  <c r="K126" i="10"/>
  <c r="K181" i="10"/>
  <c r="G181" i="10"/>
  <c r="L181" i="10" s="1"/>
  <c r="K241" i="10"/>
  <c r="J241" i="10"/>
  <c r="L241" i="10" s="1"/>
  <c r="G140" i="10"/>
  <c r="L140" i="10" s="1"/>
  <c r="K140" i="10"/>
  <c r="K260" i="10"/>
  <c r="J260" i="10"/>
  <c r="L260" i="10" s="1"/>
  <c r="K10" i="10"/>
  <c r="K74" i="10"/>
  <c r="J74" i="10"/>
  <c r="L74" i="10" s="1"/>
  <c r="K81" i="10"/>
  <c r="J81" i="10"/>
  <c r="L81" i="10" s="1"/>
  <c r="K93" i="10"/>
  <c r="J93" i="10"/>
  <c r="L93" i="10" s="1"/>
  <c r="K101" i="10"/>
  <c r="G101" i="10"/>
  <c r="L101" i="10" s="1"/>
  <c r="G132" i="10"/>
  <c r="L132" i="10" s="1"/>
  <c r="K132" i="10"/>
  <c r="K220" i="10"/>
  <c r="G220" i="10"/>
  <c r="L220" i="10" s="1"/>
  <c r="G116" i="10"/>
  <c r="L116" i="10" s="1"/>
  <c r="K116" i="10"/>
  <c r="K196" i="10"/>
  <c r="G196" i="10"/>
  <c r="L196" i="10" s="1"/>
  <c r="K68" i="10"/>
  <c r="G68" i="10"/>
  <c r="L68" i="10" s="1"/>
  <c r="G8" i="10"/>
  <c r="L8" i="10" s="1"/>
  <c r="K12" i="10"/>
  <c r="K48" i="10"/>
  <c r="K52" i="10"/>
  <c r="I65" i="10"/>
  <c r="G115" i="10"/>
  <c r="L115" i="10" s="1"/>
  <c r="K115" i="10"/>
  <c r="K128" i="10"/>
  <c r="J128" i="10"/>
  <c r="L128" i="10" s="1"/>
  <c r="K136" i="10"/>
  <c r="K145" i="10"/>
  <c r="J145" i="10"/>
  <c r="L145" i="10" s="1"/>
  <c r="K170" i="10"/>
  <c r="G170" i="10"/>
  <c r="L170" i="10" s="1"/>
  <c r="K190" i="10"/>
  <c r="G190" i="10"/>
  <c r="L190" i="10" s="1"/>
  <c r="K221" i="10"/>
  <c r="G221" i="10"/>
  <c r="L221" i="10" s="1"/>
  <c r="K259" i="10"/>
  <c r="J259" i="10"/>
  <c r="L259" i="10" s="1"/>
  <c r="K173" i="10"/>
  <c r="G173" i="10"/>
  <c r="L173" i="10" s="1"/>
  <c r="K176" i="10"/>
  <c r="J176" i="10"/>
  <c r="L176" i="10" s="1"/>
  <c r="K187" i="10"/>
  <c r="G187" i="10"/>
  <c r="L187" i="10" s="1"/>
  <c r="K198" i="10"/>
  <c r="G198" i="10"/>
  <c r="L198" i="10" s="1"/>
  <c r="K207" i="10"/>
  <c r="J207" i="10"/>
  <c r="L207" i="10" s="1"/>
  <c r="K240" i="10"/>
  <c r="G240" i="10"/>
  <c r="L240" i="10" s="1"/>
  <c r="K247" i="10"/>
  <c r="J247" i="10"/>
  <c r="L247" i="10" s="1"/>
  <c r="J88" i="10"/>
  <c r="L88" i="10" s="1"/>
  <c r="G95" i="10"/>
  <c r="L95" i="10" s="1"/>
  <c r="G100" i="10"/>
  <c r="L100" i="10" s="1"/>
  <c r="J104" i="10"/>
  <c r="L104" i="10" s="1"/>
  <c r="K110" i="10"/>
  <c r="J112" i="10"/>
  <c r="L112" i="10" s="1"/>
  <c r="K118" i="10"/>
  <c r="G130" i="10"/>
  <c r="L130" i="10" s="1"/>
  <c r="G163" i="10"/>
  <c r="L163" i="10" s="1"/>
  <c r="G211" i="10"/>
  <c r="L211" i="10" s="1"/>
  <c r="K222" i="10"/>
  <c r="G222" i="10"/>
  <c r="L222" i="10" s="1"/>
  <c r="K231" i="10"/>
  <c r="J231" i="10"/>
  <c r="L231" i="10" s="1"/>
  <c r="J255" i="10"/>
  <c r="L255" i="10" s="1"/>
  <c r="G67" i="10"/>
  <c r="L67" i="10" s="1"/>
  <c r="G87" i="10"/>
  <c r="L87" i="10" s="1"/>
  <c r="J125" i="10"/>
  <c r="L125" i="10" s="1"/>
  <c r="G127" i="10"/>
  <c r="L127" i="10" s="1"/>
  <c r="G133" i="10"/>
  <c r="L133" i="10" s="1"/>
  <c r="G151" i="10"/>
  <c r="L151" i="10" s="1"/>
  <c r="K159" i="10"/>
  <c r="J159" i="10"/>
  <c r="L159" i="10" s="1"/>
  <c r="K167" i="10"/>
  <c r="J167" i="10"/>
  <c r="L167" i="10" s="1"/>
  <c r="K193" i="10"/>
  <c r="J193" i="10"/>
  <c r="L193" i="10" s="1"/>
  <c r="G205" i="10"/>
  <c r="L205" i="10" s="1"/>
  <c r="K238" i="10"/>
  <c r="G238" i="10"/>
  <c r="L238" i="10" s="1"/>
  <c r="K248" i="10"/>
  <c r="J248" i="10"/>
  <c r="L248" i="10" s="1"/>
  <c r="K253" i="10"/>
  <c r="J253" i="10"/>
  <c r="L253" i="10" s="1"/>
  <c r="K103" i="10"/>
  <c r="K129" i="10"/>
  <c r="K225" i="10"/>
  <c r="G225" i="10"/>
  <c r="L225" i="10" s="1"/>
  <c r="K232" i="10"/>
  <c r="G232" i="10"/>
  <c r="L232" i="10" s="1"/>
  <c r="D239" i="10"/>
  <c r="I239" i="10" s="1"/>
  <c r="K251" i="10"/>
  <c r="J158" i="10"/>
  <c r="L158" i="10" s="1"/>
  <c r="J166" i="10"/>
  <c r="L166" i="10" s="1"/>
  <c r="J175" i="10"/>
  <c r="L175" i="10" s="1"/>
  <c r="J183" i="10"/>
  <c r="L183" i="10" s="1"/>
  <c r="J192" i="10"/>
  <c r="L192" i="10" s="1"/>
  <c r="J206" i="10"/>
  <c r="L206" i="10" s="1"/>
  <c r="J227" i="10"/>
  <c r="L227" i="10" s="1"/>
  <c r="G230" i="10"/>
  <c r="L230" i="10" s="1"/>
  <c r="J246" i="10"/>
  <c r="L246" i="10" s="1"/>
  <c r="J252" i="10"/>
  <c r="L252" i="10" s="1"/>
  <c r="J258" i="10"/>
  <c r="L258" i="10" s="1"/>
  <c r="K36" i="10" l="1"/>
  <c r="J35" i="10"/>
  <c r="L35" i="10" s="1"/>
  <c r="J29" i="10"/>
  <c r="L29" i="10" s="1"/>
  <c r="K38" i="10"/>
  <c r="J63" i="10"/>
  <c r="L63" i="10" s="1"/>
  <c r="F265" i="10"/>
  <c r="G265" i="10" s="1"/>
  <c r="J65" i="10"/>
  <c r="L65" i="10" s="1"/>
  <c r="K65" i="10"/>
  <c r="K265" i="10" s="1"/>
  <c r="L265" i="10" s="1"/>
  <c r="I265" i="10"/>
  <c r="J265" i="10" s="1"/>
  <c r="K239" i="10"/>
  <c r="J239" i="10"/>
  <c r="L239" i="10" s="1"/>
  <c r="C7" i="6" l="1"/>
  <c r="D7" i="6"/>
  <c r="H6" i="6"/>
  <c r="H3" i="6"/>
  <c r="E4" i="6"/>
  <c r="H4" i="6"/>
  <c r="H5" i="6" l="1"/>
  <c r="H7" i="6" s="1"/>
  <c r="G7" i="6"/>
  <c r="E6" i="6"/>
  <c r="E5" i="6"/>
  <c r="E3" i="6"/>
  <c r="F7" i="6"/>
  <c r="E7" i="6" l="1"/>
</calcChain>
</file>

<file path=xl/sharedStrings.xml><?xml version="1.0" encoding="utf-8"?>
<sst xmlns="http://schemas.openxmlformats.org/spreadsheetml/2006/main" count="1633" uniqueCount="707">
  <si>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</si>
  <si>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</si>
  <si>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</si>
  <si>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</si>
  <si>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</si>
  <si>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</si>
  <si>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</si>
  <si>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</si>
  <si>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</si>
  <si>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</si>
  <si>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</si>
  <si>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</si>
  <si>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</si>
  <si>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м3</t>
  </si>
  <si>
    <t xml:space="preserve">Итого </t>
  </si>
  <si>
    <t>м</t>
  </si>
  <si>
    <t>Погрузка лишнего грунта в автосамосвалы</t>
  </si>
  <si>
    <t>т</t>
  </si>
  <si>
    <t>10.1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</si>
  <si>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</si>
  <si>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</si>
  <si>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</si>
  <si>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</si>
  <si>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</si>
  <si>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</si>
  <si>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t>131-23-ГП2 Генеральный план</t>
  </si>
  <si>
    <t>Разработка грунта с перемещением  бульдозером из выемки в отвал</t>
  </si>
  <si>
    <t>Отсыпка территории щебнем</t>
  </si>
  <si>
    <t>Благоустройство (Водоотводной лоток)</t>
  </si>
  <si>
    <t>Устройство лотка водоотводного</t>
  </si>
  <si>
    <t>Устройство водоприемной решетки</t>
  </si>
  <si>
    <t>Лоток BetoMax Drive ЛВ-30.36.26-Б 47471</t>
  </si>
  <si>
    <t>Решетка Drive РВ-30.35.50-щель-ВЧ кл.C 273033-D</t>
  </si>
  <si>
    <t>Болт М10х25 ГОСТ 7805-70</t>
  </si>
  <si>
    <t>Гайка М 10 DIN 557 квадрат</t>
  </si>
  <si>
    <t>шт.</t>
  </si>
  <si>
    <t>Устройство слоя основания из щебня (подстилающий слой щебня для лотка)</t>
  </si>
  <si>
    <t>Устройство щебеночной наброски</t>
  </si>
  <si>
    <t>Щебень фракции 20-40мм М600, известняк</t>
  </si>
  <si>
    <t>Благоустройство (Асфальтовое покрытие проездов)</t>
  </si>
  <si>
    <t>Щебень, М600 (20-70мм), известняк</t>
  </si>
  <si>
    <t>м2</t>
  </si>
  <si>
    <t xml:space="preserve">Устройство слоя из песка крупного ГОСТ 8736-2014, h=0,30 </t>
  </si>
  <si>
    <t xml:space="preserve">Асфальтобетон крупнозернистый, плотный горячий на битуме БНД марки 60/90, Тип Б, Марки II </t>
  </si>
  <si>
    <t xml:space="preserve">Асфальтобетон мелкозернистый, плотный горячий на битуме БНД марки 60/90, Тип Б, Марки II </t>
  </si>
  <si>
    <t>Устройство бортовых камней БР 100.30.15</t>
  </si>
  <si>
    <t>Песок крупный ГОСТ 8736-2014 h=0,30 с К упл.= 1,10</t>
  </si>
  <si>
    <t>Бортовые камни БР 100.30.15</t>
  </si>
  <si>
    <t>Битумы нефтяные дорожные вязкие БНД 60/90, БНД 90/130</t>
  </si>
  <si>
    <t>Укладка и пропитка с применением битума щебеночных оснований толщиной 8 см</t>
  </si>
  <si>
    <t>Демонтаж (Существующее асфальтовое покрытие проездов)</t>
  </si>
  <si>
    <t>Демонтаж бортовых камней БР 100.30.15</t>
  </si>
  <si>
    <t>Благоустройство (восстановление сущ. газона)</t>
  </si>
  <si>
    <t>Посев многолетних трав ручным способом</t>
  </si>
  <si>
    <t>Кострец безостный</t>
  </si>
  <si>
    <t>Овсянка луговая</t>
  </si>
  <si>
    <t>Ежа сборная</t>
  </si>
  <si>
    <t>Благоустройство (укрепление откосов георешеткой)</t>
  </si>
  <si>
    <t>кг</t>
  </si>
  <si>
    <t>Земляные работы</t>
  </si>
  <si>
    <t>Разработка грунта вручную</t>
  </si>
  <si>
    <t>Сборные железобетонные, монолитные и кирпичные конструкции</t>
  </si>
  <si>
    <t>Фундамент ограждения ФО-2 «Альбом ИЖ 31-77» массой 0,63 т</t>
  </si>
  <si>
    <t>Панель ограждения ПО-2 «Альбом ИЖ 31-77» массой 1420 кг</t>
  </si>
  <si>
    <t>Кирпич КР-р-по 250х120х88/1,4НФ/150/2,0/50</t>
  </si>
  <si>
    <t>Устройство щебеночной подготовки из щебня фр. 20-40 мм под фундаменты</t>
  </si>
  <si>
    <t>Щебень фр. 20-40, известняк</t>
  </si>
  <si>
    <t>Демонтаж фундамента</t>
  </si>
  <si>
    <t>Демонтаж слоя из песка крупного h=0,30</t>
  </si>
  <si>
    <t>7.1</t>
  </si>
  <si>
    <t>9.1</t>
  </si>
  <si>
    <t>11.1</t>
  </si>
  <si>
    <t>12.1</t>
  </si>
  <si>
    <t>13.1</t>
  </si>
  <si>
    <t>14.1</t>
  </si>
  <si>
    <t>15.1</t>
  </si>
  <si>
    <t>16.1</t>
  </si>
  <si>
    <t>18.1</t>
  </si>
  <si>
    <t>19.1</t>
  </si>
  <si>
    <t>26.1</t>
  </si>
  <si>
    <t>27.1</t>
  </si>
  <si>
    <t>28.1</t>
  </si>
  <si>
    <t>29.1</t>
  </si>
  <si>
    <t>Устройство железобетонных оград из панелей (2,5м*4шт.)</t>
  </si>
  <si>
    <t>Плита перекрытия ПП 10-1</t>
  </si>
  <si>
    <t>Кольцо стеновое КС 10-9</t>
  </si>
  <si>
    <t>Плита днища ПД 10</t>
  </si>
  <si>
    <t>Кольцо стеновое КС 10-3</t>
  </si>
  <si>
    <t>Люк тип Т (К) с пазом под РТИ (Н=100мм)</t>
  </si>
  <si>
    <t>Отвод НПВХ кор б/н Дн200х45гр в/к</t>
  </si>
  <si>
    <t>Труба НПВХ кор б/н Дн200х4,9 L=1,0м в/к SN4</t>
  </si>
  <si>
    <t>Труба КОРСИС DN/OD 200 SN 8 PR-2 (6м) с муфтой и упл.кольцами</t>
  </si>
  <si>
    <t>Устройство колодца канализационного из сборных ж/б</t>
  </si>
  <si>
    <t>Установка отвода Дн200</t>
  </si>
  <si>
    <t>Прокладка труб КОРСИС DN/OD 200</t>
  </si>
  <si>
    <t>цена 417 путь Дн160</t>
  </si>
  <si>
    <t>Прокладка труб НПВХ Дн200</t>
  </si>
  <si>
    <t>52.1</t>
  </si>
  <si>
    <t>53.1</t>
  </si>
  <si>
    <t>55.1</t>
  </si>
  <si>
    <t>56.1</t>
  </si>
  <si>
    <t>Демонтаж слоя из щебня  h=0,08</t>
  </si>
  <si>
    <t>Укладка асфальтобетона мелкозеристого горячего на битуме   h=0,05</t>
  </si>
  <si>
    <t>Подготовка почвы для устройства газона механизированным способом с внесением растительной земли слоем 20 см (80%)</t>
  </si>
  <si>
    <t>Подготовка почвы для устройства газона  ручным способом с внесением растительной земли слоем 20 см (20%)</t>
  </si>
  <si>
    <t>Земля растительная</t>
  </si>
  <si>
    <t>стоимость по ФЕР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</si>
  <si>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</si>
  <si>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</si>
  <si>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Засыпка щебнем с разравниванием</t>
  </si>
  <si>
    <t>1.1</t>
  </si>
  <si>
    <t>2.1</t>
  </si>
  <si>
    <t>3.1</t>
  </si>
  <si>
    <t>3.2</t>
  </si>
  <si>
    <t>3.3</t>
  </si>
  <si>
    <t>4.1</t>
  </si>
  <si>
    <t>5.1</t>
  </si>
  <si>
    <t>6.1</t>
  </si>
  <si>
    <t>Устройство ж/б колодцев</t>
  </si>
  <si>
    <t>7.2</t>
  </si>
  <si>
    <t>7.3</t>
  </si>
  <si>
    <t>7.4</t>
  </si>
  <si>
    <t>7.5</t>
  </si>
  <si>
    <t>Пробивка отверстий в колодцах под футляр</t>
  </si>
  <si>
    <t>Заделка сальников при проходе труб между стенками колодца и трубой</t>
  </si>
  <si>
    <t>Прокладка трубопровода</t>
  </si>
  <si>
    <t xml:space="preserve">цена 417 путь </t>
  </si>
  <si>
    <t>Поднятие горловин сущ. ж/б колодцев</t>
  </si>
  <si>
    <t xml:space="preserve">Люк тяжелый </t>
  </si>
  <si>
    <t xml:space="preserve">Установка люка чугунного </t>
  </si>
  <si>
    <t>13.2</t>
  </si>
  <si>
    <t>Отсыпка щебнем</t>
  </si>
  <si>
    <t xml:space="preserve">Отсыпка щебнем стрелочных переводов </t>
  </si>
  <si>
    <t>Отсыпка щебнем глухой переезд</t>
  </si>
  <si>
    <t>Устройство траншеи под ливневую канализацию</t>
  </si>
  <si>
    <t>Устройство песчаного основания h=0,1м под трубы вручную</t>
  </si>
  <si>
    <t>Песок природный  средний</t>
  </si>
  <si>
    <t>Устройство присыпки песком h=0,20 вручную</t>
  </si>
  <si>
    <t xml:space="preserve">Устройство засыпки песком </t>
  </si>
  <si>
    <t>20.1</t>
  </si>
  <si>
    <t>21.1</t>
  </si>
  <si>
    <t>Укладка асфальтобетона крупнозернистого горячего на битуме    h=0,07</t>
  </si>
  <si>
    <t>Устройство слоя из геотекстиля Дорнит</t>
  </si>
  <si>
    <t>Геотекстиль Дорнит 500 (с учетом коэфф. 1,1 на захлест )</t>
  </si>
  <si>
    <t>в КП 417 путь цена -  4407,05р без разделения на крупно и мелкозернистый</t>
  </si>
  <si>
    <t>22.1</t>
  </si>
  <si>
    <t>23.1</t>
  </si>
  <si>
    <t>24.1</t>
  </si>
  <si>
    <t>24.2</t>
  </si>
  <si>
    <t>25.1</t>
  </si>
  <si>
    <t>Благоустройство (Устройство щебеночного покрытия стрелочных переводов)</t>
  </si>
  <si>
    <t xml:space="preserve">Устройство слоя из песка крупного  h=0,30 </t>
  </si>
  <si>
    <t>в КП 417 путь цена -  1083р/м2 за 5 см, скорректировала пропорционально</t>
  </si>
  <si>
    <t>Устройство слоя из щебня h=0,16</t>
  </si>
  <si>
    <t xml:space="preserve">Устройство слоя из щебня  h=0,15 </t>
  </si>
  <si>
    <t>Демонтаж слоя из асфальтобетона  от h=0,05 до h=0,4м</t>
  </si>
  <si>
    <t xml:space="preserve">Демонтаж слоя из асфальтобетона  h=0,19 </t>
  </si>
  <si>
    <t>Демонтаж слоя из асфальтобетона  h=0,3</t>
  </si>
  <si>
    <t>Демонтаж слоя из щебня  h=0,15</t>
  </si>
  <si>
    <t xml:space="preserve">Разработка сухого грунта механизированным способом </t>
  </si>
  <si>
    <t>ранее в КП 417 путь цена была- 78,85руб/м3</t>
  </si>
  <si>
    <t xml:space="preserve">Демонтаж отмостки цеха 121/18 из ж/бетона h=0,25 отбойными молотками  </t>
  </si>
  <si>
    <t>Демонтаж сущ. ж/б плит расположенных под демонтированным а/б покрытием h=0,30 (цех 121/18)</t>
  </si>
  <si>
    <t>Разборка дорожных ж/б плит  (6м*1,75м*0,18м) (20,41м3)</t>
  </si>
  <si>
    <t>Прочие работы</t>
  </si>
  <si>
    <t>Погрузка строительного мусора в автосамосвалы</t>
  </si>
  <si>
    <t>Погрузка вытесненного грунта в автосамосвалы</t>
  </si>
  <si>
    <t>Благоустройство (Резинокордовое покрытие из плит через ж/д путь №31, l=6.0м) – 2 переезда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</si>
  <si>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</si>
  <si>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</si>
  <si>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</si>
  <si>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 xml:space="preserve"> Резинокордовое покрытие</t>
  </si>
  <si>
    <t>компл.</t>
  </si>
  <si>
    <t>46.1</t>
  </si>
  <si>
    <t>стоимость из Коломны</t>
  </si>
  <si>
    <t>стоимость из Коломны (переезд 6,5м)</t>
  </si>
  <si>
    <t xml:space="preserve">Укладка ж/б прижимной балки БПР-3 </t>
  </si>
  <si>
    <t>Укладка ж/б прижимной балки БПР-4</t>
  </si>
  <si>
    <t>50.1</t>
  </si>
  <si>
    <t>Благоустройство (Резинокордовое покрытие из плит через ж/д путь №33,35,37,39 l=10.45м) – 1 переезд</t>
  </si>
  <si>
    <t>51.1</t>
  </si>
  <si>
    <t>53.2</t>
  </si>
  <si>
    <t>53.3</t>
  </si>
  <si>
    <t>Геотехническая решетка Н=0.15 м</t>
  </si>
  <si>
    <t>Анкер металлический, А12-900 мм</t>
  </si>
  <si>
    <t>55.2</t>
  </si>
  <si>
    <t>58.1</t>
  </si>
  <si>
    <t>58.2</t>
  </si>
  <si>
    <t>59.1</t>
  </si>
  <si>
    <t xml:space="preserve">Демонтаж панели ограждения ПО-2 </t>
  </si>
  <si>
    <t>Благоустройство (укладка плитки тротуарной на переезде цеха 417)</t>
  </si>
  <si>
    <t xml:space="preserve">Укладка плитки тротуарной </t>
  </si>
  <si>
    <t>Тротуарная плитка "Брусчатка" (200*100*60)мм</t>
  </si>
  <si>
    <t>62.1</t>
  </si>
  <si>
    <t>Восстановление колодцев действующих инженерных сетей</t>
  </si>
  <si>
    <t xml:space="preserve">    -Демонтаж люка чугунного</t>
  </si>
  <si>
    <t>Демонтаж ж/б изделий колодцев:</t>
  </si>
  <si>
    <t>65.1</t>
  </si>
  <si>
    <t>Колодец №1</t>
  </si>
  <si>
    <t>Устройство круглых сборных железобетонных канализационных колодцев  в мокрых грунтах</t>
  </si>
  <si>
    <t>20.2</t>
  </si>
  <si>
    <t>20.3</t>
  </si>
  <si>
    <t>Плита перекрытия колодца ПП15</t>
  </si>
  <si>
    <t>Битумная грунтовка ТЕХНОНИКОЛЬ № 01  (20л=16кг)</t>
  </si>
  <si>
    <t>л</t>
  </si>
  <si>
    <t>Битумная мастика Технониколь №24</t>
  </si>
  <si>
    <t>Кольцо доборное колодезное КС7.6</t>
  </si>
  <si>
    <t>66.1</t>
  </si>
  <si>
    <t>66.2</t>
  </si>
  <si>
    <t>66.3</t>
  </si>
  <si>
    <t>Ранее демонированное или новое?</t>
  </si>
  <si>
    <t>Колодец №2</t>
  </si>
  <si>
    <t>Демонтаж ж/б изделий колодцев</t>
  </si>
  <si>
    <t>Демонтаж чугунной решетки</t>
  </si>
  <si>
    <t>Демонтаж ж/б трубы Ду. 400мм</t>
  </si>
  <si>
    <t>Колодец №3</t>
  </si>
  <si>
    <t xml:space="preserve">Люк чугунный тяжелый </t>
  </si>
  <si>
    <t>73.1</t>
  </si>
  <si>
    <t>73.2</t>
  </si>
  <si>
    <t>74.1</t>
  </si>
  <si>
    <t>75.1</t>
  </si>
  <si>
    <t>Колодец №4</t>
  </si>
  <si>
    <t xml:space="preserve">Демонтаж люка чугунного </t>
  </si>
  <si>
    <t>Демонтажные работы</t>
  </si>
  <si>
    <t>Монтажные работы</t>
  </si>
  <si>
    <t>Кольцо строительное КС7.3</t>
  </si>
  <si>
    <t>77.2</t>
  </si>
  <si>
    <t>77.3</t>
  </si>
  <si>
    <t>77.1</t>
  </si>
  <si>
    <t>78.1</t>
  </si>
  <si>
    <t>79.1</t>
  </si>
  <si>
    <t>Колодец №5</t>
  </si>
  <si>
    <t>Плита перекрытия колодца ПП20</t>
  </si>
  <si>
    <t>Кольцо доборное колодезное КС7.3</t>
  </si>
  <si>
    <t>81.1</t>
  </si>
  <si>
    <t>82.1</t>
  </si>
  <si>
    <t>83.1</t>
  </si>
  <si>
    <t>Колодец №6</t>
  </si>
  <si>
    <t>Кольцо опорное К07</t>
  </si>
  <si>
    <t>Плита перекрытия ПП10</t>
  </si>
  <si>
    <t>85.1</t>
  </si>
  <si>
    <t>85.2</t>
  </si>
  <si>
    <t>85.3</t>
  </si>
  <si>
    <t>Кольцо опорное К06</t>
  </si>
  <si>
    <t>из КП 417 путь с дисконтом</t>
  </si>
  <si>
    <t>Колодец №8</t>
  </si>
  <si>
    <t>89.1</t>
  </si>
  <si>
    <t>89.2</t>
  </si>
  <si>
    <t>90.1</t>
  </si>
  <si>
    <t>91.1</t>
  </si>
  <si>
    <t xml:space="preserve">Плита днища колодца ПН10-1 </t>
  </si>
  <si>
    <t>93.1</t>
  </si>
  <si>
    <t>95.1</t>
  </si>
  <si>
    <t>Колодец №9</t>
  </si>
  <si>
    <t>96.1</t>
  </si>
  <si>
    <t>97.1</t>
  </si>
  <si>
    <t>Колодец №10</t>
  </si>
  <si>
    <t>Демонтаж ПНД трубы Ду.160мм</t>
  </si>
  <si>
    <t>Колодец №11, 12</t>
  </si>
  <si>
    <t>Колодец №13</t>
  </si>
  <si>
    <t>Обмазка праймером Технониколь  в один слой</t>
  </si>
  <si>
    <t>Обмазка битумной мастикой  в два слоя</t>
  </si>
  <si>
    <t xml:space="preserve">Монтаж кольца опорного кольца из кирпича </t>
  </si>
  <si>
    <t>Колодцы №14, 15,16,17,18</t>
  </si>
  <si>
    <t>Колодец №19</t>
  </si>
  <si>
    <t>Устройство гидроизоляции колодцев</t>
  </si>
  <si>
    <t>70.1</t>
  </si>
  <si>
    <t>71.1</t>
  </si>
  <si>
    <t>71.2</t>
  </si>
  <si>
    <t>71.3</t>
  </si>
  <si>
    <t>75.2</t>
  </si>
  <si>
    <t>75.3</t>
  </si>
  <si>
    <t>79.2</t>
  </si>
  <si>
    <t>79.3</t>
  </si>
  <si>
    <t>83.2</t>
  </si>
  <si>
    <t>83.3</t>
  </si>
  <si>
    <t>84.1</t>
  </si>
  <si>
    <t>92.1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</si>
  <si>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</si>
  <si>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</si>
  <si>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Установка на переезде через 4 пути дорожных знаков на сборных фундаментных блоках</t>
  </si>
  <si>
    <t>Разметка с двух сторон переезда стоп-линией перпендикулярно дорожному полотну шириной 0,4м</t>
  </si>
  <si>
    <t>Стойка 76 мм, L = 4 м, оцинкованная</t>
  </si>
  <si>
    <t xml:space="preserve">Хомут  (76) мм </t>
  </si>
  <si>
    <t xml:space="preserve">Дорожный знак 2.5 "Движение без остановки запрещено" 2 типоразмер, пленка тип "Б" </t>
  </si>
  <si>
    <t>95.2</t>
  </si>
  <si>
    <t>95.3</t>
  </si>
  <si>
    <t xml:space="preserve">Стойка 76 мм, L = 2 м, оцинкованная </t>
  </si>
  <si>
    <t xml:space="preserve">Основание знака ж/б Ф-2 под стойку </t>
  </si>
  <si>
    <t xml:space="preserve">Дорожный знак 2.5  </t>
  </si>
  <si>
    <t>Дорожный знак 1.2</t>
  </si>
  <si>
    <t xml:space="preserve">Дорожный знак 1.3.1 </t>
  </si>
  <si>
    <t>Дорожный знак 1.4.1</t>
  </si>
  <si>
    <t xml:space="preserve">Дорожный знак 1.4.2  2 </t>
  </si>
  <si>
    <t xml:space="preserve">Дорожный знак 1.4.3  2 </t>
  </si>
  <si>
    <t xml:space="preserve">Дорожный знак 1.4.4  2 </t>
  </si>
  <si>
    <t xml:space="preserve">Дорожный знак 1.4.5  2 </t>
  </si>
  <si>
    <t xml:space="preserve">Дорожный знак 1.4.6  2 </t>
  </si>
  <si>
    <t>Дорожный знак 2.5</t>
  </si>
  <si>
    <t xml:space="preserve">Краска для разметки дорог Profilux цвет белый </t>
  </si>
  <si>
    <t>96.2</t>
  </si>
  <si>
    <t>96.3</t>
  </si>
  <si>
    <t>96.4</t>
  </si>
  <si>
    <t>96.5</t>
  </si>
  <si>
    <t>96.6</t>
  </si>
  <si>
    <t>96.7</t>
  </si>
  <si>
    <t>96.8</t>
  </si>
  <si>
    <t>96.9</t>
  </si>
  <si>
    <t>96.10</t>
  </si>
  <si>
    <t>96.11</t>
  </si>
  <si>
    <t>96.12</t>
  </si>
  <si>
    <t>96.13</t>
  </si>
  <si>
    <t>!!!цена по счету без наценки (с учетом доставки)</t>
  </si>
  <si>
    <t xml:space="preserve">!!!цена по счету без наценки 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</si>
  <si>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</si>
  <si>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</si>
  <si>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</si>
  <si>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</si>
  <si>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</si>
  <si>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</si>
  <si>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Доработка грунта в траншее вручную</t>
  </si>
  <si>
    <t xml:space="preserve">Земляные работы </t>
  </si>
  <si>
    <t>Погрузка  грунта в автосамосвалы</t>
  </si>
  <si>
    <t xml:space="preserve">Щебень крупный М600 (20-70мм) </t>
  </si>
  <si>
    <t xml:space="preserve">Устройство слоя из щебня крупного  h=0,15 </t>
  </si>
  <si>
    <t xml:space="preserve">Устройство слоя из щебня мелкого  h=0,08 </t>
  </si>
  <si>
    <t>Устройство асфальтобетонного покрытия</t>
  </si>
  <si>
    <t>Посев многолетних трав</t>
  </si>
  <si>
    <t>!!! Стоимость из счета, без наценки</t>
  </si>
  <si>
    <t>Демонтаж бортовых камней</t>
  </si>
  <si>
    <t xml:space="preserve">Разборка асфальтобетонного покрытия  </t>
  </si>
  <si>
    <t xml:space="preserve">Разборка щебеночного основания </t>
  </si>
  <si>
    <t>Обратная засыпка грунта вручную</t>
  </si>
  <si>
    <t>31.1</t>
  </si>
  <si>
    <t>33.1</t>
  </si>
  <si>
    <t>34.1</t>
  </si>
  <si>
    <t>38.1</t>
  </si>
  <si>
    <t>38.2</t>
  </si>
  <si>
    <t>39.1</t>
  </si>
  <si>
    <t>КП с дисконтом</t>
  </si>
  <si>
    <t>новые работы</t>
  </si>
  <si>
    <t>АС-1</t>
  </si>
  <si>
    <t xml:space="preserve">Фундаменты ФМ1 </t>
  </si>
  <si>
    <t>Фундаменты ФМ2</t>
  </si>
  <si>
    <t>Опора ОП-1</t>
  </si>
  <si>
    <t>Фермы Ф1 - 2 шт., Ф2 - 1шт.</t>
  </si>
  <si>
    <t>Смещение закладных М1 на фундаментах ФМ-2</t>
  </si>
  <si>
    <t>Площадка трансбордера. АС1</t>
  </si>
  <si>
    <t>Водосток</t>
  </si>
  <si>
    <t>Временный водопровод 121 по согл ВОР_417 путь</t>
  </si>
  <si>
    <t xml:space="preserve">ГСН </t>
  </si>
  <si>
    <t>Демонтаж ламп 121+75  по согл ВОР_417</t>
  </si>
  <si>
    <t>КС</t>
  </si>
  <si>
    <t>НВК 1</t>
  </si>
  <si>
    <t xml:space="preserve">НВК2 </t>
  </si>
  <si>
    <t xml:space="preserve">НВК3 </t>
  </si>
  <si>
    <t xml:space="preserve">В1-3А и В1-4 </t>
  </si>
  <si>
    <t>В1-4 до Уг.1</t>
  </si>
  <si>
    <t>Уг1 до Уг.2</t>
  </si>
  <si>
    <t>Уг.2 до В1нов</t>
  </si>
  <si>
    <t>В1-30 – В1-31 +Камера</t>
  </si>
  <si>
    <t>В1-1 – В1-1А +Подвал+Гараж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</si>
  <si>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</si>
  <si>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</si>
  <si>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</si>
  <si>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</si>
  <si>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</si>
  <si>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НВК4</t>
  </si>
  <si>
    <t>К11А до К11Б</t>
  </si>
  <si>
    <t>от цеха №121 до К11Б</t>
  </si>
  <si>
    <t>Ксущ. до К11А</t>
  </si>
  <si>
    <t>К10-К10А</t>
  </si>
  <si>
    <t>НВК5</t>
  </si>
  <si>
    <t>К16А (дождеприемник)</t>
  </si>
  <si>
    <t>К15Б-К15В(+К15А)-К17</t>
  </si>
  <si>
    <t>Кл1, Кл2, Кл3</t>
  </si>
  <si>
    <t>кол.26-27</t>
  </si>
  <si>
    <t>ПЖ</t>
  </si>
  <si>
    <t xml:space="preserve">ПЖ. Послеосадочный ремонт </t>
  </si>
  <si>
    <t>ГП1 Генеральный план</t>
  </si>
  <si>
    <t>ГП1/1 Генеральный план. Восстановление а/б покрытия после подъема путей</t>
  </si>
  <si>
    <t>Устройство ограждения вдоль обкаточного пути  по согл ВОР_417 путь</t>
  </si>
  <si>
    <t>ГП 2</t>
  </si>
  <si>
    <t xml:space="preserve">ЭС1 </t>
  </si>
  <si>
    <t xml:space="preserve">ЭС2 </t>
  </si>
  <si>
    <t>ТП7-склад цеха №75</t>
  </si>
  <si>
    <t>28-28А; 28Б-28В</t>
  </si>
  <si>
    <t>т.1-т.2; т.7-т.8</t>
  </si>
  <si>
    <t>цех 417-цех ММЗ</t>
  </si>
  <si>
    <t>Защита КЛ (ж/д пути 33, 35,37, 39)</t>
  </si>
  <si>
    <t xml:space="preserve">АС2 </t>
  </si>
  <si>
    <t>Подпорная стенка</t>
  </si>
  <si>
    <t>Удлинение подпорной стенки ПС-2</t>
  </si>
  <si>
    <t>Монтаж колодцев ВК1-ВК2</t>
  </si>
  <si>
    <t>Вырубка кустарников</t>
  </si>
  <si>
    <t>КС трансбордер</t>
  </si>
  <si>
    <t>СС</t>
  </si>
  <si>
    <t>Временный переезд возле цеха 417</t>
  </si>
  <si>
    <t>ТС1</t>
  </si>
  <si>
    <t>ТС2</t>
  </si>
  <si>
    <t>ТС3</t>
  </si>
  <si>
    <t>АС4</t>
  </si>
  <si>
    <t>ВСЕГО:</t>
  </si>
  <si>
    <t>№</t>
  </si>
  <si>
    <t>Сумма</t>
  </si>
  <si>
    <t>Наименование работ</t>
  </si>
  <si>
    <t>Примечания</t>
  </si>
  <si>
    <t>Доп.работа. Тех.решения ЭЭ/ТР</t>
  </si>
  <si>
    <t>Тех.решения ЭЭ/ТР</t>
  </si>
  <si>
    <t>Доп.работа.</t>
  </si>
  <si>
    <t>Доп.работа</t>
  </si>
  <si>
    <t>Сумма в-9.1</t>
  </si>
  <si>
    <t>Свод от ЭЭ</t>
  </si>
  <si>
    <t>Корр. КиК-1</t>
  </si>
  <si>
    <t>С учетом корр.</t>
  </si>
  <si>
    <t>Кор. ЭЭ-1</t>
  </si>
  <si>
    <t>Причина корректировки</t>
  </si>
  <si>
    <t>Комментарии ЭЭ</t>
  </si>
  <si>
    <t>Кор. КиК-2</t>
  </si>
  <si>
    <t>Комментарий к корректировке</t>
  </si>
  <si>
    <t>Кор.ЭЭ 11.12</t>
  </si>
  <si>
    <t>Корр. КИК-3-18.12</t>
  </si>
  <si>
    <t>АС1 
(ФМ1; ФМ2; опора ОП-1; фермы Ф1, Ф2; Смещение закладных М1 на фундаментах ФМ-2; Площадка трансбордера. АС1; Водосток)</t>
  </si>
  <si>
    <r>
      <t xml:space="preserve">1. Материал-полушпала закупал Шеллрокк
</t>
    </r>
    <r>
      <rPr>
        <sz val="11"/>
        <color rgb="FFED0000"/>
        <rFont val="Calibri"/>
        <family val="2"/>
        <scheme val="minor"/>
      </rPr>
      <t>2. Дублируется, учтено в АС1 (вкладка "ФМ2) и в смещение фундамента под трансбордер (вкладка "Смещение закладных")</t>
    </r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</si>
  <si>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 xml:space="preserve">1. принято
֍2. В ВДЦ "Реконструкция фундамента под трансбордер", а именно работы по смещению закладных М1 на фундаментах ФМ2 и работы в ВДЦ "АС1" идентичные, но </t>
    </r>
    <r>
      <rPr>
        <b/>
        <u/>
        <sz val="11"/>
        <color rgb="FFFF0000"/>
        <rFont val="Calibri"/>
        <family val="2"/>
        <scheme val="minor"/>
      </rPr>
      <t>не задваиваются</t>
    </r>
    <r>
      <rPr>
        <sz val="11"/>
        <color rgb="FFFF0000"/>
        <rFont val="Calibri"/>
        <family val="2"/>
        <scheme val="minor"/>
      </rPr>
      <t xml:space="preserve">. 
В АС1 учтены работы, </t>
    </r>
    <r>
      <rPr>
        <u/>
        <sz val="11"/>
        <color rgb="FFFF0000"/>
        <rFont val="Calibri"/>
        <family val="2"/>
        <scheme val="minor"/>
      </rPr>
      <t>предусмотренные проектным решением</t>
    </r>
    <r>
      <rPr>
        <sz val="11"/>
        <color rgb="FFFF0000"/>
        <rFont val="Calibri"/>
        <family val="2"/>
        <scheme val="minor"/>
      </rPr>
      <t xml:space="preserve">, а в ВДЦ на "Реконструкция фундамента под трансбордер- Смещение закладных М1 на фундаментах ФМ-2" - работы, учитывающие ошибку проектного решения.  
Данные работы выполнялись по указанию Заказчика, т.к. при неправильно сппроектированном пути вагон не проходил по габаритам в цех. </t>
    </r>
  </si>
  <si>
    <t>Согласовано обеими сторонами</t>
  </si>
  <si>
    <t>Добавилась погрузка грунта, упущенная ЭЭ</t>
  </si>
  <si>
    <t>-</t>
  </si>
  <si>
    <t>1. испытания не выполнялись, работы не закрывались, 
2. грунт не трамбовался
3. визуальный контроль</t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</si>
  <si>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 xml:space="preserve">1. Испытания на вновь уложенный участок г/провода будут проводиться в предстоящем периоде. Затраты необходимы для сдачи газопровода
 </t>
    </r>
    <r>
      <rPr>
        <sz val="11"/>
        <color rgb="FFFF0000"/>
        <rFont val="Calibri"/>
        <family val="2"/>
      </rPr>
      <t>֍2. грунт трамбовался на всем протяжении трассы. Фото есть
֍3.</t>
    </r>
    <r>
      <rPr>
        <sz val="11"/>
        <color rgb="FFFF0000"/>
        <rFont val="Calibri"/>
        <family val="2"/>
        <scheme val="minor"/>
      </rPr>
      <t>Визуальный к-ль не проводился - затраты исключены- 57910,86р с НДС</t>
    </r>
    <r>
      <rPr>
        <b/>
        <sz val="11"/>
        <color rgb="FFFF0000"/>
        <rFont val="Calibri"/>
        <family val="2"/>
        <scheme val="minor"/>
      </rPr>
      <t xml:space="preserve">
Пропущены в ВОР работы на Rg испытания стыков на выходах из земли и опусках (с 2-х сторон для Ф108мм) (стыки под землей на газопроводе СД испытываются 100%, надземно - 10%)</t>
    </r>
  </si>
  <si>
    <t>1. Никаких работ производится уже не будет -126 430,56
2. Трамбовался только песок и грунт над футляром, фото не предоставлено, скорректировано -305 066,23
3. Визуальный контроль не выполнялся, вопрос снят -57 910,86
4. Никаких работ производится уже не будет</t>
  </si>
  <si>
    <t>75 склад снимал Амархан</t>
  </si>
  <si>
    <r>
      <t xml:space="preserve">Принято
</t>
    </r>
    <r>
      <rPr>
        <sz val="11"/>
        <color rgb="FFFF0000"/>
        <rFont val="Calibri"/>
        <family val="2"/>
        <scheme val="minor"/>
      </rPr>
      <t>Расчет остатка не верен. За ЭЭ остается 3175р по позиции, 
минус 11 340р</t>
    </r>
  </si>
  <si>
    <t>Не подтверждено</t>
  </si>
  <si>
    <r>
      <rPr>
        <sz val="11"/>
        <rFont val="Calibri"/>
        <family val="2"/>
        <scheme val="minor"/>
      </rPr>
      <t>1. взята сумма из КП, с учетом корректировки под 5 опор</t>
    </r>
    <r>
      <rPr>
        <sz val="11"/>
        <color rgb="FFFF0000"/>
        <rFont val="Calibri"/>
        <family val="2"/>
        <scheme val="minor"/>
      </rPr>
      <t xml:space="preserve">
2. скоррректировать стоимость на погрузку мусора ( 431,37р/ т) по цене на погрузку грунта (308,75р/т ) (разница - 1 001,75р)</t>
    </r>
  </si>
  <si>
    <r>
      <t xml:space="preserve">финалка 6,5 ???
</t>
    </r>
    <r>
      <rPr>
        <b/>
        <sz val="11"/>
        <color rgb="FFED0000"/>
        <rFont val="Calibri"/>
        <family val="2"/>
        <scheme val="minor"/>
      </rPr>
      <t xml:space="preserve"> В ВДЦ учтена стоимость работ на 5 опор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color rgb="FFED0000"/>
        <rFont val="Calibri"/>
        <family val="2"/>
        <scheme val="minor"/>
      </rPr>
      <t xml:space="preserve">֍2. </t>
    </r>
    <r>
      <rPr>
        <sz val="11"/>
        <color rgb="FFED0000"/>
        <rFont val="Calibri"/>
        <family val="2"/>
        <scheme val="minor"/>
      </rPr>
      <t>В ВДЦ учтены затраты согласно утвержденных ранее цен на погрузоные работы грунта и мусора (ВДЦ с дисконтом)</t>
    </r>
  </si>
  <si>
    <t>1. Стоимость скорректированного ВДЦ выше исходной ВДЦ, стоимость принимается из исходной ВДЦ с пересчетом на 5 опор</t>
  </si>
  <si>
    <t>Скорректированы ранее согласованные расценки на резку асфальта и погрузку мусора</t>
  </si>
  <si>
    <t>Скорректированы ранее согласованные расценки на резку асфальта и погрузку мусора, исключены работе по асфальтировке и обратной засыпке покупным песком</t>
  </si>
  <si>
    <r>
      <t xml:space="preserve">1. 26-27 песок не закупался, 
2. объемы по засыпке дублируются
3. К16А дождепр на порядок завышены работы по резке трубы
</t>
    </r>
    <r>
      <rPr>
        <sz val="11"/>
        <color rgb="FFED0000"/>
        <rFont val="Calibri"/>
        <family val="2"/>
        <scheme val="minor"/>
      </rPr>
      <t>4. К16А дождепр: скоррректировать стоимость на погрузку мусора ( 431,37р/ т) по цене на погрузку грунта (308,75р/т ) (разница - 7 386,04р)
5. исключить устройство основания из песка, включая песок</t>
    </r>
    <r>
      <rPr>
        <sz val="11"/>
        <rFont val="Calibri"/>
        <family val="2"/>
        <scheme val="minor"/>
      </rPr>
      <t xml:space="preserve">
</t>
    </r>
    <r>
      <rPr>
        <sz val="11"/>
        <color rgb="FFED0000"/>
        <rFont val="Calibri"/>
        <family val="2"/>
        <scheme val="minor"/>
      </rPr>
      <t>6. Нанесение ВУС изоляции не выполнялось</t>
    </r>
  </si>
  <si>
    <r>
      <t xml:space="preserve">֍1. </t>
    </r>
    <r>
      <rPr>
        <sz val="11"/>
        <color rgb="FFFF0000"/>
        <rFont val="Calibri"/>
        <family val="2"/>
        <scheme val="minor"/>
      </rPr>
      <t>песок учтен согласно ИД</t>
    </r>
    <r>
      <rPr>
        <b/>
        <sz val="11"/>
        <color rgb="FFFF0000"/>
        <rFont val="Calibri"/>
        <family val="2"/>
        <scheme val="minor"/>
      </rPr>
      <t xml:space="preserve">
֍2. </t>
    </r>
    <r>
      <rPr>
        <sz val="11"/>
        <color rgb="FFFF0000"/>
        <rFont val="Calibri"/>
        <family val="2"/>
        <scheme val="minor"/>
      </rPr>
      <t>Объемы по засыпке продублированы, т.к. вручную учтено было по ИД, а механизировано включено по просьбе Заказчика на основании КС6.
В ВДЦ внесены корректировки:
- вручную исключены работы
- дополнено работами на уплотнение</t>
    </r>
    <r>
      <rPr>
        <b/>
        <sz val="11"/>
        <color rgb="FFFF0000"/>
        <rFont val="Calibri"/>
        <family val="2"/>
        <scheme val="minor"/>
      </rPr>
      <t xml:space="preserve">
֍3.</t>
    </r>
    <r>
      <rPr>
        <sz val="11"/>
        <color rgb="FFFF0000"/>
        <rFont val="Calibri"/>
        <family val="2"/>
        <scheme val="minor"/>
      </rPr>
      <t xml:space="preserve"> Стоимость работ </t>
    </r>
    <r>
      <rPr>
        <u/>
        <sz val="11"/>
        <color rgb="FFFF0000"/>
        <rFont val="Calibri"/>
        <family val="2"/>
        <scheme val="minor"/>
      </rPr>
      <t>не завышена</t>
    </r>
    <r>
      <rPr>
        <sz val="11"/>
        <color rgb="FFFF0000"/>
        <rFont val="Calibri"/>
        <family val="2"/>
        <scheme val="minor"/>
      </rPr>
      <t>, т.к учтена в позиции</t>
    </r>
    <r>
      <rPr>
        <b/>
        <sz val="11"/>
        <color rgb="FFFF0000"/>
        <rFont val="Calibri"/>
        <family val="2"/>
        <scheme val="minor"/>
      </rPr>
      <t xml:space="preserve"> с</t>
    </r>
    <r>
      <rPr>
        <sz val="11"/>
        <color rgb="FFFF0000"/>
        <rFont val="Calibri"/>
        <family val="2"/>
        <scheme val="minor"/>
      </rPr>
      <t xml:space="preserve">тоимость работ  </t>
    </r>
    <r>
      <rPr>
        <u/>
        <sz val="11"/>
        <color rgb="FFFF0000"/>
        <rFont val="Calibri"/>
        <family val="2"/>
        <scheme val="minor"/>
      </rPr>
      <t>комплексная</t>
    </r>
    <r>
      <rPr>
        <sz val="11"/>
        <color rgb="FFFF0000"/>
        <rFont val="Calibri"/>
        <family val="2"/>
        <scheme val="minor"/>
      </rPr>
      <t xml:space="preserve"> и в ее наименовании отражено  "</t>
    </r>
    <r>
      <rPr>
        <i/>
        <sz val="11"/>
        <color rgb="FFFF0000"/>
        <rFont val="Calibri"/>
        <family val="2"/>
        <scheme val="minor"/>
      </rPr>
      <t>Пропиливание проемов в сущ. б/трубе ф600*60мм</t>
    </r>
    <r>
      <rPr>
        <i/>
        <u/>
        <sz val="11"/>
        <color rgb="FFFF0000"/>
        <rFont val="Calibri"/>
        <family val="2"/>
        <scheme val="minor"/>
      </rPr>
      <t xml:space="preserve"> с подготовкой труб к санации"</t>
    </r>
    <r>
      <rPr>
        <i/>
        <sz val="11"/>
        <color rgb="FFFF0000"/>
        <rFont val="Calibri"/>
        <family val="2"/>
        <scheme val="minor"/>
      </rPr>
      <t xml:space="preserve">. </t>
    </r>
    <r>
      <rPr>
        <sz val="11"/>
        <color rgb="FFFF0000"/>
        <rFont val="Calibri"/>
        <family val="2"/>
        <scheme val="minor"/>
      </rPr>
      <t xml:space="preserve">
В стоимость работ в ВДЦ в этой позиции включены след. виды  затрат: 
- купирование одного колодца и перекачка воды из трубы в другой колодец; 
- разметка и вырезка отверстий в трубе Ф600х60мм для возможности извлечения крупных фрагментов мусора; 
- очистка вручную трубы от камней, грязи, ила и прочих включений;  
- подъем вручную на поверхность грязи и мусора; 
- заделка вручную отверстий для исключения засорения; 
- разметка и вырезка отверстий в трубе Ф600мм для ввода трубы в трубу.</t>
    </r>
    <r>
      <rPr>
        <b/>
        <sz val="11"/>
        <color rgb="FFFF0000"/>
        <rFont val="Calibri"/>
        <family val="2"/>
        <scheme val="minor"/>
      </rPr>
      <t xml:space="preserve">
֍4</t>
    </r>
    <r>
      <rPr>
        <sz val="11"/>
        <color rgb="FFFF0000"/>
        <rFont val="Calibri"/>
        <family val="2"/>
        <scheme val="minor"/>
      </rPr>
      <t xml:space="preserve"> В ВДЦ учтены затраты согласно утвержденных ранее цен на погрузоные работы грунта и мусора (ВДЦ с дисконтом)</t>
    </r>
    <r>
      <rPr>
        <b/>
        <sz val="11"/>
        <color rgb="FFFF0000"/>
        <rFont val="Calibri"/>
        <family val="2"/>
        <scheme val="minor"/>
      </rPr>
      <t xml:space="preserve">
֍5 </t>
    </r>
    <r>
      <rPr>
        <sz val="11"/>
        <color rgb="FFFF0000"/>
        <rFont val="Calibri"/>
        <family val="2"/>
        <scheme val="minor"/>
      </rPr>
      <t>учтено согласно ИД
֍6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Работы дополнены по просьбе Заказчика из КС6. 
Задвоения затрат </t>
    </r>
    <r>
      <rPr>
        <u/>
        <sz val="11"/>
        <color rgb="FFFF0000"/>
        <rFont val="Calibri"/>
        <family val="2"/>
        <scheme val="minor"/>
      </rPr>
      <t>нет</t>
    </r>
    <r>
      <rPr>
        <sz val="11"/>
        <color rgb="FFFF0000"/>
        <rFont val="Calibri"/>
        <family val="2"/>
        <scheme val="minor"/>
      </rPr>
      <t xml:space="preserve">, т.к. в ВДЦ учтена труба стальная без изоляции, по ИД уложена в изоляции. </t>
    </r>
  </si>
  <si>
    <r>
      <rPr>
        <b/>
        <sz val="11"/>
        <rFont val="Calibri"/>
        <family val="2"/>
        <scheme val="minor"/>
      </rPr>
      <t>26-27</t>
    </r>
    <r>
      <rPr>
        <sz val="11"/>
        <rFont val="Calibri"/>
        <family val="2"/>
        <scheme val="minor"/>
      </rPr>
      <t xml:space="preserve">
1. Песка не было фактически как материала 
2. Поправили, но изменили расценку, расценка возвращена
4. В исходном ИДЦ погрузка элементов п.75-454,07р / п.96-216,73р = средняя с дисконтом 308,75р, ее и берем
5. Исключить устройство основания из песка, включая песок
6. Нанесение ВУС изоляции не выполнялось
Итого:
Ярославна -74 699,21
Песок как материал+земляные -245 780,97
Скорректированное ИДЦ -242 134,80
</t>
    </r>
    <r>
      <rPr>
        <b/>
        <sz val="11"/>
        <rFont val="Calibri"/>
        <family val="2"/>
        <scheme val="minor"/>
      </rPr>
      <t>К16А дождепр</t>
    </r>
    <r>
      <rPr>
        <sz val="11"/>
        <rFont val="Calibri"/>
        <family val="2"/>
        <scheme val="minor"/>
      </rPr>
      <t xml:space="preserve">
3. Пропилы в трубе для санации оставлены 130 000р / -1 016 700,59
</t>
    </r>
  </si>
  <si>
    <t>ПЖ (ПЖ; ПЖ. Послеосадочный ремонт )</t>
  </si>
  <si>
    <r>
      <t xml:space="preserve">1. МС выполнено меньше (-816 347,37)
2. планировка не выполнялась (-4 579 349,56)
3. повторная выправка не выполнялась (-11 575 527,07)
4. расценка на разработку некорректна </t>
    </r>
    <r>
      <rPr>
        <sz val="11"/>
        <color rgb="FFED0000"/>
        <rFont val="Calibri"/>
        <family val="2"/>
        <scheme val="minor"/>
      </rPr>
      <t>(стоимость разработки техногенного грунта)</t>
    </r>
    <r>
      <rPr>
        <sz val="11"/>
        <rFont val="Calibri"/>
        <family val="2"/>
        <scheme val="minor"/>
      </rPr>
      <t xml:space="preserve"> (-3 757 210,80)
</t>
    </r>
    <r>
      <rPr>
        <sz val="11"/>
        <color rgb="FFED0000"/>
        <rFont val="Calibri"/>
        <family val="2"/>
        <scheme val="minor"/>
      </rPr>
      <t>5. стоимость расценки на разработку некорректна (техногенный грунт) ранее разработка стоила 308,75р/м3</t>
    </r>
    <r>
      <rPr>
        <sz val="11"/>
        <rFont val="Calibri"/>
        <family val="2"/>
        <scheme val="minor"/>
      </rPr>
      <t xml:space="preserve">
6. Завышен объем погрузки (-186 732)
7. Скорректированы расценки на демонтаж (Демонтаж металлоконструкций фермы: исключить -300тыс.р)
8. Скорректированы расценки на геотекстиль </t>
    </r>
    <r>
      <rPr>
        <sz val="11"/>
        <color rgb="FFED0000"/>
        <rFont val="Calibri"/>
        <family val="2"/>
        <scheme val="minor"/>
      </rPr>
      <t xml:space="preserve">скорректировать стоимость на работы по укладке геотекстиля и стоимость материала по сметной цене: 93р/м2 работа, 100р/м2 материал (разница - 1 241 673,10р)
</t>
    </r>
    <r>
      <rPr>
        <sz val="11"/>
        <rFont val="Calibri"/>
        <family val="2"/>
        <scheme val="minor"/>
      </rPr>
      <t>9. Скорректированы расценки на</t>
    </r>
    <r>
      <rPr>
        <sz val="11"/>
        <color rgb="FFED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рихтовку
</t>
    </r>
    <r>
      <rPr>
        <sz val="11"/>
        <color rgb="FFED0000"/>
        <rFont val="Calibri"/>
        <family val="2"/>
        <scheme val="minor"/>
      </rPr>
      <t>10. скоррректировать стоимость на погрузку грунта и мусора по одной цене, т.е. уменьшить стоимость погрузки мусора стоимостью 431,37р/ т на 308,75р/т (разница - 427 857,06р)
11. Исключить установку 1-го упора из 4-х учтенных в ВДЦ. По замечанию от Заказчика тупиковых упоров -3шт. (разница 228 000р)
12. Устройство  выравнивающего слоя междупутья из щебня некорректно брать по 8цех , по 1421,01р/м3 (рекомендованная стоимость, разница: 76 813,5р)</t>
    </r>
  </si>
  <si>
    <r>
      <t>֍1</t>
    </r>
    <r>
      <rPr>
        <sz val="11"/>
        <color rgb="FF004E9A"/>
        <rFont val="Calibri"/>
        <family val="2"/>
        <scheme val="minor"/>
      </rPr>
      <t xml:space="preserve"> </t>
    </r>
    <r>
      <rPr>
        <sz val="11"/>
        <color rgb="FFED0000"/>
        <rFont val="Calibri"/>
        <family val="2"/>
        <scheme val="minor"/>
      </rPr>
      <t xml:space="preserve">МС было учтено по согласованному ВОР. Позднее в ИД были внесены корректировки (шаг установки МС увеличен до 2,0-х м). В ВДЦ внесены корректировки - 282шт. </t>
    </r>
    <r>
      <rPr>
        <b/>
        <sz val="11"/>
        <color rgb="FFFF0000"/>
        <rFont val="Calibri"/>
        <family val="2"/>
        <scheme val="minor"/>
      </rPr>
      <t xml:space="preserve">
֍2 </t>
    </r>
    <r>
      <rPr>
        <sz val="11"/>
        <color rgb="FF004E9A"/>
        <rFont val="Calibri"/>
        <family val="2"/>
        <scheme val="minor"/>
      </rPr>
      <t>Не выполнялось, верх закрыт примерно 620т.р., работы мутные, ИД нету, закрыто техзаком понятийно - комментарий Заказчика</t>
    </r>
    <r>
      <rPr>
        <b/>
        <sz val="11"/>
        <color rgb="FFFF0000"/>
        <rFont val="Calibri"/>
        <family val="2"/>
        <scheme val="minor"/>
      </rPr>
      <t xml:space="preserve">
֍3 </t>
    </r>
    <r>
      <rPr>
        <sz val="11"/>
        <color rgb="FF004E9A"/>
        <rFont val="Calibri"/>
        <family val="2"/>
        <scheme val="minor"/>
      </rPr>
      <t>Повторная выправка</t>
    </r>
    <r>
      <rPr>
        <b/>
        <sz val="11"/>
        <color rgb="FFFF0000"/>
        <rFont val="Calibri"/>
        <family val="2"/>
        <scheme val="minor"/>
      </rPr>
      <t xml:space="preserve">
֍4, 5</t>
    </r>
    <r>
      <rPr>
        <b/>
        <sz val="11"/>
        <color rgb="FF004E9A"/>
        <rFont val="Calibri"/>
        <family val="2"/>
        <scheme val="minor"/>
      </rPr>
      <t xml:space="preserve"> </t>
    </r>
    <r>
      <rPr>
        <sz val="11"/>
        <color rgb="FFED0000"/>
        <rFont val="Calibri"/>
        <family val="2"/>
        <scheme val="minor"/>
      </rPr>
      <t>Стоимость разработки техногенногенного грунта в ВДЦ учтена корректно (стоимость за м3 выше, чем обычный грунт). Ранее в согласованном ВДЦ учитывался грунт 2 категории с включением щебня и мусора до 30% по стоимости 308,75руб/м3. Разработка техногенного грунта с включением бетона, крупного мусора, щебня и пр. до 70% трудоемка и занимает в разы больше времени на выполнение работ рабочими и несет затраты по привлечению доп.техники, что делает стоимость работ выше.</t>
    </r>
    <r>
      <rPr>
        <sz val="11"/>
        <color rgb="FF004E9A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
֍6</t>
    </r>
    <r>
      <rPr>
        <sz val="11"/>
        <color rgb="FFFF0000"/>
        <rFont val="Calibri"/>
        <family val="2"/>
        <scheme val="minor"/>
      </rPr>
      <t xml:space="preserve"> Объем погрузки принят по согл ВОР =299,4+252 (п.65 + п. 67)
</t>
    </r>
    <r>
      <rPr>
        <b/>
        <sz val="11"/>
        <color rgb="FFFF0000"/>
        <rFont val="Calibri"/>
        <family val="2"/>
        <scheme val="minor"/>
      </rPr>
      <t xml:space="preserve">֍7 </t>
    </r>
    <r>
      <rPr>
        <sz val="11"/>
        <color rgb="FFFF0000"/>
        <rFont val="Calibri"/>
        <family val="2"/>
        <scheme val="minor"/>
      </rPr>
      <t>Стоимость была принята по цене согл. ВДЦ с дисконтом * 0,7 (скрин справа)</t>
    </r>
    <r>
      <rPr>
        <b/>
        <sz val="11"/>
        <color rgb="FFFF0000"/>
        <rFont val="Calibri"/>
        <family val="2"/>
        <scheme val="minor"/>
      </rPr>
      <t xml:space="preserve">
֍8 </t>
    </r>
    <r>
      <rPr>
        <sz val="11"/>
        <color rgb="FFFF0000"/>
        <rFont val="Calibri"/>
        <family val="2"/>
        <scheme val="minor"/>
      </rPr>
      <t>Стоимость геотекстиля учтена Дорнит 500 - 153,33р по факту затрат.
 В сметах индексация материала и работ учитывается усредненным индексом, что определяет стоимость одного материала (работ) в смете больше, а другого - меньше, но в итогах по смете выравнивает затраты. Сравнивать попозиционно материал (работы) сметные и в ВДЦ некорректно
Справочно: в старом ВДЦ (ВДЦ с дисконтом, раздел ПЖ) стоимость материала - 145,66р без уточнения по марке, но не 100р/м2
֍</t>
    </r>
    <r>
      <rPr>
        <sz val="11"/>
        <color rgb="FFFFFF00"/>
        <rFont val="Calibri"/>
        <family val="2"/>
        <scheme val="minor"/>
      </rPr>
      <t>9</t>
    </r>
    <r>
      <rPr>
        <b/>
        <sz val="11"/>
        <color rgb="FFFFFF00"/>
        <rFont val="Calibri"/>
        <family val="2"/>
        <scheme val="minor"/>
      </rPr>
      <t xml:space="preserve"> </t>
    </r>
    <r>
      <rPr>
        <sz val="11"/>
        <color rgb="FFFFFF00"/>
        <rFont val="Calibri"/>
        <family val="2"/>
        <scheme val="minor"/>
      </rPr>
      <t>Расценка на рихтовку была согласована в ВДЦ (с дисконтом) и в новом ВДЦ учтена та же стоимость</t>
    </r>
    <r>
      <rPr>
        <b/>
        <sz val="11"/>
        <color rgb="FFFF0000"/>
        <rFont val="Calibri"/>
        <family val="2"/>
        <scheme val="minor"/>
      </rPr>
      <t xml:space="preserve">
֍10 </t>
    </r>
    <r>
      <rPr>
        <sz val="11"/>
        <color rgb="FFFF0000"/>
        <rFont val="Calibri"/>
        <family val="2"/>
        <scheme val="minor"/>
      </rPr>
      <t xml:space="preserve">В ВДЦ учтены затраты согласно утвержденных ранее цен на погрузоные работы грунта и мусора (ВДЦ с дисконтом)
֍11 </t>
    </r>
    <r>
      <rPr>
        <sz val="11"/>
        <color rgb="FFED0000"/>
        <rFont val="Calibri"/>
        <family val="2"/>
        <scheme val="minor"/>
      </rPr>
      <t>В ВОР согласован монтаж 3-х новых упоров и 1 - старогодний (скрин справа), итого = 4шт.. 
В ВДЦ было учтено согласно согласованному ВОР и ИД. Материал не учтен в ВДЦ
֍12</t>
    </r>
    <r>
      <rPr>
        <b/>
        <sz val="11"/>
        <color rgb="FFED0000"/>
        <rFont val="Calibri"/>
        <family val="2"/>
        <scheme val="minor"/>
      </rPr>
      <t xml:space="preserve"> </t>
    </r>
    <r>
      <rPr>
        <sz val="11"/>
        <color rgb="FFED0000"/>
        <rFont val="Calibri"/>
        <family val="2"/>
        <scheme val="minor"/>
      </rPr>
      <t xml:space="preserve">Стоимость была включена по 8-му цеху. Технология работ та же. Затраты (чел/ часы) на выполнение работ не меняются. </t>
    </r>
  </si>
  <si>
    <t>1. МС выполнено меньше, пересчет ЭЭ неверен, пересчитано (-816 347,37)
2. Планировка не выполнялась (-4 579 349,56)
3. Повторная выправка не выполнялась (-11 575 527,07)
4. Техногенный грунт по всей территории МВМ, это было известно изначально, места где бетон учтены отдельными видами работ, расценка на разработку некорректна (стоимость разработки техногенного грунта) (-3 757 210,80)
5. В исходном ИДЦ погрузка элементов п.75-454,07р / п.96-216,73р = средняя с дисконтом 308,75р, ее и берем, разница в п.10
6. Объем погрузки неверен, скорректировано на (157+3З)м3 авышен объем погрузки (-91 661,70)
7. Не принимается! Ферму только срезали, она не стоит заявленных денег (Демонтаж металлоконструкций фермы: исключить -300 000)
8. Геотекстиль: 93р/м2 работа, материал оставляем по цене подрядчика (-754 211,17)
9. Работы не подтверждены, оставлено (-8 826 715,76)
10.В исходном ИДЦ погрузка элементов п.75-454,07р / п.96-216,73р = средняя с дисконтом 308,75р, ее и берем ( - 336 795,10)
11. 3 новых, 1 б/у фото ниже (разница -228 000, стоимость бу упора +10 000))
12. Не согласны! Устройство  выравнивающего слоя междупутья из щебня некорректно брать по 8цех , по 1421,01р/м3 (рекомендованная стоимость, разница: -76 813,5р)</t>
  </si>
  <si>
    <t>Скорректирована расценка на демонтаж фермы, исключен материал щебень, т.к. входит в согласованную расценку по рихтовке, послеусадочный ремонт не принимается</t>
  </si>
  <si>
    <t xml:space="preserve">ТС2 </t>
  </si>
  <si>
    <r>
      <t xml:space="preserve">1. завешена стоимость лаборатории ультразвук
</t>
    </r>
    <r>
      <rPr>
        <sz val="11"/>
        <color rgb="FFED0000"/>
        <rFont val="Calibri"/>
        <family val="2"/>
        <scheme val="minor"/>
      </rPr>
      <t>2. скоррректировать стоимость на погрузку мусора ( 431,37р/ т) по цене на погрузку грунта (308,75р/т ) (разница - 6 954,61р)</t>
    </r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</si>
  <si>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>1. Стоимость лаборатории (ультразвук) была заложена в ВДЦ (с дисконтом) и согласована Заказчиком
֍2. В ВДЦ учтены затраты согласно утвержденных ранее цен на погрузоные работы грунта и мусора (ВДЦ с дисконтом)
֍3.  В ВДЦ дополнены работы(п.77-80). Включены затраты на изготовление и установку лестницы с площадками обслуживания (по согласованию с Заказчиком). В проекте лестница учтена, но на момент согласования ВОР по ИД лестница не была смонтирована. На сегодняшний день лестница установлена</t>
    </r>
  </si>
  <si>
    <t>1. Ультразвук оставлен как было
3. лестницы обслуживания нет ИД, нет в ВОР, верх не закрывался</t>
  </si>
  <si>
    <t xml:space="preserve">ТС3 </t>
  </si>
  <si>
    <t>1.завешена стоимость лестницы и 
2 завышена лаборатория ультразвук</t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</si>
  <si>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>1. Стоимость лестниц и работы по установке исключены. В проекте лестницы были заложены, но по факту исполнеия работ Заказчик отказался от лестниц.
֍2. Стоимость лаборатории (ультразвук) была заложена в ВДЦ (с дисконтом) и согласована Заказчиком</t>
    </r>
  </si>
  <si>
    <t>Согласовано обеими сторонами, скорректированы ошибки в формулах</t>
  </si>
  <si>
    <t>ЭС2 (ТП7-склад цеха №75; 28-28А; 28Б-28В; т.1-т.2; т.7-т.8; цех 417-цех ММЗ; Защита КЛ (ж/д пути 33, 35,37, 39))</t>
  </si>
  <si>
    <t>Скорректирована расценка на испытания кабеля, срорр. Объемы на материал-пена</t>
  </si>
  <si>
    <t>1. завешена стоимость лестницы и 
2.  завышена стоимость лаборатория ультразвук</t>
  </si>
  <si>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>1. Стоимость лестницы скорректирована (по цене ТС2)
֍2. Стоимость лаборатории (ультразвук) была заложена в ВДЦ (с дисконтом) и согласована Заказчиком</t>
    </r>
  </si>
  <si>
    <t>ГП1 (ГП1/1)</t>
  </si>
  <si>
    <r>
      <t xml:space="preserve">1. Погрузка осуществлялась экскаватором Терруса (-649 197,52)
2. Завышен объем погрузки (-1 060 671,1)
3. Скорр стоимость геотекстиля </t>
    </r>
    <r>
      <rPr>
        <b/>
        <sz val="11"/>
        <color rgb="FFED0000"/>
        <rFont val="Calibri"/>
        <family val="2"/>
        <scheme val="minor"/>
      </rPr>
      <t xml:space="preserve">скорректировать стоимость на работы по укладке геотекстиля и стоимость материала по </t>
    </r>
    <r>
      <rPr>
        <b/>
        <u/>
        <sz val="11"/>
        <color rgb="FFED0000"/>
        <rFont val="Calibri"/>
        <family val="2"/>
        <scheme val="minor"/>
      </rPr>
      <t xml:space="preserve">сметной </t>
    </r>
    <r>
      <rPr>
        <b/>
        <sz val="11"/>
        <color rgb="FFED0000"/>
        <rFont val="Calibri"/>
        <family val="2"/>
        <scheme val="minor"/>
      </rPr>
      <t>цене: 93р/м2 работа, 100р/м2 материал (разница 319 473,33р =</t>
    </r>
    <r>
      <rPr>
        <sz val="11"/>
        <color rgb="FFED0000"/>
        <rFont val="Calibri"/>
        <family val="2"/>
        <scheme val="minor"/>
      </rPr>
      <t xml:space="preserve"> 185 112,57 + 134 360,76</t>
    </r>
    <r>
      <rPr>
        <b/>
        <sz val="11"/>
        <color rgb="FFED0000"/>
        <rFont val="Calibri"/>
        <family val="2"/>
        <scheme val="minor"/>
      </rPr>
      <t>)</t>
    </r>
    <r>
      <rPr>
        <sz val="11"/>
        <rFont val="Calibri"/>
        <family val="2"/>
        <scheme val="minor"/>
      </rPr>
      <t xml:space="preserve">
</t>
    </r>
    <r>
      <rPr>
        <b/>
        <u/>
        <sz val="11"/>
        <color rgb="FFED0000"/>
        <rFont val="Calibri"/>
        <family val="2"/>
        <scheme val="minor"/>
      </rPr>
      <t>ВОПРОСЫ, выделенные цветом в ВДЦ, но не внесенные в СВОД:</t>
    </r>
    <r>
      <rPr>
        <sz val="11"/>
        <color rgb="FFED0000"/>
        <rFont val="Calibri"/>
        <family val="2"/>
        <scheme val="minor"/>
      </rPr>
      <t xml:space="preserve">
4. скоррректировать стоимость на погрузку грунта и мусора по одной цене, т.е. уменьшить стоимость погрузки мусора стоимостью </t>
    </r>
    <r>
      <rPr>
        <b/>
        <sz val="11"/>
        <color rgb="FFED0000"/>
        <rFont val="Calibri"/>
        <family val="2"/>
        <scheme val="minor"/>
      </rPr>
      <t xml:space="preserve">431,37р/ т </t>
    </r>
    <r>
      <rPr>
        <sz val="11"/>
        <color rgb="FFED0000"/>
        <rFont val="Calibri"/>
        <family val="2"/>
        <scheme val="minor"/>
      </rPr>
      <t>на</t>
    </r>
    <r>
      <rPr>
        <b/>
        <sz val="11"/>
        <color rgb="FFED0000"/>
        <rFont val="Calibri"/>
        <family val="2"/>
        <scheme val="minor"/>
      </rPr>
      <t xml:space="preserve"> 308,75р/т (разница - 158 641,63р)
</t>
    </r>
  </si>
  <si>
    <r>
      <rPr>
        <b/>
        <sz val="11"/>
        <color rgb="FFFF0000"/>
        <rFont val="Calibri"/>
        <family val="2"/>
      </rPr>
      <t>֍</t>
    </r>
    <r>
      <rPr>
        <b/>
        <sz val="11"/>
        <color rgb="FFFF0000"/>
        <rFont val="Calibri"/>
        <family val="2"/>
        <scheme val="minor"/>
      </rPr>
      <t>1</t>
    </r>
    <r>
      <rPr>
        <sz val="11"/>
        <color rgb="FFFF0000"/>
        <rFont val="Calibri"/>
        <family val="2"/>
        <scheme val="minor"/>
      </rPr>
      <t xml:space="preserve">. Работы добавлены по просьбе заказчика на ранее закрытые объемы - 649 197,52руб. с НДС
</t>
    </r>
    <r>
      <rPr>
        <sz val="11"/>
        <color rgb="FFFF0000"/>
        <rFont val="Calibri"/>
        <family val="2"/>
      </rPr>
      <t>֍</t>
    </r>
    <r>
      <rPr>
        <b/>
        <sz val="11"/>
        <color rgb="FFFF0000"/>
        <rFont val="Calibri"/>
        <family val="2"/>
        <scheme val="minor"/>
      </rPr>
      <t>2</t>
    </r>
    <r>
      <rPr>
        <sz val="11"/>
        <color rgb="FFFF0000"/>
        <rFont val="Calibri"/>
        <family val="2"/>
        <scheme val="minor"/>
      </rPr>
      <t xml:space="preserve">. Задвоения работ или завышения объема погрузки НЕТ. 
</t>
    </r>
    <r>
      <rPr>
        <u/>
        <sz val="11"/>
        <color rgb="FFFF0000"/>
        <rFont val="Calibri"/>
        <family val="2"/>
        <scheme val="minor"/>
      </rPr>
      <t>В ВОР учтено</t>
    </r>
    <r>
      <rPr>
        <sz val="11"/>
        <color rgb="FFFF0000"/>
        <rFont val="Calibri"/>
        <family val="2"/>
        <scheme val="minor"/>
      </rPr>
      <t xml:space="preserve"> тремя позициями: 1) разработка мех.с погрузкой: 2) разработка вручную; 3) погрузка от разработки вручную. 
</t>
    </r>
    <r>
      <rPr>
        <u/>
        <sz val="11"/>
        <color rgb="FFFF0000"/>
        <rFont val="Calibri"/>
        <family val="2"/>
        <scheme val="minor"/>
      </rPr>
      <t>В ВДЦ учтено</t>
    </r>
    <r>
      <rPr>
        <sz val="11"/>
        <color rgb="FFFF0000"/>
        <rFont val="Calibri"/>
        <family val="2"/>
        <scheme val="minor"/>
      </rPr>
      <t xml:space="preserve">: разработка мех </t>
    </r>
    <r>
      <rPr>
        <b/>
        <u/>
        <sz val="11"/>
        <color rgb="FFFF0000"/>
        <rFont val="Calibri"/>
        <family val="2"/>
        <scheme val="minor"/>
      </rPr>
      <t>БЕЗ</t>
    </r>
    <r>
      <rPr>
        <sz val="11"/>
        <color rgb="FFFF0000"/>
        <rFont val="Calibri"/>
        <family val="2"/>
        <scheme val="minor"/>
      </rPr>
      <t xml:space="preserve"> погрузки, а погрузка учтена суммарно - от разработки вручную + от механизированной разработки. 
</t>
    </r>
    <r>
      <rPr>
        <sz val="11"/>
        <color rgb="FFFF0000"/>
        <rFont val="Calibri"/>
        <family val="2"/>
      </rPr>
      <t xml:space="preserve">֍3 Стоимость геотекстиля учтена Дорнит 500 - 153,33р по факту затрат.
В сметах индексация материала и работ учитывается </t>
    </r>
    <r>
      <rPr>
        <b/>
        <sz val="11"/>
        <color rgb="FFFF0000"/>
        <rFont val="Calibri"/>
        <family val="2"/>
      </rPr>
      <t>усредненным индексом</t>
    </r>
    <r>
      <rPr>
        <sz val="11"/>
        <color rgb="FFFF0000"/>
        <rFont val="Calibri"/>
        <family val="2"/>
      </rPr>
      <t xml:space="preserve">, что определяет стоимость одного материала (работ) в смете </t>
    </r>
    <r>
      <rPr>
        <u/>
        <sz val="11"/>
        <color rgb="FFFF0000"/>
        <rFont val="Calibri"/>
        <family val="2"/>
      </rPr>
      <t>больше</t>
    </r>
    <r>
      <rPr>
        <sz val="11"/>
        <color rgb="FFFF0000"/>
        <rFont val="Calibri"/>
        <family val="2"/>
      </rPr>
      <t xml:space="preserve"> рыночной, а другого - </t>
    </r>
    <r>
      <rPr>
        <u/>
        <sz val="11"/>
        <color rgb="FFFF0000"/>
        <rFont val="Calibri"/>
        <family val="2"/>
      </rPr>
      <t>меньше</t>
    </r>
    <r>
      <rPr>
        <sz val="11"/>
        <color rgb="FFFF0000"/>
        <rFont val="Calibri"/>
        <family val="2"/>
      </rPr>
      <t xml:space="preserve">, но в итогах по смете выравнивает затраты. Сравнивать попозиционно материал (работы) сметные и в ВДЦ некорректно
Ранее в проекте ГП1 этих работ не было.
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</rPr>
      <t>֍</t>
    </r>
    <r>
      <rPr>
        <sz val="11"/>
        <color rgb="FFFF0000"/>
        <rFont val="Calibri"/>
        <family val="2"/>
        <scheme val="minor"/>
      </rPr>
      <t xml:space="preserve">4 В ВДЦ учтены затраты согласно утвержденных ранее цен на погрузоные работы грунта и мусора (ВДЦ с дисконтом)
֍5 В ВДЦ по согласованным ВОР исправлена ошибка (+16 388,5р) </t>
    </r>
  </si>
  <si>
    <t>1. Не добавлены а исключены заказчиком! (-649 197,52)
2. Завышение есть! Объем погрузки скорректирован на работы выполненные ЭЭ (-1 277 959)
3. Геотекстиль: 93р/м2 работа, материал оставляем по цене подрядчика (-185 112,57)
4. В исходном ИДЦ (НВК5) погрузка элементов п.75-454,07р / п.96-216,73р = средняя с дисконтом 308,75р, ее и берем (-158 641,83)
5. Ошибка подсчета земли принимается</t>
  </si>
  <si>
    <t>Удалены работы выполненные Террус, добавлены упущенные ЭЭ работы по восстановлению асфальта после подъема путей на 1,2млн.</t>
  </si>
  <si>
    <t>ГП2</t>
  </si>
  <si>
    <r>
      <t xml:space="preserve">1. Земли не завозилось указанного объема (благоустройство), 
2. скорр геотекстиль </t>
    </r>
    <r>
      <rPr>
        <sz val="11"/>
        <color rgb="FFED0000"/>
        <rFont val="Calibri"/>
        <family val="2"/>
        <scheme val="minor"/>
      </rPr>
      <t>скорректировать стоимость на работы по укладке геотекстиля и стоимость материала по сметной цене: 93р/м2 работа, 100р/м2 материал (разница - 961 506,65р)</t>
    </r>
    <r>
      <rPr>
        <sz val="11"/>
        <rFont val="Calibri"/>
        <family val="2"/>
        <scheme val="minor"/>
      </rPr>
      <t xml:space="preserve">
</t>
    </r>
    <r>
      <rPr>
        <sz val="11"/>
        <color rgb="FFED0000"/>
        <rFont val="Calibri"/>
        <family val="2"/>
        <scheme val="minor"/>
      </rPr>
      <t xml:space="preserve">3. скоррректировать стоимость на погрузку мусора (431,37р/ т) по цене погрузки грунта стоимостью  308,75р/т (разница - 25667,82р)
</t>
    </r>
  </si>
  <si>
    <r>
      <rPr>
        <sz val="11"/>
        <color rgb="FFED0000"/>
        <rFont val="Calibri"/>
        <family val="2"/>
        <scheme val="minor"/>
      </rPr>
      <t>֍1 Объем привезенной земли откорректирован по факту</t>
    </r>
    <r>
      <rPr>
        <sz val="11"/>
        <color rgb="FFFF0000"/>
        <rFont val="Calibri"/>
        <family val="2"/>
        <scheme val="minor"/>
      </rPr>
      <t xml:space="preserve">
֍2 Стоимость геотекстиля учтена Дорнит 500 - 153,33р по факту затрат.
 В сметах индексация материала и работ учитывается усредненным индексом, что определяет стоимость одного материала (работ) в смете больше рыночной, а другого - меньше, но в итогах по смете выравнивает затраты. Сравнивать попозиционно материал (работы) сметные и в ВДЦ некорректно
Справочно: в старом ВДЦ (ВДЦ с дисконтом, раздел ПЖ) стоимость материала - 145,66р без уточнения по марке, но не 100р/м2
֍3 В ВДЦ учтены затраты согласно утвержденных ранее цен на погрузоные работы грунта и мусора (ВДЦ с дисконтом)
                                   корректировка ошибок в ВДЦ:
֍4 п.30,1 стоимость щебня на основание под лотки в согласованном ВДЦ (с дисконтом) ошибочно была принята- 1299,60р (остается без изменения и в ВДЦ по согласованным ВОР), но на засыпку пазух лотков щебнем ранее не было согласовано работ. 
Соответственно п.33.1 является новыми затратами и стоимость  необходимо учесть корректно - 3805,70р (в ВДЦ по согласованным ВОР внесены поправки)
֍5 Работы на разработку 1178,52м3 и погрузка 2889,846т, учтенные по просьбе Заказчика по КС6 восстановлены
֍6 Исправлена ошибка в работах на благоустройство. Работы были вынесены в наименование раздела  (в варианте Заказчика)
֍7 п. 24.12 и 24.13 - задвоены (в варианте Заказчика). Внесены поправки в ВДЦ</t>
    </r>
  </si>
  <si>
    <t>много пересчетов, см лист ГП2 VS</t>
  </si>
  <si>
    <t>Скорректирована расценка на асфальтировку по одной цене</t>
  </si>
  <si>
    <r>
      <t xml:space="preserve">1. удалены работы по привозке грунта (-61 958,4) </t>
    </r>
    <r>
      <rPr>
        <sz val="11"/>
        <color rgb="FFED0000"/>
        <rFont val="Calibri"/>
        <family val="2"/>
        <scheme val="minor"/>
      </rPr>
      <t>(Перемещение до 1км недостающего грунта для обратной засыпки)</t>
    </r>
    <r>
      <rPr>
        <sz val="11"/>
        <rFont val="Calibri"/>
        <family val="2"/>
        <scheme val="minor"/>
      </rPr>
      <t xml:space="preserve">
2. скорректированы цены на мотаж/демонтаж МК (-1 830 492,63)
</t>
    </r>
    <r>
      <rPr>
        <sz val="11"/>
        <color rgb="FFED0000"/>
        <rFont val="Calibri"/>
        <family val="2"/>
        <scheme val="minor"/>
      </rPr>
      <t>3. скоррректировать стоимость на погрузку мусора (431,37р/ т) по цене погрузки грунта стоимостью  308,75р/т (разница - 257063,52р)</t>
    </r>
  </si>
  <si>
    <r>
      <t xml:space="preserve">֍1. Работы добавлены по просьбе заказчика на ранее закрытые объемы - 61 958,40руб. с НДС. 
По факту при разработке грунта не было возможности складирования в отвал. Грунт перемещали на площадку в районе строительного городка. 
</t>
    </r>
    <r>
      <rPr>
        <sz val="11"/>
        <color theme="4" tint="-0.249977111117893"/>
        <rFont val="Calibri"/>
        <family val="2"/>
        <scheme val="minor"/>
      </rPr>
      <t>֍2 Оснований на снижение стоимости нет. Норма работ учтена по стоимости ФЕР (скрин приложен справа от таблицы к позициям ВДЦ п.1, 4, 5 на д</t>
    </r>
    <r>
      <rPr>
        <i/>
        <sz val="11"/>
        <color theme="4" tint="-0.249977111117893"/>
        <rFont val="Calibri"/>
        <family val="2"/>
        <scheme val="minor"/>
      </rPr>
      <t>емонтаж и монтаж пролетных строений горизонтального типа с опорами на высоте 6,3метра при помощи двух автоподъемных механизмов (автокран+автовышка)</t>
    </r>
    <r>
      <rPr>
        <sz val="11"/>
        <color theme="4" tint="-0.249977111117893"/>
        <rFont val="Calibri"/>
        <family val="2"/>
        <scheme val="minor"/>
      </rPr>
      <t>"). ФЕР разработан с оптимизацией затрат и в сторону уменьшения не корректируется.</t>
    </r>
    <r>
      <rPr>
        <sz val="11"/>
        <color rgb="FFFF0000"/>
        <rFont val="Calibri"/>
        <family val="2"/>
        <scheme val="minor"/>
      </rPr>
      <t xml:space="preserve">
֍3. В ВДЦ учтены затраты согласно утвержденных ранее цен на погрузоные работы грунта и мусора (ВДЦ с дисконтом)</t>
    </r>
  </si>
  <si>
    <t>1.Возвращены работы по привозке грунта (+61 958,4) (Перемещение до 1км недостающего грунта для обратной засыпки)
2. Применение предлагаемй расценки некорректно, почему не 09-02-018? скорректированы цены на мотаж/демонтаж МК с учетом исходной ВДЦ скорректированной под 3 опоры (-1 799 187,43)
3. В исходном ИДЦ (НВК5) погрузка элементов п.75-454,07р / п.96-216,73р = средняя с дисконтом 308,75р, ее и берем (-25 667,82)</t>
  </si>
  <si>
    <t>Скоррктированы завышенные работы на демонтаж/монтаж металлоконструкций, ранее была согласована другая сумма</t>
  </si>
  <si>
    <r>
      <t xml:space="preserve">             корректировка ВДЦ (ошибки в расчете) - вложена вкладка с ВДЦ (К10-К10А синим фоном)
֍1 </t>
    </r>
    <r>
      <rPr>
        <sz val="11"/>
        <color rgb="FFFF0000"/>
        <rFont val="Calibri"/>
        <family val="2"/>
        <scheme val="minor"/>
      </rPr>
      <t>Упущены работы (добавлены по КС6 по просьбе заказчика) на нанесение ВУС изоляции (9580,7р)
֍2 Пропущена стоимость работ на демонтаж труб п.1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(46 438,99р)
֍2 пропущены работы (добавлены по КС6 по просьбе заказчика)  на укладку трубы Ф110мм. В ВДЦ учтена труба Ф160мм на такой же объем по ИД</t>
    </r>
    <r>
      <rPr>
        <b/>
        <sz val="11"/>
        <color rgb="FFFF0000"/>
        <rFont val="Calibri"/>
        <family val="2"/>
        <scheme val="minor"/>
      </rPr>
      <t xml:space="preserve"> (50 215,31р)</t>
    </r>
  </si>
  <si>
    <t>1. ВУС изоляция отдельно не выполнялась
2. Как отдельного демонтажа трубы не было, ее раздавили экскаватором и загрузили с грунтом
3. Не пропущены, тем что добавили вы задвоили трубу (п.10+10.1)
Остается без изменений</t>
  </si>
  <si>
    <t>АС2 (Узел подпорной стены по коллектору; Удлинение подпорной стенки трансбордера (ПС-2);  Монтаж колодцев ВК1-ВК2)</t>
  </si>
  <si>
    <t>в АС2 учтен узел на удлинение подпорной стены (1513846,08р)</t>
  </si>
  <si>
    <t>Временный переезд возле 417</t>
  </si>
  <si>
    <t>Смещение фундаментов под трансбордер (АС1)
(Смещение закладных М1 на фундаменте ФМ1)</t>
  </si>
  <si>
    <r>
      <rPr>
        <sz val="11"/>
        <rFont val="Calibri"/>
        <family val="2"/>
        <scheme val="minor"/>
      </rPr>
      <t>Дублируется, учтено в АС1</t>
    </r>
    <r>
      <rPr>
        <sz val="11"/>
        <color rgb="FFFF0000"/>
        <rFont val="Calibri"/>
        <family val="2"/>
        <scheme val="minor"/>
      </rPr>
      <t xml:space="preserve">
В АС1 (вкладка "ФМ2) и в смещение фундамента под трансбордер (вкладка "Смещение закладных")</t>
    </r>
  </si>
  <si>
    <t xml:space="preserve">֍1. В ВДЦ "Реконструкция фундамента под трансбордер", а именно работы по смещению закладных М1 на фундаментах ФМ2 и работы в ВДЦ "АС1" идентичные не задваиваются. 
В АС1 учтены работы, предусмотренные проектным решением, а в ВДЦ на реконструкцию - работы, учитывающие ошибку проектного решения. Работы выполнялись по указанию Заказчика, т.к. при неправильно сппроектированном пути вагон не проходил по габаритам в цех. </t>
  </si>
  <si>
    <t>Узел подпорной стены по коллектору (АС2)</t>
  </si>
  <si>
    <t>Дублируется, учтено в АС2</t>
  </si>
  <si>
    <t>принято</t>
  </si>
  <si>
    <t>Удлинение подпорной стенки трансбордера (ПС-2)</t>
  </si>
  <si>
    <t>ГП2 доп работы</t>
  </si>
  <si>
    <r>
      <t>Работы были добавлены по ВОР, согласованным позднее направленных ВДЦ</t>
    </r>
    <r>
      <rPr>
        <sz val="11"/>
        <color rgb="FFFF0000"/>
        <rFont val="Calibri"/>
        <family val="2"/>
        <scheme val="minor"/>
      </rPr>
      <t xml:space="preserve"> (добавлена вкладка синим фоном)</t>
    </r>
  </si>
  <si>
    <t>Удалено, будет рассматриваться отдельно</t>
  </si>
  <si>
    <t>ПЖ (доп.провал жд пути)</t>
  </si>
  <si>
    <r>
      <t xml:space="preserve">Работы были добавлены по ВОР, согласованным позднее направленных ВДЦ </t>
    </r>
    <r>
      <rPr>
        <sz val="11"/>
        <color rgb="FFFF0000"/>
        <rFont val="Calibri"/>
        <family val="2"/>
        <scheme val="minor"/>
      </rPr>
      <t>(добавлена вкладка синим фоном)</t>
    </r>
  </si>
  <si>
    <t>Резка асфальта</t>
  </si>
  <si>
    <t>Комм/расценка из 8цех заменена на 350р/м, верх стоимость примерно 420р/м</t>
  </si>
  <si>
    <r>
      <t xml:space="preserve">Комм/расценка из 8цех заменена на 350р/м, верх стоимость примерно 420р/м - комментарий Заказчика
</t>
    </r>
    <r>
      <rPr>
        <sz val="11"/>
        <color rgb="FFED0000"/>
        <rFont val="Calibri"/>
        <family val="2"/>
        <scheme val="minor"/>
      </rPr>
      <t>В 8-м цехе согласована цена 3500р/ без НДС)</t>
    </r>
  </si>
  <si>
    <t>Некорректно! 8цех совершенно другой объект, там коммерческие расценки обусловленные стесненными условиями, армированным бетоном, его толщиной и прочее…, к тому же резки не было такого объема, расценка согласована 1800р/м</t>
  </si>
  <si>
    <t>Задержка ИД на 16 недель</t>
  </si>
  <si>
    <t>11.05.2024-05.09.2024 // 16недель</t>
  </si>
  <si>
    <t>РД в работу Заказчиком не передавалась!</t>
  </si>
  <si>
    <t>ИД вовремя не сдавалась, было соглашение по -1млн/неделя</t>
  </si>
  <si>
    <t>Итого</t>
  </si>
  <si>
    <t>НВК 4</t>
  </si>
  <si>
    <t>К16А</t>
  </si>
  <si>
    <t>К26-К27</t>
  </si>
  <si>
    <t>Послос.ремонт</t>
  </si>
  <si>
    <t>Оплачено ЭЭ</t>
  </si>
  <si>
    <t>Оплачено Техресурс</t>
  </si>
  <si>
    <t>Итого оплачено</t>
  </si>
  <si>
    <t>Согласовано в текущей версии</t>
  </si>
  <si>
    <t>Разница согл./оплачено</t>
  </si>
  <si>
    <t xml:space="preserve">Щебень мелкий М600 (5-20мм) </t>
  </si>
  <si>
    <t>Обратная засыпка песком вручную</t>
  </si>
  <si>
    <t xml:space="preserve">Уплотнение </t>
  </si>
  <si>
    <t xml:space="preserve">Подготовка почвы для устройства газона  ручным способом с внесением растительной земли слоем 10 см </t>
  </si>
  <si>
    <t xml:space="preserve">Подготовка почвы для устройства газона  ручным способом с внесением растительной земли слоем 20 см </t>
  </si>
  <si>
    <t>Вертикальная планировка</t>
  </si>
  <si>
    <t>КИК</t>
  </si>
  <si>
    <t>131-23-ПЖ</t>
  </si>
  <si>
    <t>Сооружение земляного полотна</t>
  </si>
  <si>
    <t xml:space="preserve">Выемка техногенного грунта </t>
  </si>
  <si>
    <t>Разработка грунта в траншее вручную</t>
  </si>
  <si>
    <t xml:space="preserve">Перевозка грунта до 1км  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</si>
  <si>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</si>
  <si>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</si>
  <si>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</si>
  <si>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</si>
  <si>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</si>
  <si>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</si>
  <si>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Устройство подстилающих и выравнивающих слоев оснований из песка</t>
  </si>
  <si>
    <t>Песок</t>
  </si>
  <si>
    <t>Устройство подстилающих и выравнивающих слоев оснований из щебня</t>
  </si>
  <si>
    <t>Щебень балластный кат.2</t>
  </si>
  <si>
    <t>Замена балласта/ Снятие балластного основания</t>
  </si>
  <si>
    <t xml:space="preserve">Замена балласта/ Балластировка пути </t>
  </si>
  <si>
    <t>Разборка тупиковых упоров</t>
  </si>
  <si>
    <t>шт</t>
  </si>
  <si>
    <t>Разборка стрелочного перевода марки 1/9 на деревянных брусьях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</si>
  <si>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</si>
  <si>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</si>
  <si>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</si>
  <si>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Перевозка грузов на расстояние до 2км</t>
  </si>
  <si>
    <t>Разгрузка демонтированных элементов</t>
  </si>
  <si>
    <t>Устройство верхнего строения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</si>
  <si>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</si>
  <si>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Болт стыковой в сборе Р65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</si>
  <si>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</si>
  <si>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</t>
  </si>
  <si>
    <t>Укладка контррельсовый уголка в комплекте с башмаками и кремплением</t>
  </si>
  <si>
    <t>Укладка глухого пересечения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</si>
  <si>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</si>
  <si>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</si>
  <si>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Укладка стрелочных переводов</t>
  </si>
  <si>
    <t xml:space="preserve">Укладка нового стрелочного перевода типа Р65 марка 1/9 , с комплектом ж.б. брусьев и креплений 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</si>
  <si>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</si>
  <si>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старогоднего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</si>
  <si>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</si>
  <si>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 xml:space="preserve">Укладка сарогоднего стрелочного перевода типа Р65 марка 1/9 </t>
  </si>
  <si>
    <t>Устройство тупиковых упоров</t>
  </si>
  <si>
    <t xml:space="preserve">Установка тупиковых упоров </t>
  </si>
  <si>
    <t>Изготовление и монтаж обрамления призм тупиковых упоров (5 шт.)</t>
  </si>
  <si>
    <t>Лист ст 3мм</t>
  </si>
  <si>
    <t>31.2</t>
  </si>
  <si>
    <t>Уголок 50х50х4мм</t>
  </si>
  <si>
    <t>Рихтовка, выправка и балластировка путей</t>
  </si>
  <si>
    <t>Рихтовка пути</t>
  </si>
  <si>
    <t>Балластировка пути и стрелочных переводов</t>
  </si>
  <si>
    <t>Устройство  выравнивающего слоя междупутья из щебня</t>
  </si>
  <si>
    <t>Устройство  выравнивающего слоя междупутья из песка</t>
  </si>
  <si>
    <t>35.1</t>
  </si>
  <si>
    <t>Изготовление и устройство закладных конструкций</t>
  </si>
  <si>
    <t>Изготовление в построечных условиях конструкций закладных МС2 (380шт., L=150мм; 4,79кг/м)</t>
  </si>
  <si>
    <t>Сверление рельс для установки МС2 (380 * 2 отверстия)</t>
  </si>
  <si>
    <t xml:space="preserve">Установка МС2 на болтовых соединениях </t>
  </si>
  <si>
    <t>Изделие соединительное МС2 (уголок 75х50х5)</t>
  </si>
  <si>
    <t>Болт М14</t>
  </si>
  <si>
    <t>38.3</t>
  </si>
  <si>
    <t>Гайка М14</t>
  </si>
  <si>
    <t>38.4</t>
  </si>
  <si>
    <t>Шайба М14</t>
  </si>
  <si>
    <t>Установка изделий МС-1</t>
  </si>
  <si>
    <t xml:space="preserve">Изделие соединительное МС1 (уголок 75х75х5)  </t>
  </si>
  <si>
    <t>Подготовительные и демонтажные работы</t>
  </si>
  <si>
    <t>Разборка покрытий асфальтобетонных отбойными молотками</t>
  </si>
  <si>
    <t>Разборка дорожных ж/б плит  (3м*1,75м*0,17м)</t>
  </si>
  <si>
    <t>Разборка бетонного основания отбойными молотками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</si>
  <si>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</si>
  <si>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</si>
  <si>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</si>
  <si>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</si>
  <si>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</si>
  <si>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</si>
  <si>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 xml:space="preserve">Обратная засыпка грунта бульдозером </t>
  </si>
  <si>
    <t>Уплотнение грунта пневматическими трамбовками</t>
  </si>
  <si>
    <t>Демонтаж ж/б конструкций опор</t>
  </si>
  <si>
    <t>Разборка монолитного ж/б фундамента</t>
  </si>
  <si>
    <t>Демонтаж ж/б опор (6шт., 19,2м3)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</si>
  <si>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</si>
  <si>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</si>
  <si>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</si>
  <si>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Погрузка металлического лома</t>
  </si>
  <si>
    <t>Разгрузка металлического лома</t>
  </si>
  <si>
    <t>Стыковка с путями 417 цеха</t>
  </si>
  <si>
    <t>Соединение рельсошпальной решетки на деревянных шпалах с рельсовыми путями цеха 417</t>
  </si>
  <si>
    <t>стык</t>
  </si>
  <si>
    <t>Сверление отверстий в рельсах после подрезки под монтаж накладки</t>
  </si>
  <si>
    <t>Демонтаж бетонного основания отбойными молотками</t>
  </si>
  <si>
    <t>2002,19м3=3804,16т это погрузка Террус</t>
  </si>
  <si>
    <t>по ИД и факту меньше!!!</t>
  </si>
  <si>
    <t>131-23-АС4. Эстакада</t>
  </si>
  <si>
    <t>Разборка дорожных покрытий для устройства котлованов</t>
  </si>
  <si>
    <t xml:space="preserve"> т</t>
  </si>
  <si>
    <t>Земляные работы. Устройство котлованов</t>
  </si>
  <si>
    <t>Перемещение до 1км недостающего грунта для обратной засыпки</t>
  </si>
  <si>
    <t>Устройство фундаментов ФМ-1 -4 шт.</t>
  </si>
  <si>
    <t>Устройство бетонной подготовки</t>
  </si>
  <si>
    <t>Бетон B7,5</t>
  </si>
  <si>
    <t>Устройство монолитных железобетонных фундаментов  (Фм1)</t>
  </si>
  <si>
    <t>Бетонная смесь БСТ В25 П4 F150 W6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</si>
  <si>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</si>
  <si>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</si>
  <si>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</si>
  <si>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</si>
  <si>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</si>
  <si>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Очистка боковых поверхностей фундаментов от грязи и пыли перед обмазкой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</si>
  <si>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</si>
  <si>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</si>
  <si>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Металлоконструкции</t>
  </si>
  <si>
    <t>Демонтажные работы пролетных строений</t>
  </si>
  <si>
    <t>Демонтаж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</si>
  <si>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Перевозка демонтированных металлоконструкций на расстояние до 1км</t>
  </si>
  <si>
    <t>Монтаж пролетных строений</t>
  </si>
  <si>
    <t>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</si>
  <si>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Металлоконструкции пролетных строений эстакады, изготовленные по чертежам КМД, сталь С245</t>
  </si>
  <si>
    <t>4.2</t>
  </si>
  <si>
    <t>Металлоконструкции пролетных строений эстакады, изготовленные по чертежам КМД, сталь С345</t>
  </si>
  <si>
    <t>4.3</t>
  </si>
  <si>
    <t>Металлоконструкции опор эстакады, изготовленные по чертежам КМД, сталь С245</t>
  </si>
  <si>
    <t>4.4</t>
  </si>
  <si>
    <t>Металлоконструкции опор эстакады, изготовленные по чертежам КМД, сталь С345</t>
  </si>
  <si>
    <t>Монтаж ригеля на установленные опорные металлоконструкции эстакады на высоте 6,3метра при помощи двух автоподъемных механизмов (автокран+автовышка)</t>
  </si>
  <si>
    <t>Металлоконструкции: швеллер 16П - 90,88кг; труба квадратная 250х250х8 - 159,49кг; лист стальной t=30 мм - 117,75кг; лист стальной t=10 мм - 4,9кг</t>
  </si>
  <si>
    <t>Окраска металлоконструкций</t>
  </si>
  <si>
    <t>Очистка поверхности сущ. металлоконструкций щетками</t>
  </si>
  <si>
    <t>Обеспыливание поверхности металлоконструкций (ферм и опор, включая существующие)</t>
  </si>
  <si>
    <t>Огрунтовка металлических поверхностей за один раз</t>
  </si>
  <si>
    <t>8.1</t>
  </si>
  <si>
    <t>Грунтовка ГФ-021</t>
  </si>
  <si>
    <t xml:space="preserve">Окраска металлических поверхностей за два слоя </t>
  </si>
  <si>
    <t>Эмаль ПФ-115, серая</t>
  </si>
  <si>
    <t>Обетонирование анкерных групп (подливка бетонной смеси между пяткой опоры и фундаментом)</t>
  </si>
  <si>
    <t>Обмазка праймером Технониколь обетонированных частей опор в один слой</t>
  </si>
  <si>
    <t>Обмазка битумной мастикой обетонированных частей опор в два слоя</t>
  </si>
  <si>
    <t>У ЭЭ ошибка в формуле</t>
  </si>
  <si>
    <t>Завысили, обсуждалась другая сумма</t>
  </si>
  <si>
    <t>131-23-ЭС2. Переустройство кабельных линий т.1-т.2; т.7-т.8</t>
  </si>
  <si>
    <t>1</t>
  </si>
  <si>
    <t xml:space="preserve">Разработка  грунта механизированным способом </t>
  </si>
  <si>
    <t xml:space="preserve">Устройство песчаного основания h=0,1м </t>
  </si>
  <si>
    <t>Защита песком кабельных линий в траншее с последующим уплотнением</t>
  </si>
  <si>
    <t>Обратная засыпка траншеи щебнем</t>
  </si>
  <si>
    <t>Щебень</t>
  </si>
  <si>
    <t>Переустройство кабельных линий</t>
  </si>
  <si>
    <t>Монтаж трубы  ПНД гофрированной Ф110мм</t>
  </si>
  <si>
    <t>Труба ПНД гофрированная Ф110мм</t>
  </si>
  <si>
    <t>Заделка труб пеной двухкомпонентной огнезащитной DN1201</t>
  </si>
  <si>
    <t>Пена двухкомпонентная огнезащитная DN1201</t>
  </si>
  <si>
    <t>Установка короба (лоток лестничный ЛЛ 2000х200мм с крышкой</t>
  </si>
  <si>
    <t>Лоток лестничный ЛЛ 2000х200мм</t>
  </si>
  <si>
    <t>16.2</t>
  </si>
  <si>
    <t>Крышка  800х2000х100мм</t>
  </si>
  <si>
    <t>Устройство кабельных вставок АСБл-3х70-10кВ открыто в траншее, в трубе</t>
  </si>
  <si>
    <t>17.1</t>
  </si>
  <si>
    <t>Кабель АСБл-3х70-10кВ</t>
  </si>
  <si>
    <t>Устройство кабельных вставок АВБШв-3х95-6кВ открыто в траншее, в трубе</t>
  </si>
  <si>
    <t>Кабель АВБШв-3х95-6кВ</t>
  </si>
  <si>
    <t>Укладка ленты сигнальной ЛСЭ-600 в траншею</t>
  </si>
  <si>
    <t>Лента сигнальная ЛСЭ-300</t>
  </si>
  <si>
    <t>Монтаж муфты соединительной 10кВ 3СТп-10-70/120</t>
  </si>
  <si>
    <t>Муфта соединительная 10кВ 3СТп-10-70/120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</si>
  <si>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</si>
  <si>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</si>
  <si>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</si>
  <si>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>Пены меньше по ВОР и ИД</t>
  </si>
  <si>
    <t>Сумма корректировки</t>
  </si>
  <si>
    <t>Итого с учетом корректировки</t>
  </si>
  <si>
    <t>131-23-НВК4. Переустройство канализации К10 до К10А</t>
  </si>
  <si>
    <t>Демонтаж трубы керамической Ду 150</t>
  </si>
  <si>
    <t xml:space="preserve">Земляные работы для устройства траншеи </t>
  </si>
  <si>
    <t xml:space="preserve">Разработка влажного грунта механизированным способом </t>
  </si>
  <si>
    <t>м³</t>
  </si>
  <si>
    <t>Устройство песчаного основания  под трубы вручную</t>
  </si>
  <si>
    <t xml:space="preserve">Засыпказ  песком </t>
  </si>
  <si>
    <t xml:space="preserve">Прокладка труб 110 SN 16 </t>
  </si>
  <si>
    <t xml:space="preserve">Труба Ф110 SN 16 </t>
  </si>
  <si>
    <t>Прокладка труб стальных электросварных 377х8мм  (футляр)</t>
  </si>
  <si>
    <t>Труба стальная электросварная 377х8мм   (футляр)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</si>
  <si>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</si>
  <si>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</si>
  <si>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Мастика "Ярославна БПХ-2"</t>
  </si>
  <si>
    <t>Материал рулонный гидроизоляционный изол, резино-битумный, без полимерных добавок</t>
  </si>
  <si>
    <t>Протаскивание трубы КОРСИС PRODN/OD 160P SN 16 с установкой колец опорно-направляющего ОНК-160/377</t>
  </si>
  <si>
    <t xml:space="preserve">Труба КОРСИС PRODN/OD 160P SN 16 </t>
  </si>
  <si>
    <t>12.2</t>
  </si>
  <si>
    <t>Опорно-направляющее кольцо ОНК-160 для трубы Дн=160мм</t>
  </si>
  <si>
    <t>Заполнение межтрубного пространства цементно-песчаным раствором марки М100</t>
  </si>
  <si>
    <t>Цементно-песчаный раствор М100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</si>
  <si>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</si>
  <si>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</si>
  <si>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разрушенная труба, ковшом с грунтом загрузили и все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</si>
</sst>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\ _₽_-;\-* #,##0.00\ _₽_-;_-* &quot;-&quot;??\ _₽_-;_-@_-"/>
    <numFmt numFmtId="167" formatCode="0.000"/>
    <numFmt numFmtId="168" formatCode="0.0"/>
    <numFmt numFmtId="169" formatCode="_-* #,##0.000_-;\-* #,##0.000_-;_-* &quot;-&quot;??_-;_-@_-"/>
    <numFmt numFmtId="170" formatCode="_-* #,##0.0_-;\-* #,##0.0_-;_-* &quot;-&quot;??_-;_-@_-"/>
    <numFmt numFmtId="171" formatCode="0.0000"/>
    <numFmt numFmtId="172" formatCode="#,##0.00_ ;\-#,##0.00\ 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ED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rgb="FFED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sz val="11"/>
      <color rgb="FF004E9A"/>
      <name val="Calibri"/>
      <family val="2"/>
      <scheme val="minor"/>
    </font>
    <font>
      <b/>
      <sz val="11"/>
      <color rgb="FF004E9A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u/>
      <sz val="11"/>
      <color rgb="FFED0000"/>
      <name val="Calibri"/>
      <family val="2"/>
      <scheme val="minor"/>
    </font>
    <font>
      <b/>
      <sz val="11"/>
      <color rgb="FFFF0000"/>
      <name val="Calibri"/>
      <family val="2"/>
    </font>
    <font>
      <u/>
      <sz val="11"/>
      <color rgb="FFFF0000"/>
      <name val="Calibri"/>
      <family val="2"/>
    </font>
    <font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0"/>
      <color theme="0" tint="-0.499984740745262"/>
      <name val="Calibri"/>
      <family val="2"/>
      <charset val="204"/>
      <scheme val="minor"/>
    </font>
    <font>
      <i/>
      <sz val="10"/>
      <color theme="0" tint="-0.499984740745262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b/>
      <sz val="11"/>
      <color rgb="FF0070C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659">
    <xf numFmtId="0" fontId="0" fillId="0" borderId="0" xfId="0"/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6" fillId="0" borderId="11" xfId="1" applyFont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164" fontId="0" fillId="0" borderId="0" xfId="1" applyNumberFormat="1" applyFont="1"/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vertical="center"/>
    </xf>
    <xf numFmtId="0" fontId="4" fillId="0" borderId="3" xfId="0" applyFont="1" applyBorder="1"/>
    <xf numFmtId="0" fontId="8" fillId="0" borderId="3" xfId="2" applyFont="1" applyFill="1" applyBorder="1" applyAlignment="1">
      <alignment vertical="center" wrapText="1"/>
    </xf>
    <xf numFmtId="0" fontId="8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43" fontId="8" fillId="4" borderId="3" xfId="1" applyNumberFormat="1" applyFont="1" applyFill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4" fillId="0" borderId="3" xfId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3" fontId="6" fillId="5" borderId="3" xfId="1" applyFont="1" applyFill="1" applyBorder="1" applyAlignment="1">
      <alignment horizontal="right"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166" fontId="0" fillId="0" borderId="0" xfId="0" applyNumberFormat="1"/>
    <xf numFmtId="43" fontId="4" fillId="5" borderId="3" xfId="1" applyFont="1" applyFill="1" applyBorder="1"/>
    <xf numFmtId="43" fontId="4" fillId="6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43" fontId="4" fillId="5" borderId="3" xfId="1" applyNumberFormat="1" applyFont="1" applyFill="1" applyBorder="1"/>
    <xf numFmtId="43" fontId="4" fillId="6" borderId="3" xfId="1" applyNumberFormat="1" applyFont="1" applyFill="1" applyBorder="1"/>
    <xf numFmtId="43" fontId="4" fillId="5" borderId="3" xfId="1" applyNumberFormat="1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3" fontId="9" fillId="4" borderId="3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/>
    <xf numFmtId="0" fontId="6" fillId="7" borderId="3" xfId="0" applyFont="1" applyFill="1" applyBorder="1"/>
    <xf numFmtId="43" fontId="6" fillId="7" borderId="3" xfId="1" applyFont="1" applyFill="1" applyBorder="1" applyAlignment="1">
      <alignment horizontal="center" vertical="center" wrapText="1"/>
    </xf>
    <xf numFmtId="43" fontId="6" fillId="7" borderId="3" xfId="1" applyFont="1" applyFill="1" applyBorder="1" applyAlignment="1">
      <alignment vertical="center"/>
    </xf>
    <xf numFmtId="43" fontId="7" fillId="7" borderId="3" xfId="1" applyFont="1" applyFill="1" applyBorder="1" applyAlignment="1">
      <alignment horizontal="center" vertical="center" wrapText="1"/>
    </xf>
    <xf numFmtId="43" fontId="6" fillId="7" borderId="11" xfId="1" applyFont="1" applyFill="1" applyBorder="1" applyAlignment="1">
      <alignment vertical="center"/>
    </xf>
    <xf numFmtId="0" fontId="3" fillId="7" borderId="11" xfId="0" applyFont="1" applyFill="1" applyBorder="1" applyAlignment="1">
      <alignment horizontal="left" vertical="center" wrapText="1"/>
    </xf>
    <xf numFmtId="2" fontId="8" fillId="7" borderId="3" xfId="2" applyNumberFormat="1" applyFont="1" applyFill="1" applyBorder="1" applyAlignment="1">
      <alignment horizontal="center" vertical="center" wrapText="1"/>
    </xf>
    <xf numFmtId="43" fontId="8" fillId="7" borderId="3" xfId="1" applyFont="1" applyFill="1" applyBorder="1" applyAlignment="1">
      <alignment horizontal="center" vertical="center"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3" fillId="7" borderId="3" xfId="3" applyFont="1" applyFill="1" applyBorder="1" applyAlignment="1">
      <alignment vertical="center" wrapText="1"/>
    </xf>
    <xf numFmtId="1" fontId="6" fillId="7" borderId="3" xfId="0" applyNumberFormat="1" applyFont="1" applyFill="1" applyBorder="1" applyAlignment="1">
      <alignment horizontal="center" vertical="center" wrapText="1"/>
    </xf>
    <xf numFmtId="0" fontId="9" fillId="4" borderId="3" xfId="3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3" fontId="9" fillId="4" borderId="3" xfId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right" vertical="center" wrapText="1"/>
    </xf>
    <xf numFmtId="43" fontId="6" fillId="4" borderId="3" xfId="1" applyFont="1" applyFill="1" applyBorder="1" applyAlignment="1">
      <alignment horizontal="right" vertical="center"/>
    </xf>
    <xf numFmtId="43" fontId="6" fillId="0" borderId="3" xfId="1" applyFont="1" applyFill="1" applyBorder="1" applyAlignment="1">
      <alignment horizontal="right" vertical="center" wrapText="1"/>
    </xf>
    <xf numFmtId="164" fontId="6" fillId="4" borderId="3" xfId="1" applyNumberFormat="1" applyFont="1" applyFill="1" applyBorder="1" applyAlignment="1">
      <alignment horizontal="right" vertical="center"/>
    </xf>
    <xf numFmtId="43" fontId="8" fillId="0" borderId="3" xfId="1" applyFont="1" applyBorder="1" applyAlignment="1">
      <alignment horizontal="right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2" fontId="8" fillId="4" borderId="3" xfId="1" applyNumberFormat="1" applyFont="1" applyFill="1" applyBorder="1" applyAlignment="1">
      <alignment horizontal="right" vertical="center"/>
    </xf>
    <xf numFmtId="2" fontId="6" fillId="0" borderId="3" xfId="0" applyNumberFormat="1" applyFont="1" applyFill="1" applyBorder="1" applyAlignment="1">
      <alignment horizontal="right" vertical="center" wrapText="1"/>
    </xf>
    <xf numFmtId="1" fontId="6" fillId="4" borderId="3" xfId="0" applyNumberFormat="1" applyFont="1" applyFill="1" applyBorder="1" applyAlignment="1">
      <alignment horizontal="right" vertical="center" wrapText="1"/>
    </xf>
    <xf numFmtId="1" fontId="8" fillId="3" borderId="3" xfId="0" applyNumberFormat="1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center" wrapText="1"/>
    </xf>
    <xf numFmtId="0" fontId="8" fillId="3" borderId="11" xfId="3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left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13" fillId="3" borderId="3" xfId="1" applyFont="1" applyFill="1" applyBorder="1" applyAlignment="1">
      <alignment horizontal="center"/>
    </xf>
    <xf numFmtId="43" fontId="13" fillId="3" borderId="3" xfId="1" applyFont="1" applyFill="1" applyBorder="1" applyAlignment="1">
      <alignment vertical="center"/>
    </xf>
    <xf numFmtId="0" fontId="10" fillId="0" borderId="0" xfId="0" applyFont="1"/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2" fontId="6" fillId="4" borderId="3" xfId="1" applyNumberFormat="1" applyFont="1" applyFill="1" applyBorder="1" applyAlignment="1">
      <alignment horizontal="right" vertical="center"/>
    </xf>
    <xf numFmtId="167" fontId="8" fillId="4" borderId="3" xfId="1" applyNumberFormat="1" applyFont="1" applyFill="1" applyBorder="1" applyAlignment="1">
      <alignment horizontal="right" vertical="center"/>
    </xf>
    <xf numFmtId="1" fontId="8" fillId="4" borderId="3" xfId="1" applyNumberFormat="1" applyFont="1" applyFill="1" applyBorder="1" applyAlignment="1">
      <alignment horizontal="right" vertical="center"/>
    </xf>
    <xf numFmtId="0" fontId="6" fillId="7" borderId="3" xfId="0" applyNumberFormat="1" applyFont="1" applyFill="1" applyBorder="1" applyAlignment="1">
      <alignment horizontal="righ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68" fontId="6" fillId="0" borderId="3" xfId="0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164" fontId="6" fillId="0" borderId="3" xfId="1" applyNumberFormat="1" applyFont="1" applyFill="1" applyBorder="1" applyAlignment="1">
      <alignment horizontal="right" vertical="center" wrapText="1"/>
    </xf>
    <xf numFmtId="43" fontId="8" fillId="0" borderId="3" xfId="1" applyFont="1" applyBorder="1" applyAlignment="1">
      <alignment vertical="center"/>
    </xf>
    <xf numFmtId="43" fontId="9" fillId="0" borderId="3" xfId="1" applyFont="1" applyBorder="1" applyAlignment="1">
      <alignment vertical="center"/>
    </xf>
    <xf numFmtId="43" fontId="6" fillId="0" borderId="3" xfId="1" applyNumberFormat="1" applyFont="1" applyFill="1" applyBorder="1" applyAlignment="1">
      <alignment horizontal="right" vertical="center" wrapText="1"/>
    </xf>
    <xf numFmtId="0" fontId="3" fillId="3" borderId="3" xfId="3" applyFont="1" applyFill="1" applyBorder="1" applyAlignment="1">
      <alignment horizontal="left" vertical="center" wrapText="1"/>
    </xf>
    <xf numFmtId="0" fontId="8" fillId="0" borderId="3" xfId="3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vertical="center"/>
    </xf>
    <xf numFmtId="43" fontId="9" fillId="4" borderId="3" xfId="1" applyFont="1" applyFill="1" applyBorder="1" applyAlignment="1">
      <alignment vertical="center"/>
    </xf>
    <xf numFmtId="0" fontId="9" fillId="0" borderId="3" xfId="3" applyFont="1" applyBorder="1" applyAlignment="1">
      <alignment vertical="center" wrapText="1"/>
    </xf>
    <xf numFmtId="0" fontId="9" fillId="8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8" fillId="4" borderId="3" xfId="1" applyNumberFormat="1" applyFont="1" applyFill="1" applyBorder="1" applyAlignment="1">
      <alignment horizontal="right" vertical="center"/>
    </xf>
    <xf numFmtId="2" fontId="6" fillId="4" borderId="3" xfId="0" applyNumberFormat="1" applyFont="1" applyFill="1" applyBorder="1" applyAlignment="1">
      <alignment horizontal="right" vertical="center" wrapText="1"/>
    </xf>
    <xf numFmtId="168" fontId="6" fillId="4" borderId="3" xfId="0" applyNumberFormat="1" applyFont="1" applyFill="1" applyBorder="1" applyAlignment="1">
      <alignment horizontal="right" vertical="center" wrapText="1"/>
    </xf>
    <xf numFmtId="167" fontId="6" fillId="0" borderId="3" xfId="0" applyNumberFormat="1" applyFont="1" applyFill="1" applyBorder="1" applyAlignment="1">
      <alignment horizontal="center" vertical="center" wrapText="1"/>
    </xf>
    <xf numFmtId="167" fontId="6" fillId="0" borderId="3" xfId="0" applyNumberFormat="1" applyFont="1" applyFill="1" applyBorder="1" applyAlignment="1">
      <alignment horizontal="right" vertical="center" wrapText="1"/>
    </xf>
    <xf numFmtId="1" fontId="6" fillId="7" borderId="3" xfId="0" applyNumberFormat="1" applyFont="1" applyFill="1" applyBorder="1" applyAlignment="1">
      <alignment horizontal="right" vertical="center" wrapText="1"/>
    </xf>
    <xf numFmtId="0" fontId="3" fillId="0" borderId="3" xfId="3" applyFont="1" applyFill="1" applyBorder="1" applyAlignment="1">
      <alignment vertical="center" wrapText="1"/>
    </xf>
    <xf numFmtId="169" fontId="6" fillId="0" borderId="3" xfId="1" applyNumberFormat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2" fontId="8" fillId="3" borderId="3" xfId="0" applyNumberFormat="1" applyFont="1" applyFill="1" applyBorder="1" applyAlignment="1">
      <alignment horizontal="right" vertical="center" wrapText="1"/>
    </xf>
    <xf numFmtId="0" fontId="8" fillId="4" borderId="11" xfId="3" applyFont="1" applyFill="1" applyBorder="1" applyAlignment="1">
      <alignment horizontal="left" vertical="center" wrapText="1"/>
    </xf>
    <xf numFmtId="1" fontId="8" fillId="4" borderId="3" xfId="0" applyNumberFormat="1" applyFont="1" applyFill="1" applyBorder="1" applyAlignment="1">
      <alignment vertical="center" wrapText="1"/>
    </xf>
    <xf numFmtId="43" fontId="6" fillId="4" borderId="3" xfId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right" vertical="center" wrapText="1"/>
    </xf>
    <xf numFmtId="0" fontId="9" fillId="4" borderId="11" xfId="3" applyFont="1" applyFill="1" applyBorder="1" applyAlignment="1">
      <alignment horizontal="left" vertical="center" wrapText="1"/>
    </xf>
    <xf numFmtId="43" fontId="9" fillId="4" borderId="3" xfId="1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 vertical="center" wrapText="1"/>
    </xf>
    <xf numFmtId="0" fontId="3" fillId="9" borderId="3" xfId="3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2" fontId="8" fillId="9" borderId="3" xfId="0" applyNumberFormat="1" applyFont="1" applyFill="1" applyBorder="1" applyAlignment="1">
      <alignment vertical="center" wrapText="1"/>
    </xf>
    <xf numFmtId="43" fontId="8" fillId="9" borderId="3" xfId="1" applyFont="1" applyFill="1" applyBorder="1" applyAlignment="1">
      <alignment horizontal="center" vertical="center" wrapText="1"/>
    </xf>
    <xf numFmtId="43" fontId="6" fillId="9" borderId="3" xfId="1" applyFont="1" applyFill="1" applyBorder="1" applyAlignment="1">
      <alignment vertical="center"/>
    </xf>
    <xf numFmtId="43" fontId="6" fillId="9" borderId="3" xfId="1" applyFont="1" applyFill="1" applyBorder="1" applyAlignment="1">
      <alignment horizontal="center"/>
    </xf>
    <xf numFmtId="43" fontId="8" fillId="9" borderId="3" xfId="1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horizontal="right" vertical="center" wrapText="1"/>
    </xf>
    <xf numFmtId="0" fontId="14" fillId="3" borderId="11" xfId="3" applyFont="1" applyFill="1" applyBorder="1" applyAlignment="1">
      <alignment horizontal="left" vertical="center" wrapText="1"/>
    </xf>
    <xf numFmtId="4" fontId="9" fillId="3" borderId="3" xfId="0" applyNumberFormat="1" applyFont="1" applyFill="1" applyBorder="1" applyAlignment="1">
      <alignment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8" fillId="4" borderId="3" xfId="1" applyNumberFormat="1" applyFont="1" applyFill="1" applyBorder="1" applyAlignment="1">
      <alignment vertical="center" wrapText="1"/>
    </xf>
    <xf numFmtId="0" fontId="8" fillId="10" borderId="3" xfId="3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center" vertical="center" wrapText="1"/>
    </xf>
    <xf numFmtId="2" fontId="8" fillId="10" borderId="3" xfId="0" applyNumberFormat="1" applyFont="1" applyFill="1" applyBorder="1" applyAlignment="1">
      <alignment vertical="center" wrapText="1"/>
    </xf>
    <xf numFmtId="43" fontId="8" fillId="10" borderId="3" xfId="1" applyFont="1" applyFill="1" applyBorder="1" applyAlignment="1">
      <alignment horizontal="center" vertical="center" wrapText="1"/>
    </xf>
    <xf numFmtId="0" fontId="8" fillId="11" borderId="3" xfId="3" applyFont="1" applyFill="1" applyBorder="1" applyAlignment="1">
      <alignment vertical="center" wrapText="1"/>
    </xf>
    <xf numFmtId="43" fontId="8" fillId="11" borderId="3" xfId="1" applyFont="1" applyFill="1" applyBorder="1" applyAlignment="1">
      <alignment horizontal="center" vertical="center" wrapText="1"/>
    </xf>
    <xf numFmtId="43" fontId="7" fillId="11" borderId="3" xfId="1" applyFont="1" applyFill="1" applyBorder="1" applyAlignment="1">
      <alignment horizontal="center" vertical="center" wrapText="1"/>
    </xf>
    <xf numFmtId="0" fontId="8" fillId="11" borderId="3" xfId="3" applyFont="1" applyFill="1" applyBorder="1" applyAlignment="1">
      <alignment horizontal="left" vertical="center" wrapText="1"/>
    </xf>
    <xf numFmtId="43" fontId="8" fillId="10" borderId="3" xfId="1" applyFont="1" applyFill="1" applyBorder="1" applyAlignment="1">
      <alignment vertical="center"/>
    </xf>
    <xf numFmtId="43" fontId="7" fillId="10" borderId="3" xfId="1" applyFont="1" applyFill="1" applyBorder="1" applyAlignment="1">
      <alignment horizontal="center" vertical="center" wrapText="1"/>
    </xf>
    <xf numFmtId="0" fontId="8" fillId="10" borderId="3" xfId="3" applyFont="1" applyFill="1" applyBorder="1" applyAlignment="1">
      <alignment vertical="center" wrapText="1"/>
    </xf>
    <xf numFmtId="43" fontId="8" fillId="11" borderId="3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 wrapText="1"/>
    </xf>
    <xf numFmtId="2" fontId="8" fillId="11" borderId="3" xfId="0" applyNumberFormat="1" applyFont="1" applyFill="1" applyBorder="1" applyAlignment="1">
      <alignment vertical="center" wrapText="1"/>
    </xf>
    <xf numFmtId="0" fontId="8" fillId="11" borderId="11" xfId="3" applyFont="1" applyFill="1" applyBorder="1" applyAlignment="1">
      <alignment horizontal="left" vertical="center" wrapText="1"/>
    </xf>
    <xf numFmtId="0" fontId="8" fillId="11" borderId="3" xfId="2" applyFont="1" applyFill="1" applyBorder="1" applyAlignment="1">
      <alignment vertical="center" wrapText="1"/>
    </xf>
    <xf numFmtId="43" fontId="8" fillId="11" borderId="3" xfId="1" applyFont="1" applyFill="1" applyBorder="1" applyAlignment="1">
      <alignment horizontal="right" vertical="center" wrapText="1"/>
    </xf>
    <xf numFmtId="167" fontId="8" fillId="11" borderId="3" xfId="0" applyNumberFormat="1" applyFont="1" applyFill="1" applyBorder="1" applyAlignment="1">
      <alignment horizontal="right" vertical="center" wrapText="1"/>
    </xf>
    <xf numFmtId="2" fontId="8" fillId="10" borderId="3" xfId="0" applyNumberFormat="1" applyFont="1" applyFill="1" applyBorder="1" applyAlignment="1">
      <alignment horizontal="right" vertical="center" wrapText="1"/>
    </xf>
    <xf numFmtId="1" fontId="8" fillId="10" borderId="3" xfId="0" applyNumberFormat="1" applyFont="1" applyFill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15" fillId="11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 wrapText="1"/>
    </xf>
    <xf numFmtId="0" fontId="16" fillId="11" borderId="3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11" borderId="3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4" fontId="15" fillId="0" borderId="0" xfId="0" applyNumberFormat="1" applyFont="1" applyAlignment="1">
      <alignment vertical="center" wrapText="1"/>
    </xf>
    <xf numFmtId="0" fontId="16" fillId="10" borderId="3" xfId="0" applyFont="1" applyFill="1" applyBorder="1" applyAlignment="1">
      <alignment horizontal="center" vertical="center" wrapText="1"/>
    </xf>
    <xf numFmtId="4" fontId="16" fillId="10" borderId="3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vertical="center" wrapText="1"/>
    </xf>
    <xf numFmtId="4" fontId="15" fillId="11" borderId="3" xfId="0" applyNumberFormat="1" applyFont="1" applyFill="1" applyBorder="1" applyAlignment="1">
      <alignment vertical="center" wrapText="1"/>
    </xf>
    <xf numFmtId="4" fontId="16" fillId="0" borderId="3" xfId="0" applyNumberFormat="1" applyFont="1" applyBorder="1" applyAlignment="1">
      <alignment vertical="center" wrapText="1"/>
    </xf>
    <xf numFmtId="4" fontId="15" fillId="0" borderId="3" xfId="0" applyNumberFormat="1" applyFont="1" applyFill="1" applyBorder="1" applyAlignment="1">
      <alignment vertical="center" wrapText="1"/>
    </xf>
    <xf numFmtId="0" fontId="20" fillId="12" borderId="8" xfId="6" applyFont="1" applyFill="1" applyBorder="1" applyAlignment="1">
      <alignment horizontal="centerContinuous" vertical="center"/>
    </xf>
    <xf numFmtId="0" fontId="20" fillId="12" borderId="8" xfId="6" applyFont="1" applyFill="1" applyBorder="1" applyAlignment="1">
      <alignment horizontal="centerContinuous" vertical="center" wrapText="1"/>
    </xf>
    <xf numFmtId="0" fontId="20" fillId="13" borderId="3" xfId="6" applyFont="1" applyFill="1" applyBorder="1" applyAlignment="1">
      <alignment horizontal="center" vertical="center"/>
    </xf>
    <xf numFmtId="0" fontId="20" fillId="14" borderId="3" xfId="6" applyFont="1" applyFill="1" applyBorder="1" applyAlignment="1">
      <alignment horizontal="center" vertical="center"/>
    </xf>
    <xf numFmtId="0" fontId="20" fillId="2" borderId="3" xfId="6" applyFont="1" applyFill="1" applyBorder="1" applyAlignment="1">
      <alignment horizontal="center" vertical="center"/>
    </xf>
    <xf numFmtId="0" fontId="20" fillId="2" borderId="11" xfId="6" applyFont="1" applyFill="1" applyBorder="1" applyAlignment="1">
      <alignment horizontal="center" vertical="center"/>
    </xf>
    <xf numFmtId="4" fontId="20" fillId="0" borderId="3" xfId="6" applyNumberFormat="1" applyFont="1" applyBorder="1" applyAlignment="1">
      <alignment horizontal="center" vertical="center"/>
    </xf>
    <xf numFmtId="0" fontId="19" fillId="0" borderId="0" xfId="6" applyAlignment="1">
      <alignment vertical="center"/>
    </xf>
    <xf numFmtId="0" fontId="20" fillId="0" borderId="3" xfId="6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vertical="center"/>
    </xf>
    <xf numFmtId="0" fontId="21" fillId="0" borderId="11" xfId="6" applyFont="1" applyBorder="1" applyAlignment="1">
      <alignment horizontal="center" vertical="center"/>
    </xf>
    <xf numFmtId="0" fontId="22" fillId="0" borderId="11" xfId="6" applyFont="1" applyBorder="1" applyAlignment="1">
      <alignment horizontal="center" vertical="center"/>
    </xf>
    <xf numFmtId="0" fontId="23" fillId="0" borderId="3" xfId="6" applyFont="1" applyBorder="1" applyAlignment="1">
      <alignment horizontal="center" vertical="center"/>
    </xf>
    <xf numFmtId="0" fontId="22" fillId="2" borderId="11" xfId="6" applyFont="1" applyFill="1" applyBorder="1" applyAlignment="1">
      <alignment horizontal="center" vertical="center"/>
    </xf>
    <xf numFmtId="0" fontId="19" fillId="0" borderId="0" xfId="6" applyAlignment="1">
      <alignment horizontal="center" vertical="center"/>
    </xf>
    <xf numFmtId="0" fontId="19" fillId="0" borderId="3" xfId="6" applyBorder="1" applyAlignment="1">
      <alignment horizontal="center" vertical="center"/>
    </xf>
    <xf numFmtId="0" fontId="22" fillId="3" borderId="3" xfId="6" applyFont="1" applyFill="1" applyBorder="1" applyAlignment="1">
      <alignment vertical="top" wrapText="1"/>
    </xf>
    <xf numFmtId="4" fontId="22" fillId="0" borderId="3" xfId="6" applyNumberFormat="1" applyFont="1" applyBorder="1" applyAlignment="1">
      <alignment horizontal="right" vertical="center"/>
    </xf>
    <xf numFmtId="0" fontId="19" fillId="0" borderId="0" xfId="6" applyAlignment="1">
      <alignment vertical="center" wrapText="1"/>
    </xf>
    <xf numFmtId="0" fontId="25" fillId="0" borderId="3" xfId="6" applyFont="1" applyBorder="1" applyAlignment="1">
      <alignment vertical="center" wrapText="1"/>
    </xf>
    <xf numFmtId="4" fontId="22" fillId="0" borderId="0" xfId="6" applyNumberFormat="1" applyFont="1" applyAlignment="1">
      <alignment horizontal="right" vertical="center"/>
    </xf>
    <xf numFmtId="0" fontId="19" fillId="10" borderId="11" xfId="6" applyFill="1" applyBorder="1" applyAlignment="1">
      <alignment vertical="center" wrapText="1"/>
    </xf>
    <xf numFmtId="4" fontId="19" fillId="0" borderId="3" xfId="6" applyNumberFormat="1" applyBorder="1" applyAlignment="1">
      <alignment horizontal="right" vertical="center"/>
    </xf>
    <xf numFmtId="4" fontId="19" fillId="15" borderId="3" xfId="6" applyNumberFormat="1" applyFill="1" applyBorder="1" applyAlignment="1">
      <alignment vertical="center"/>
    </xf>
    <xf numFmtId="4" fontId="19" fillId="0" borderId="0" xfId="6" applyNumberFormat="1" applyAlignment="1">
      <alignment vertical="center"/>
    </xf>
    <xf numFmtId="4" fontId="22" fillId="0" borderId="11" xfId="6" applyNumberFormat="1" applyFont="1" applyBorder="1" applyAlignment="1">
      <alignment horizontal="right" vertical="center"/>
    </xf>
    <xf numFmtId="0" fontId="22" fillId="0" borderId="11" xfId="6" applyFont="1" applyBorder="1" applyAlignment="1">
      <alignment vertical="center"/>
    </xf>
    <xf numFmtId="0" fontId="23" fillId="0" borderId="3" xfId="6" applyFont="1" applyBorder="1" applyAlignment="1">
      <alignment vertical="center"/>
    </xf>
    <xf numFmtId="0" fontId="22" fillId="0" borderId="11" xfId="6" applyFont="1" applyBorder="1" applyAlignment="1">
      <alignment vertical="center" wrapText="1"/>
    </xf>
    <xf numFmtId="0" fontId="23" fillId="0" borderId="3" xfId="6" applyFont="1" applyBorder="1" applyAlignment="1">
      <alignment vertical="center" wrapText="1"/>
    </xf>
    <xf numFmtId="0" fontId="22" fillId="11" borderId="11" xfId="6" applyFont="1" applyFill="1" applyBorder="1" applyAlignment="1">
      <alignment vertical="center" wrapText="1"/>
    </xf>
    <xf numFmtId="4" fontId="22" fillId="15" borderId="3" xfId="6" applyNumberFormat="1" applyFont="1" applyFill="1" applyBorder="1" applyAlignment="1">
      <alignment vertical="center"/>
    </xf>
    <xf numFmtId="0" fontId="22" fillId="11" borderId="11" xfId="6" applyFont="1" applyFill="1" applyBorder="1" applyAlignment="1">
      <alignment vertical="center"/>
    </xf>
    <xf numFmtId="0" fontId="25" fillId="0" borderId="11" xfId="6" applyFont="1" applyBorder="1" applyAlignment="1">
      <alignment vertical="center" wrapText="1"/>
    </xf>
    <xf numFmtId="0" fontId="21" fillId="0" borderId="3" xfId="6" applyFont="1" applyBorder="1" applyAlignment="1">
      <alignment vertical="center" wrapText="1"/>
    </xf>
    <xf numFmtId="4" fontId="19" fillId="10" borderId="3" xfId="6" applyNumberFormat="1" applyFill="1" applyBorder="1" applyAlignment="1">
      <alignment vertical="center"/>
    </xf>
    <xf numFmtId="0" fontId="22" fillId="15" borderId="11" xfId="6" applyFont="1" applyFill="1" applyBorder="1" applyAlignment="1">
      <alignment vertical="center" wrapText="1"/>
    </xf>
    <xf numFmtId="4" fontId="23" fillId="0" borderId="3" xfId="6" applyNumberFormat="1" applyFont="1" applyBorder="1" applyAlignment="1">
      <alignment vertical="top" wrapText="1"/>
    </xf>
    <xf numFmtId="0" fontId="25" fillId="10" borderId="11" xfId="6" applyFont="1" applyFill="1" applyBorder="1" applyAlignment="1">
      <alignment vertical="center" wrapText="1"/>
    </xf>
    <xf numFmtId="4" fontId="22" fillId="10" borderId="3" xfId="6" applyNumberFormat="1" applyFont="1" applyFill="1" applyBorder="1" applyAlignment="1">
      <alignment vertical="center"/>
    </xf>
    <xf numFmtId="0" fontId="25" fillId="0" borderId="11" xfId="6" applyFont="1" applyBorder="1" applyAlignment="1">
      <alignment vertical="center"/>
    </xf>
    <xf numFmtId="0" fontId="25" fillId="0" borderId="3" xfId="6" applyFont="1" applyBorder="1" applyAlignment="1">
      <alignment vertical="center"/>
    </xf>
    <xf numFmtId="0" fontId="19" fillId="0" borderId="11" xfId="6" applyBorder="1" applyAlignment="1">
      <alignment vertical="center"/>
    </xf>
    <xf numFmtId="4" fontId="25" fillId="0" borderId="11" xfId="6" applyNumberFormat="1" applyFont="1" applyBorder="1" applyAlignment="1">
      <alignment horizontal="right" vertical="center"/>
    </xf>
    <xf numFmtId="0" fontId="25" fillId="10" borderId="11" xfId="6" applyFont="1" applyFill="1" applyBorder="1" applyAlignment="1">
      <alignment vertical="center"/>
    </xf>
    <xf numFmtId="4" fontId="19" fillId="0" borderId="3" xfId="6" applyNumberFormat="1" applyBorder="1" applyAlignment="1">
      <alignment vertical="center"/>
    </xf>
    <xf numFmtId="0" fontId="41" fillId="0" borderId="3" xfId="6" applyFont="1" applyBorder="1" applyAlignment="1">
      <alignment horizontal="left" vertical="center"/>
    </xf>
    <xf numFmtId="0" fontId="42" fillId="0" borderId="3" xfId="6" applyFont="1" applyBorder="1" applyAlignment="1">
      <alignment horizontal="left" vertical="top" wrapText="1"/>
    </xf>
    <xf numFmtId="4" fontId="42" fillId="0" borderId="3" xfId="6" applyNumberFormat="1" applyFont="1" applyBorder="1" applyAlignment="1">
      <alignment horizontal="left" vertical="center"/>
    </xf>
    <xf numFmtId="4" fontId="42" fillId="0" borderId="11" xfId="6" applyNumberFormat="1" applyFont="1" applyBorder="1" applyAlignment="1">
      <alignment horizontal="left" vertical="center"/>
    </xf>
    <xf numFmtId="4" fontId="21" fillId="0" borderId="3" xfId="6" applyNumberFormat="1" applyFont="1" applyBorder="1" applyAlignment="1">
      <alignment vertical="center"/>
    </xf>
    <xf numFmtId="0" fontId="23" fillId="0" borderId="11" xfId="6" applyFont="1" applyBorder="1" applyAlignment="1">
      <alignment vertical="center"/>
    </xf>
    <xf numFmtId="4" fontId="20" fillId="0" borderId="3" xfId="6" applyNumberFormat="1" applyFont="1" applyBorder="1" applyAlignment="1">
      <alignment horizontal="right" vertical="center"/>
    </xf>
    <xf numFmtId="4" fontId="20" fillId="0" borderId="3" xfId="6" applyNumberFormat="1" applyFont="1" applyBorder="1" applyAlignment="1">
      <alignment vertical="center"/>
    </xf>
    <xf numFmtId="4" fontId="42" fillId="0" borderId="3" xfId="6" applyNumberFormat="1" applyFont="1" applyBorder="1" applyAlignment="1">
      <alignment horizontal="right" vertical="center"/>
    </xf>
    <xf numFmtId="4" fontId="42" fillId="0" borderId="11" xfId="6" applyNumberFormat="1" applyFont="1" applyBorder="1" applyAlignment="1">
      <alignment horizontal="right" vertical="center"/>
    </xf>
    <xf numFmtId="0" fontId="19" fillId="0" borderId="11" xfId="6" applyBorder="1" applyAlignment="1">
      <alignment vertical="center" wrapText="1"/>
    </xf>
    <xf numFmtId="0" fontId="32" fillId="0" borderId="3" xfId="6" applyFont="1" applyBorder="1" applyAlignment="1">
      <alignment horizontal="left" vertical="center" wrapText="1"/>
    </xf>
    <xf numFmtId="0" fontId="19" fillId="15" borderId="11" xfId="6" applyFill="1" applyBorder="1" applyAlignment="1">
      <alignment vertical="center" wrapText="1"/>
    </xf>
    <xf numFmtId="4" fontId="43" fillId="0" borderId="3" xfId="6" applyNumberFormat="1" applyFont="1" applyBorder="1" applyAlignment="1">
      <alignment horizontal="right" vertical="center"/>
    </xf>
    <xf numFmtId="0" fontId="19" fillId="11" borderId="11" xfId="6" applyFill="1" applyBorder="1" applyAlignment="1">
      <alignment vertical="center"/>
    </xf>
    <xf numFmtId="4" fontId="43" fillId="0" borderId="3" xfId="6" applyNumberFormat="1" applyFont="1" applyBorder="1" applyAlignment="1">
      <alignment vertical="center"/>
    </xf>
    <xf numFmtId="0" fontId="44" fillId="0" borderId="3" xfId="6" applyFont="1" applyBorder="1" applyAlignment="1">
      <alignment vertical="center"/>
    </xf>
    <xf numFmtId="0" fontId="44" fillId="0" borderId="3" xfId="6" applyFont="1" applyBorder="1" applyAlignment="1">
      <alignment horizontal="right" vertical="center" wrapText="1"/>
    </xf>
    <xf numFmtId="4" fontId="44" fillId="0" borderId="3" xfId="6" applyNumberFormat="1" applyFont="1" applyBorder="1" applyAlignment="1">
      <alignment horizontal="right" vertical="center"/>
    </xf>
    <xf numFmtId="4" fontId="44" fillId="0" borderId="11" xfId="6" applyNumberFormat="1" applyFont="1" applyBorder="1" applyAlignment="1">
      <alignment horizontal="right" vertical="center"/>
    </xf>
    <xf numFmtId="0" fontId="44" fillId="0" borderId="11" xfId="6" applyFont="1" applyBorder="1" applyAlignment="1">
      <alignment vertical="center"/>
    </xf>
    <xf numFmtId="4" fontId="44" fillId="0" borderId="3" xfId="6" applyNumberFormat="1" applyFont="1" applyBorder="1" applyAlignment="1">
      <alignment vertical="center"/>
    </xf>
    <xf numFmtId="4" fontId="45" fillId="0" borderId="3" xfId="6" applyNumberFormat="1" applyFont="1" applyBorder="1" applyAlignment="1">
      <alignment vertical="center"/>
    </xf>
    <xf numFmtId="4" fontId="44" fillId="0" borderId="0" xfId="6" applyNumberFormat="1" applyFont="1" applyAlignment="1">
      <alignment vertical="center"/>
    </xf>
    <xf numFmtId="0" fontId="44" fillId="0" borderId="0" xfId="6" applyFont="1" applyAlignment="1">
      <alignment vertical="center"/>
    </xf>
    <xf numFmtId="0" fontId="46" fillId="0" borderId="0" xfId="6" applyFont="1" applyAlignment="1">
      <alignment vertical="center"/>
    </xf>
    <xf numFmtId="0" fontId="47" fillId="0" borderId="0" xfId="6" applyFont="1" applyAlignment="1">
      <alignment horizontal="right" vertical="center" wrapText="1"/>
    </xf>
    <xf numFmtId="4" fontId="46" fillId="0" borderId="0" xfId="6" applyNumberFormat="1" applyFont="1" applyAlignment="1">
      <alignment horizontal="right" vertical="center"/>
    </xf>
    <xf numFmtId="0" fontId="47" fillId="0" borderId="0" xfId="6" applyFont="1" applyAlignment="1">
      <alignment vertical="center"/>
    </xf>
    <xf numFmtId="4" fontId="47" fillId="0" borderId="0" xfId="6" applyNumberFormat="1" applyFont="1" applyAlignment="1">
      <alignment horizontal="right" vertical="center"/>
    </xf>
    <xf numFmtId="4" fontId="47" fillId="0" borderId="0" xfId="6" applyNumberFormat="1" applyFont="1" applyAlignment="1">
      <alignment vertical="center"/>
    </xf>
    <xf numFmtId="14" fontId="46" fillId="0" borderId="0" xfId="6" applyNumberFormat="1" applyFont="1" applyAlignment="1">
      <alignment vertical="center"/>
    </xf>
    <xf numFmtId="0" fontId="19" fillId="0" borderId="3" xfId="6" applyBorder="1" applyAlignment="1">
      <alignment vertical="center" wrapText="1"/>
    </xf>
    <xf numFmtId="4" fontId="19" fillId="0" borderId="3" xfId="6" applyNumberFormat="1" applyBorder="1" applyAlignment="1">
      <alignment vertical="center" wrapText="1"/>
    </xf>
    <xf numFmtId="14" fontId="23" fillId="0" borderId="0" xfId="6" applyNumberFormat="1" applyFont="1" applyAlignment="1">
      <alignment vertical="center" wrapText="1"/>
    </xf>
    <xf numFmtId="4" fontId="47" fillId="0" borderId="0" xfId="6" applyNumberFormat="1" applyFont="1" applyAlignment="1">
      <alignment vertical="center" wrapText="1"/>
    </xf>
    <xf numFmtId="4" fontId="19" fillId="0" borderId="0" xfId="6" applyNumberFormat="1" applyAlignment="1">
      <alignment horizontal="center" vertical="center" wrapText="1"/>
    </xf>
    <xf numFmtId="4" fontId="19" fillId="0" borderId="0" xfId="6" applyNumberFormat="1" applyAlignment="1">
      <alignment vertical="center" wrapText="1"/>
    </xf>
    <xf numFmtId="0" fontId="18" fillId="0" borderId="3" xfId="6" applyFont="1" applyBorder="1" applyAlignment="1">
      <alignment vertical="center" wrapText="1"/>
    </xf>
    <xf numFmtId="4" fontId="18" fillId="0" borderId="3" xfId="6" applyNumberFormat="1" applyFont="1" applyBorder="1" applyAlignment="1">
      <alignment vertical="center" wrapText="1"/>
    </xf>
    <xf numFmtId="0" fontId="23" fillId="0" borderId="0" xfId="6" applyFont="1" applyAlignment="1">
      <alignment vertical="center" wrapText="1"/>
    </xf>
    <xf numFmtId="4" fontId="48" fillId="0" borderId="0" xfId="6" applyNumberFormat="1" applyFont="1" applyAlignment="1">
      <alignment vertical="center" wrapText="1"/>
    </xf>
    <xf numFmtId="4" fontId="18" fillId="11" borderId="3" xfId="6" applyNumberFormat="1" applyFont="1" applyFill="1" applyBorder="1" applyAlignment="1">
      <alignment vertical="center" wrapText="1"/>
    </xf>
    <xf numFmtId="0" fontId="23" fillId="0" borderId="0" xfId="6" applyFont="1" applyAlignment="1">
      <alignment vertical="center"/>
    </xf>
    <xf numFmtId="4" fontId="19" fillId="0" borderId="0" xfId="6" applyNumberFormat="1" applyAlignment="1">
      <alignment horizontal="center" vertical="center"/>
    </xf>
    <xf numFmtId="4" fontId="15" fillId="15" borderId="3" xfId="0" applyNumberFormat="1" applyFont="1" applyFill="1" applyBorder="1" applyAlignment="1">
      <alignment vertical="center" wrapText="1"/>
    </xf>
    <xf numFmtId="4" fontId="15" fillId="15" borderId="3" xfId="0" applyNumberFormat="1" applyFont="1" applyFill="1" applyBorder="1" applyAlignment="1">
      <alignment horizontal="right" vertical="center" wrapText="1"/>
    </xf>
    <xf numFmtId="164" fontId="3" fillId="0" borderId="3" xfId="1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43" fontId="8" fillId="7" borderId="3" xfId="1" applyFont="1" applyFill="1" applyBorder="1" applyAlignment="1">
      <alignment vertical="center"/>
    </xf>
    <xf numFmtId="43" fontId="8" fillId="7" borderId="11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/>
    </xf>
    <xf numFmtId="1" fontId="8" fillId="11" borderId="3" xfId="0" applyNumberFormat="1" applyFont="1" applyFill="1" applyBorder="1" applyAlignment="1">
      <alignment vertical="center" wrapText="1"/>
    </xf>
    <xf numFmtId="43" fontId="8" fillId="3" borderId="11" xfId="1" applyFont="1" applyFill="1" applyBorder="1" applyAlignment="1">
      <alignment vertical="center"/>
    </xf>
    <xf numFmtId="2" fontId="3" fillId="11" borderId="3" xfId="0" applyNumberFormat="1" applyFont="1" applyFill="1" applyBorder="1" applyAlignment="1">
      <alignment vertical="center" wrapText="1"/>
    </xf>
    <xf numFmtId="0" fontId="8" fillId="10" borderId="3" xfId="0" applyFont="1" applyFill="1" applyBorder="1" applyAlignment="1">
      <alignment horizontal="right" vertical="center" wrapText="1"/>
    </xf>
    <xf numFmtId="43" fontId="8" fillId="4" borderId="11" xfId="1" applyFont="1" applyFill="1" applyBorder="1" applyAlignment="1">
      <alignment vertical="center"/>
    </xf>
    <xf numFmtId="0" fontId="8" fillId="11" borderId="3" xfId="0" applyFont="1" applyFill="1" applyBorder="1" applyAlignment="1">
      <alignment horizontal="right" vertical="center" wrapText="1"/>
    </xf>
    <xf numFmtId="2" fontId="8" fillId="11" borderId="3" xfId="0" applyNumberFormat="1" applyFont="1" applyFill="1" applyBorder="1" applyAlignment="1">
      <alignment horizontal="right" vertical="center" wrapText="1"/>
    </xf>
    <xf numFmtId="1" fontId="8" fillId="7" borderId="3" xfId="0" applyNumberFormat="1" applyFont="1" applyFill="1" applyBorder="1" applyAlignment="1">
      <alignment horizontal="center" vertical="center" wrapText="1"/>
    </xf>
    <xf numFmtId="164" fontId="10" fillId="0" borderId="0" xfId="1" applyNumberFormat="1" applyFont="1" applyAlignment="1">
      <alignment vertical="center"/>
    </xf>
    <xf numFmtId="4" fontId="3" fillId="0" borderId="3" xfId="4" applyNumberFormat="1" applyFont="1" applyFill="1" applyBorder="1" applyAlignment="1">
      <alignment horizontal="center" vertical="center"/>
    </xf>
    <xf numFmtId="4" fontId="3" fillId="0" borderId="3" xfId="4" applyNumberFormat="1" applyFont="1" applyFill="1" applyBorder="1" applyAlignment="1">
      <alignment horizontal="right" vertical="center" wrapText="1"/>
    </xf>
    <xf numFmtId="4" fontId="8" fillId="0" borderId="3" xfId="4" applyNumberFormat="1" applyFont="1" applyFill="1" applyBorder="1" applyAlignment="1">
      <alignment horizontal="right" vertical="center" wrapText="1"/>
    </xf>
    <xf numFmtId="4" fontId="8" fillId="0" borderId="3" xfId="4" applyNumberFormat="1" applyFont="1" applyFill="1" applyBorder="1" applyAlignment="1">
      <alignment horizontal="right" vertical="center"/>
    </xf>
    <xf numFmtId="4" fontId="7" fillId="0" borderId="3" xfId="4" applyNumberFormat="1" applyFont="1" applyFill="1" applyBorder="1" applyAlignment="1">
      <alignment horizontal="right" vertical="center" wrapText="1"/>
    </xf>
    <xf numFmtId="4" fontId="3" fillId="0" borderId="3" xfId="4" applyNumberFormat="1" applyFont="1" applyFill="1" applyBorder="1" applyAlignment="1">
      <alignment horizontal="right" vertical="center"/>
    </xf>
    <xf numFmtId="4" fontId="3" fillId="0" borderId="3" xfId="3" applyNumberFormat="1" applyFont="1" applyFill="1" applyBorder="1" applyAlignment="1">
      <alignment horizontal="center" vertical="center" wrapText="1"/>
    </xf>
    <xf numFmtId="4" fontId="3" fillId="0" borderId="3" xfId="3" applyNumberFormat="1" applyFont="1" applyFill="1" applyBorder="1" applyAlignment="1">
      <alignment horizontal="centerContinuous" vertical="center" wrapText="1"/>
    </xf>
    <xf numFmtId="4" fontId="3" fillId="0" borderId="3" xfId="3" applyNumberFormat="1" applyFont="1" applyFill="1" applyBorder="1" applyAlignment="1">
      <alignment horizontal="center" vertical="center"/>
    </xf>
    <xf numFmtId="4" fontId="3" fillId="0" borderId="3" xfId="2" applyNumberFormat="1" applyFont="1" applyFill="1" applyBorder="1" applyAlignment="1">
      <alignment horizontal="center" vertical="center"/>
    </xf>
    <xf numFmtId="4" fontId="3" fillId="0" borderId="3" xfId="3" applyNumberFormat="1" applyFont="1" applyFill="1" applyBorder="1" applyAlignment="1">
      <alignment horizontal="right" vertical="center" wrapText="1"/>
    </xf>
    <xf numFmtId="4" fontId="8" fillId="0" borderId="3" xfId="2" applyNumberFormat="1" applyFont="1" applyFill="1" applyBorder="1" applyAlignment="1">
      <alignment horizontal="right" vertical="center" wrapText="1"/>
    </xf>
    <xf numFmtId="4" fontId="8" fillId="0" borderId="3" xfId="3" applyNumberFormat="1" applyFont="1" applyFill="1" applyBorder="1" applyAlignment="1">
      <alignment horizontal="right" vertical="center" wrapText="1"/>
    </xf>
    <xf numFmtId="4" fontId="3" fillId="0" borderId="3" xfId="5" applyNumberFormat="1" applyFont="1" applyFill="1" applyBorder="1" applyAlignment="1">
      <alignment horizontal="right" vertical="center" wrapText="1"/>
    </xf>
    <xf numFmtId="4" fontId="11" fillId="11" borderId="3" xfId="3" applyNumberFormat="1" applyFont="1" applyFill="1" applyBorder="1" applyAlignment="1">
      <alignment horizontal="right" vertical="center" wrapText="1"/>
    </xf>
    <xf numFmtId="4" fontId="11" fillId="11" borderId="3" xfId="4" applyNumberFormat="1" applyFont="1" applyFill="1" applyBorder="1" applyAlignment="1">
      <alignment horizontal="right" vertical="center"/>
    </xf>
    <xf numFmtId="4" fontId="12" fillId="0" borderId="0" xfId="0" applyNumberFormat="1" applyFont="1" applyAlignment="1">
      <alignment vertical="center" wrapText="1"/>
    </xf>
    <xf numFmtId="0" fontId="3" fillId="0" borderId="3" xfId="0" applyFont="1" applyBorder="1" applyAlignment="1">
      <alignment vertical="center"/>
    </xf>
    <xf numFmtId="0" fontId="8" fillId="10" borderId="3" xfId="2" applyFont="1" applyFill="1" applyBorder="1" applyAlignment="1">
      <alignment vertical="center" wrapText="1"/>
    </xf>
    <xf numFmtId="0" fontId="8" fillId="10" borderId="3" xfId="2" applyFont="1" applyFill="1" applyBorder="1" applyAlignment="1">
      <alignment horizontal="center" vertical="center" wrapText="1"/>
    </xf>
    <xf numFmtId="43" fontId="8" fillId="10" borderId="3" xfId="1" applyFont="1" applyFill="1" applyBorder="1" applyAlignment="1">
      <alignment horizontal="right" vertical="center" wrapText="1"/>
    </xf>
    <xf numFmtId="43" fontId="8" fillId="10" borderId="3" xfId="1" applyFont="1" applyFill="1" applyBorder="1" applyAlignment="1">
      <alignment horizontal="right" vertical="center"/>
    </xf>
    <xf numFmtId="0" fontId="8" fillId="11" borderId="3" xfId="2" applyFont="1" applyFill="1" applyBorder="1" applyAlignment="1">
      <alignment horizontal="center" vertical="center" wrapText="1"/>
    </xf>
    <xf numFmtId="43" fontId="8" fillId="11" borderId="3" xfId="1" applyFont="1" applyFill="1" applyBorder="1" applyAlignment="1">
      <alignment horizontal="right" vertical="center"/>
    </xf>
    <xf numFmtId="0" fontId="8" fillId="0" borderId="3" xfId="2" applyFont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right" vertical="center"/>
    </xf>
    <xf numFmtId="43" fontId="8" fillId="4" borderId="3" xfId="1" applyFont="1" applyFill="1" applyBorder="1" applyAlignment="1">
      <alignment vertical="center" wrapText="1"/>
    </xf>
    <xf numFmtId="2" fontId="8" fillId="11" borderId="3" xfId="2" applyNumberFormat="1" applyFont="1" applyFill="1" applyBorder="1" applyAlignment="1">
      <alignment horizontal="right" vertical="center"/>
    </xf>
    <xf numFmtId="2" fontId="8" fillId="0" borderId="3" xfId="2" applyNumberFormat="1" applyFont="1" applyBorder="1" applyAlignment="1">
      <alignment horizontal="right" vertical="center"/>
    </xf>
    <xf numFmtId="1" fontId="8" fillId="11" borderId="3" xfId="2" applyNumberFormat="1" applyFont="1" applyFill="1" applyBorder="1" applyAlignment="1">
      <alignment horizontal="right" vertical="center"/>
    </xf>
    <xf numFmtId="0" fontId="3" fillId="0" borderId="3" xfId="2" applyFont="1" applyBorder="1" applyAlignment="1">
      <alignment vertical="center" wrapText="1"/>
    </xf>
    <xf numFmtId="1" fontId="8" fillId="0" borderId="3" xfId="2" applyNumberFormat="1" applyFont="1" applyBorder="1" applyAlignment="1">
      <alignment horizontal="right" vertical="center"/>
    </xf>
    <xf numFmtId="2" fontId="8" fillId="10" borderId="3" xfId="2" applyNumberFormat="1" applyFont="1" applyFill="1" applyBorder="1" applyAlignment="1">
      <alignment horizontal="right" vertical="center"/>
    </xf>
    <xf numFmtId="168" fontId="8" fillId="11" borderId="3" xfId="2" applyNumberFormat="1" applyFont="1" applyFill="1" applyBorder="1" applyAlignment="1">
      <alignment horizontal="right" vertical="center"/>
    </xf>
    <xf numFmtId="43" fontId="8" fillId="10" borderId="3" xfId="1" applyFont="1" applyFill="1" applyBorder="1" applyAlignment="1">
      <alignment vertical="center" wrapText="1"/>
    </xf>
    <xf numFmtId="170" fontId="8" fillId="4" borderId="3" xfId="1" applyNumberFormat="1" applyFont="1" applyFill="1" applyBorder="1" applyAlignment="1">
      <alignment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10" borderId="3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164" fontId="8" fillId="4" borderId="3" xfId="1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164" fontId="8" fillId="10" borderId="3" xfId="1" applyNumberFormat="1" applyFont="1" applyFill="1" applyBorder="1" applyAlignment="1">
      <alignment horizontal="right" vertical="center"/>
    </xf>
    <xf numFmtId="43" fontId="8" fillId="10" borderId="11" xfId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/>
    </xf>
    <xf numFmtId="0" fontId="17" fillId="0" borderId="3" xfId="2" applyFont="1" applyBorder="1" applyAlignment="1">
      <alignment vertical="center" wrapText="1"/>
    </xf>
    <xf numFmtId="0" fontId="8" fillId="10" borderId="11" xfId="3" applyFont="1" applyFill="1" applyBorder="1" applyAlignment="1">
      <alignment horizontal="left" vertical="center" wrapText="1"/>
    </xf>
    <xf numFmtId="167" fontId="8" fillId="10" borderId="3" xfId="2" applyNumberFormat="1" applyFont="1" applyFill="1" applyBorder="1" applyAlignment="1">
      <alignment horizontal="right" vertical="center"/>
    </xf>
    <xf numFmtId="43" fontId="17" fillId="0" borderId="3" xfId="1" applyFont="1" applyBorder="1" applyAlignment="1">
      <alignment vertical="center"/>
    </xf>
    <xf numFmtId="164" fontId="50" fillId="0" borderId="0" xfId="1" applyNumberFormat="1" applyFont="1" applyAlignment="1">
      <alignment vertical="center"/>
    </xf>
    <xf numFmtId="4" fontId="3" fillId="0" borderId="3" xfId="4" applyNumberFormat="1" applyFont="1" applyFill="1" applyBorder="1" applyAlignment="1">
      <alignment vertical="center"/>
    </xf>
    <xf numFmtId="4" fontId="11" fillId="11" borderId="3" xfId="4" applyNumberFormat="1" applyFont="1" applyFill="1" applyBorder="1" applyAlignment="1">
      <alignment horizontal="right" vertical="center" wrapText="1"/>
    </xf>
    <xf numFmtId="4" fontId="17" fillId="0" borderId="3" xfId="4" applyNumberFormat="1" applyFont="1" applyFill="1" applyBorder="1" applyAlignment="1">
      <alignment horizontal="right" vertical="center"/>
    </xf>
    <xf numFmtId="4" fontId="3" fillId="0" borderId="4" xfId="3" applyNumberFormat="1" applyFont="1" applyFill="1" applyBorder="1" applyAlignment="1">
      <alignment horizontal="centerContinuous" vertical="center" wrapText="1"/>
    </xf>
    <xf numFmtId="4" fontId="3" fillId="0" borderId="0" xfId="3" applyNumberFormat="1" applyFont="1" applyFill="1" applyAlignment="1">
      <alignment horizontal="centerContinuous" vertical="center" wrapText="1"/>
    </xf>
    <xf numFmtId="4" fontId="3" fillId="0" borderId="3" xfId="3" applyNumberFormat="1" applyFont="1" applyFill="1" applyBorder="1" applyAlignment="1">
      <alignment vertical="center" wrapText="1"/>
    </xf>
    <xf numFmtId="4" fontId="3" fillId="0" borderId="7" xfId="3" applyNumberFormat="1" applyFont="1" applyFill="1" applyBorder="1" applyAlignment="1">
      <alignment vertical="center" wrapText="1"/>
    </xf>
    <xf numFmtId="4" fontId="3" fillId="0" borderId="8" xfId="3" applyNumberFormat="1" applyFont="1" applyFill="1" applyBorder="1" applyAlignment="1">
      <alignment vertical="center" wrapText="1"/>
    </xf>
    <xf numFmtId="4" fontId="3" fillId="0" borderId="3" xfId="3" applyNumberFormat="1" applyFont="1" applyFill="1" applyBorder="1" applyAlignment="1">
      <alignment vertical="center"/>
    </xf>
    <xf numFmtId="0" fontId="45" fillId="11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3" fillId="9" borderId="3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0" fontId="3" fillId="9" borderId="11" xfId="0" applyFont="1" applyFill="1" applyBorder="1" applyAlignment="1">
      <alignment horizontal="left" vertical="center" wrapText="1"/>
    </xf>
    <xf numFmtId="49" fontId="8" fillId="9" borderId="3" xfId="0" applyNumberFormat="1" applyFont="1" applyFill="1" applyBorder="1" applyAlignment="1">
      <alignment horizontal="center" vertical="center" wrapText="1"/>
    </xf>
    <xf numFmtId="167" fontId="8" fillId="4" borderId="3" xfId="0" applyNumberFormat="1" applyFont="1" applyFill="1" applyBorder="1" applyAlignment="1">
      <alignment vertical="center" wrapText="1"/>
    </xf>
    <xf numFmtId="43" fontId="3" fillId="10" borderId="3" xfId="1" applyFont="1" applyFill="1" applyBorder="1" applyAlignment="1">
      <alignment vertical="center"/>
    </xf>
    <xf numFmtId="167" fontId="8" fillId="10" borderId="3" xfId="0" applyNumberFormat="1" applyFont="1" applyFill="1" applyBorder="1" applyAlignment="1">
      <alignment horizontal="right" vertical="center" wrapText="1"/>
    </xf>
    <xf numFmtId="168" fontId="8" fillId="11" borderId="3" xfId="0" applyNumberFormat="1" applyFont="1" applyFill="1" applyBorder="1" applyAlignment="1">
      <alignment horizontal="right" vertical="center" wrapText="1"/>
    </xf>
    <xf numFmtId="167" fontId="8" fillId="4" borderId="3" xfId="0" applyNumberFormat="1" applyFont="1" applyFill="1" applyBorder="1" applyAlignment="1">
      <alignment horizontal="right" vertical="center" wrapText="1"/>
    </xf>
    <xf numFmtId="164" fontId="3" fillId="0" borderId="3" xfId="9" applyNumberFormat="1" applyFont="1" applyFill="1" applyBorder="1" applyAlignment="1">
      <alignment vertical="center"/>
    </xf>
    <xf numFmtId="164" fontId="3" fillId="0" borderId="3" xfId="9" applyNumberFormat="1" applyFont="1" applyFill="1" applyBorder="1" applyAlignment="1">
      <alignment horizontal="left" vertical="center" wrapText="1"/>
    </xf>
    <xf numFmtId="43" fontId="8" fillId="0" borderId="3" xfId="9" applyFont="1" applyFill="1" applyBorder="1" applyAlignment="1">
      <alignment horizontal="center" vertical="center" wrapText="1"/>
    </xf>
    <xf numFmtId="43" fontId="8" fillId="0" borderId="3" xfId="9" applyFont="1" applyFill="1" applyBorder="1" applyAlignment="1">
      <alignment vertical="center"/>
    </xf>
    <xf numFmtId="43" fontId="7" fillId="0" borderId="3" xfId="9" applyFont="1" applyFill="1" applyBorder="1" applyAlignment="1">
      <alignment horizontal="center" vertical="center" wrapText="1"/>
    </xf>
    <xf numFmtId="43" fontId="8" fillId="0" borderId="3" xfId="9" applyFont="1" applyFill="1" applyBorder="1" applyAlignment="1">
      <alignment vertical="center" wrapText="1"/>
    </xf>
    <xf numFmtId="43" fontId="8" fillId="0" borderId="3" xfId="9" applyFont="1" applyFill="1" applyBorder="1" applyAlignment="1">
      <alignment horizontal="center" vertical="center"/>
    </xf>
    <xf numFmtId="0" fontId="44" fillId="0" borderId="0" xfId="6" applyFont="1" applyFill="1" applyAlignment="1">
      <alignment vertical="center"/>
    </xf>
    <xf numFmtId="0" fontId="3" fillId="0" borderId="3" xfId="2" applyFont="1" applyFill="1" applyBorder="1" applyAlignment="1">
      <alignment horizontal="center" vertical="center"/>
    </xf>
    <xf numFmtId="4" fontId="3" fillId="0" borderId="3" xfId="6" applyNumberFormat="1" applyFont="1" applyFill="1" applyBorder="1" applyAlignment="1">
      <alignment horizontal="left" vertical="center" wrapText="1"/>
    </xf>
    <xf numFmtId="165" fontId="3" fillId="0" borderId="3" xfId="6" applyNumberFormat="1" applyFont="1" applyFill="1" applyBorder="1" applyAlignment="1">
      <alignment horizontal="left" vertical="center" wrapText="1"/>
    </xf>
    <xf numFmtId="2" fontId="8" fillId="0" borderId="3" xfId="6" applyNumberFormat="1" applyFont="1" applyFill="1" applyBorder="1" applyAlignment="1">
      <alignment vertical="center" wrapText="1"/>
    </xf>
    <xf numFmtId="1" fontId="8" fillId="0" borderId="3" xfId="6" applyNumberFormat="1" applyFont="1" applyFill="1" applyBorder="1" applyAlignment="1">
      <alignment vertical="center" wrapText="1"/>
    </xf>
    <xf numFmtId="3" fontId="8" fillId="0" borderId="3" xfId="6" applyNumberFormat="1" applyFont="1" applyFill="1" applyBorder="1" applyAlignment="1">
      <alignment horizontal="center" vertical="center"/>
    </xf>
    <xf numFmtId="167" fontId="8" fillId="0" borderId="3" xfId="6" applyNumberFormat="1" applyFont="1" applyFill="1" applyBorder="1" applyAlignment="1">
      <alignment horizontal="right" vertical="center" wrapText="1"/>
    </xf>
    <xf numFmtId="167" fontId="8" fillId="0" borderId="3" xfId="6" applyNumberFormat="1" applyFont="1" applyFill="1" applyBorder="1" applyAlignment="1">
      <alignment vertical="center" wrapText="1"/>
    </xf>
    <xf numFmtId="2" fontId="8" fillId="0" borderId="3" xfId="6" applyNumberFormat="1" applyFont="1" applyFill="1" applyBorder="1" applyAlignment="1">
      <alignment horizontal="right" vertical="center" wrapText="1"/>
    </xf>
    <xf numFmtId="168" fontId="8" fillId="0" borderId="3" xfId="6" applyNumberFormat="1" applyFont="1" applyFill="1" applyBorder="1" applyAlignment="1">
      <alignment horizontal="right" vertical="center" wrapText="1"/>
    </xf>
    <xf numFmtId="43" fontId="11" fillId="11" borderId="3" xfId="9" applyFont="1" applyFill="1" applyBorder="1" applyAlignment="1">
      <alignment vertical="center"/>
    </xf>
    <xf numFmtId="0" fontId="45" fillId="11" borderId="0" xfId="6" applyFont="1" applyFill="1" applyAlignment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3" xfId="6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3" fillId="3" borderId="3" xfId="1" applyFont="1" applyFill="1" applyBorder="1" applyAlignment="1">
      <alignment horizontal="center" vertical="center" wrapText="1"/>
    </xf>
    <xf numFmtId="49" fontId="8" fillId="10" borderId="3" xfId="0" applyNumberFormat="1" applyFont="1" applyFill="1" applyBorder="1" applyAlignment="1">
      <alignment horizontal="center" vertical="center" wrapText="1"/>
    </xf>
    <xf numFmtId="49" fontId="8" fillId="11" borderId="3" xfId="0" applyNumberFormat="1" applyFont="1" applyFill="1" applyBorder="1" applyAlignment="1">
      <alignment horizontal="center" vertical="center" wrapText="1"/>
    </xf>
    <xf numFmtId="43" fontId="6" fillId="11" borderId="3" xfId="1" applyFont="1" applyFill="1" applyBorder="1" applyAlignment="1">
      <alignment vertical="center"/>
    </xf>
    <xf numFmtId="43" fontId="6" fillId="11" borderId="3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vertical="center" wrapText="1"/>
    </xf>
    <xf numFmtId="49" fontId="6" fillId="11" borderId="3" xfId="0" applyNumberFormat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43" fontId="13" fillId="11" borderId="3" xfId="1" applyFont="1" applyFill="1" applyBorder="1" applyAlignment="1">
      <alignment vertical="center"/>
    </xf>
    <xf numFmtId="2" fontId="8" fillId="0" borderId="3" xfId="0" applyNumberFormat="1" applyFont="1" applyBorder="1" applyAlignment="1">
      <alignment vertical="center" wrapText="1"/>
    </xf>
    <xf numFmtId="1" fontId="8" fillId="4" borderId="3" xfId="0" applyNumberFormat="1" applyFont="1" applyFill="1" applyBorder="1" applyAlignment="1">
      <alignment horizontal="right" vertical="center" wrapText="1"/>
    </xf>
    <xf numFmtId="43" fontId="6" fillId="10" borderId="3" xfId="1" applyFont="1" applyFill="1" applyBorder="1" applyAlignment="1">
      <alignment vertical="center"/>
    </xf>
    <xf numFmtId="43" fontId="13" fillId="10" borderId="3" xfId="1" applyFont="1" applyFill="1" applyBorder="1" applyAlignment="1">
      <alignment vertical="center"/>
    </xf>
    <xf numFmtId="0" fontId="3" fillId="0" borderId="3" xfId="3" applyFont="1" applyBorder="1" applyAlignment="1">
      <alignment horizontal="left" vertical="center" wrapText="1"/>
    </xf>
    <xf numFmtId="0" fontId="6" fillId="10" borderId="3" xfId="0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43" fontId="8" fillId="0" borderId="3" xfId="1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horizontal="left" vertical="center" wrapText="1"/>
    </xf>
    <xf numFmtId="165" fontId="3" fillId="0" borderId="3" xfId="0" applyNumberFormat="1" applyFont="1" applyFill="1" applyBorder="1" applyAlignment="1">
      <alignment horizontal="left" vertical="center" wrapText="1"/>
    </xf>
    <xf numFmtId="1" fontId="8" fillId="0" borderId="3" xfId="0" applyNumberFormat="1" applyFont="1" applyFill="1" applyBorder="1" applyAlignment="1">
      <alignment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vertical="center" wrapText="1"/>
    </xf>
    <xf numFmtId="164" fontId="3" fillId="0" borderId="3" xfId="1" applyNumberFormat="1" applyFont="1" applyFill="1" applyBorder="1" applyAlignment="1">
      <alignment vertical="center"/>
    </xf>
    <xf numFmtId="165" fontId="8" fillId="0" borderId="3" xfId="0" applyNumberFormat="1" applyFont="1" applyFill="1" applyBorder="1" applyAlignment="1">
      <alignment vertical="center"/>
    </xf>
    <xf numFmtId="1" fontId="11" fillId="11" borderId="3" xfId="0" applyNumberFormat="1" applyFont="1" applyFill="1" applyBorder="1" applyAlignment="1">
      <alignment horizontal="right" vertical="center" wrapText="1"/>
    </xf>
    <xf numFmtId="43" fontId="11" fillId="11" borderId="3" xfId="1" applyFont="1" applyFill="1" applyBorder="1" applyAlignment="1">
      <alignment vertical="center"/>
    </xf>
    <xf numFmtId="4" fontId="52" fillId="13" borderId="0" xfId="6" applyNumberFormat="1" applyFont="1" applyFill="1" applyAlignment="1">
      <alignment vertical="center"/>
    </xf>
    <xf numFmtId="4" fontId="52" fillId="13" borderId="0" xfId="6" applyNumberFormat="1" applyFont="1" applyFill="1" applyAlignment="1">
      <alignment vertical="center" wrapText="1"/>
    </xf>
    <xf numFmtId="43" fontId="13" fillId="3" borderId="3" xfId="1" applyFont="1" applyFill="1" applyBorder="1" applyAlignment="1">
      <alignment horizontal="center" vertical="center"/>
    </xf>
    <xf numFmtId="43" fontId="13" fillId="11" borderId="3" xfId="1" applyFont="1" applyFill="1" applyBorder="1" applyAlignment="1">
      <alignment horizontal="center" vertical="center"/>
    </xf>
    <xf numFmtId="43" fontId="13" fillId="10" borderId="3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/>
    </xf>
    <xf numFmtId="43" fontId="6" fillId="10" borderId="3" xfId="1" applyFont="1" applyFill="1" applyBorder="1" applyAlignment="1">
      <alignment horizontal="center" vertical="center"/>
    </xf>
    <xf numFmtId="43" fontId="16" fillId="0" borderId="3" xfId="1" applyFont="1" applyBorder="1" applyAlignment="1">
      <alignment vertical="center"/>
    </xf>
    <xf numFmtId="164" fontId="51" fillId="0" borderId="0" xfId="1" applyNumberFormat="1" applyFont="1" applyAlignment="1">
      <alignment vertical="center"/>
    </xf>
    <xf numFmtId="0" fontId="51" fillId="0" borderId="0" xfId="0" applyFont="1" applyAlignment="1">
      <alignment vertical="center"/>
    </xf>
    <xf numFmtId="43" fontId="17" fillId="0" borderId="3" xfId="1" applyFont="1" applyFill="1" applyBorder="1" applyAlignment="1">
      <alignment vertical="center"/>
    </xf>
    <xf numFmtId="4" fontId="52" fillId="13" borderId="0" xfId="0" applyNumberFormat="1" applyFont="1" applyFill="1" applyAlignment="1">
      <alignment vertical="center"/>
    </xf>
    <xf numFmtId="164" fontId="10" fillId="0" borderId="0" xfId="1" applyNumberFormat="1" applyFont="1" applyFill="1" applyAlignment="1">
      <alignment vertical="center"/>
    </xf>
    <xf numFmtId="0" fontId="10" fillId="11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0" borderId="0" xfId="6" applyFont="1" applyFill="1" applyAlignment="1">
      <alignment vertical="center"/>
    </xf>
    <xf numFmtId="0" fontId="10" fillId="0" borderId="3" xfId="6" applyFont="1" applyFill="1" applyBorder="1" applyAlignment="1">
      <alignment vertical="center"/>
    </xf>
    <xf numFmtId="0" fontId="8" fillId="9" borderId="3" xfId="0" applyFont="1" applyFill="1" applyBorder="1" applyAlignment="1">
      <alignment vertical="center"/>
    </xf>
    <xf numFmtId="0" fontId="8" fillId="0" borderId="3" xfId="6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/>
    </xf>
    <xf numFmtId="43" fontId="8" fillId="11" borderId="3" xfId="1" applyFont="1" applyFill="1" applyBorder="1" applyAlignment="1">
      <alignment horizontal="center" vertical="center"/>
    </xf>
    <xf numFmtId="43" fontId="8" fillId="10" borderId="3" xfId="1" applyFont="1" applyFill="1" applyBorder="1" applyAlignment="1">
      <alignment horizontal="center" vertical="center"/>
    </xf>
    <xf numFmtId="43" fontId="3" fillId="0" borderId="3" xfId="9" applyFont="1" applyFill="1" applyBorder="1" applyAlignment="1">
      <alignment vertical="center"/>
    </xf>
    <xf numFmtId="164" fontId="10" fillId="0" borderId="0" xfId="9" applyNumberFormat="1" applyFont="1" applyFill="1" applyAlignment="1">
      <alignment vertical="center"/>
    </xf>
    <xf numFmtId="164" fontId="50" fillId="0" borderId="0" xfId="9" applyNumberFormat="1" applyFont="1" applyFill="1" applyAlignment="1">
      <alignment vertical="center"/>
    </xf>
    <xf numFmtId="4" fontId="10" fillId="0" borderId="0" xfId="3" applyNumberFormat="1" applyFont="1" applyFill="1" applyAlignment="1">
      <alignment vertical="center"/>
    </xf>
    <xf numFmtId="0" fontId="8" fillId="0" borderId="3" xfId="0" applyFont="1" applyBorder="1" applyAlignment="1">
      <alignment vertical="center"/>
    </xf>
    <xf numFmtId="4" fontId="8" fillId="0" borderId="3" xfId="3" applyNumberFormat="1" applyFont="1" applyFill="1" applyBorder="1" applyAlignment="1">
      <alignment horizontal="right" vertical="center"/>
    </xf>
    <xf numFmtId="0" fontId="50" fillId="0" borderId="0" xfId="0" applyFont="1" applyAlignment="1">
      <alignment vertical="center"/>
    </xf>
    <xf numFmtId="4" fontId="49" fillId="0" borderId="3" xfId="5" applyNumberFormat="1" applyFont="1" applyFill="1" applyBorder="1" applyAlignment="1">
      <alignment horizontal="right" vertical="center" wrapText="1"/>
    </xf>
    <xf numFmtId="43" fontId="10" fillId="0" borderId="0" xfId="1" applyFont="1" applyAlignment="1">
      <alignment vertical="center"/>
    </xf>
    <xf numFmtId="4" fontId="10" fillId="0" borderId="0" xfId="4" applyNumberFormat="1" applyFont="1" applyFill="1" applyAlignment="1">
      <alignment vertical="center"/>
    </xf>
    <xf numFmtId="4" fontId="44" fillId="0" borderId="0" xfId="3" applyNumberFormat="1" applyFont="1" applyFill="1" applyAlignment="1">
      <alignment vertical="center"/>
    </xf>
    <xf numFmtId="4" fontId="10" fillId="0" borderId="3" xfId="3" applyNumberFormat="1" applyFont="1" applyFill="1" applyBorder="1" applyAlignment="1">
      <alignment horizontal="center" vertical="center"/>
    </xf>
    <xf numFmtId="0" fontId="10" fillId="0" borderId="0" xfId="3" applyFont="1" applyFill="1" applyAlignment="1">
      <alignment vertical="center"/>
    </xf>
    <xf numFmtId="164" fontId="22" fillId="0" borderId="0" xfId="4" applyNumberFormat="1" applyFont="1" applyFill="1" applyAlignment="1">
      <alignment vertical="center"/>
    </xf>
    <xf numFmtId="166" fontId="10" fillId="0" borderId="0" xfId="3" applyNumberFormat="1" applyFont="1" applyFill="1" applyAlignment="1">
      <alignment vertical="center"/>
    </xf>
    <xf numFmtId="166" fontId="10" fillId="0" borderId="0" xfId="0" applyNumberFormat="1" applyFont="1" applyAlignment="1">
      <alignment vertical="center"/>
    </xf>
    <xf numFmtId="4" fontId="15" fillId="13" borderId="3" xfId="0" applyNumberFormat="1" applyFont="1" applyFill="1" applyBorder="1" applyAlignment="1">
      <alignment vertical="center" wrapText="1"/>
    </xf>
    <xf numFmtId="4" fontId="15" fillId="10" borderId="3" xfId="0" applyNumberFormat="1" applyFont="1" applyFill="1" applyBorder="1" applyAlignment="1">
      <alignment vertical="center" wrapText="1"/>
    </xf>
    <xf numFmtId="4" fontId="15" fillId="10" borderId="3" xfId="0" applyNumberFormat="1" applyFont="1" applyFill="1" applyBorder="1" applyAlignment="1">
      <alignment horizontal="right" vertical="center" wrapText="1"/>
    </xf>
    <xf numFmtId="0" fontId="3" fillId="0" borderId="1" xfId="10" applyFont="1" applyBorder="1" applyAlignment="1">
      <alignment horizontal="center" vertical="center" wrapText="1"/>
    </xf>
    <xf numFmtId="4" fontId="3" fillId="0" borderId="2" xfId="10" applyNumberFormat="1" applyFont="1" applyBorder="1" applyAlignment="1">
      <alignment horizontal="center" vertical="center" wrapText="1"/>
    </xf>
    <xf numFmtId="4" fontId="3" fillId="0" borderId="3" xfId="10" applyNumberFormat="1" applyFont="1" applyBorder="1" applyAlignment="1">
      <alignment horizontal="center" vertical="center" wrapText="1"/>
    </xf>
    <xf numFmtId="4" fontId="3" fillId="0" borderId="4" xfId="10" applyNumberFormat="1" applyFont="1" applyBorder="1" applyAlignment="1">
      <alignment horizontal="centerContinuous" vertical="center" wrapText="1"/>
    </xf>
    <xf numFmtId="4" fontId="3" fillId="0" borderId="0" xfId="10" applyNumberFormat="1" applyFont="1" applyAlignment="1">
      <alignment horizontal="centerContinuous" vertical="center" wrapText="1"/>
    </xf>
    <xf numFmtId="0" fontId="1" fillId="0" borderId="0" xfId="10" applyAlignment="1">
      <alignment horizontal="center"/>
    </xf>
    <xf numFmtId="0" fontId="3" fillId="0" borderId="5" xfId="10" applyFont="1" applyBorder="1" applyAlignment="1">
      <alignment horizontal="center" vertical="center" wrapText="1"/>
    </xf>
    <xf numFmtId="4" fontId="3" fillId="0" borderId="6" xfId="10" applyNumberFormat="1" applyFont="1" applyBorder="1" applyAlignment="1">
      <alignment horizontal="center" vertical="center" wrapText="1"/>
    </xf>
    <xf numFmtId="4" fontId="3" fillId="0" borderId="7" xfId="10" applyNumberFormat="1" applyFont="1" applyBorder="1" applyAlignment="1">
      <alignment horizontal="center" vertical="center" wrapText="1"/>
    </xf>
    <xf numFmtId="4" fontId="3" fillId="0" borderId="8" xfId="10" applyNumberFormat="1" applyFont="1" applyBorder="1" applyAlignment="1">
      <alignment horizontal="center" vertical="center" wrapText="1"/>
    </xf>
    <xf numFmtId="0" fontId="4" fillId="0" borderId="3" xfId="10" applyFont="1" applyBorder="1" applyAlignment="1">
      <alignment horizontal="center" vertical="center"/>
    </xf>
    <xf numFmtId="0" fontId="3" fillId="0" borderId="9" xfId="10" applyFont="1" applyBorder="1" applyAlignment="1">
      <alignment horizontal="center" vertical="center" wrapText="1"/>
    </xf>
    <xf numFmtId="4" fontId="3" fillId="0" borderId="10" xfId="10" applyNumberFormat="1" applyFont="1" applyBorder="1" applyAlignment="1">
      <alignment horizontal="center" vertical="center" wrapText="1"/>
    </xf>
    <xf numFmtId="164" fontId="4" fillId="0" borderId="3" xfId="11" applyNumberFormat="1" applyFont="1" applyBorder="1" applyAlignment="1">
      <alignment horizontal="center" vertical="center"/>
    </xf>
    <xf numFmtId="0" fontId="3" fillId="2" borderId="9" xfId="10" applyFont="1" applyFill="1" applyBorder="1" applyAlignment="1">
      <alignment horizontal="center" vertical="center" wrapText="1"/>
    </xf>
    <xf numFmtId="0" fontId="3" fillId="2" borderId="11" xfId="10" applyFont="1" applyFill="1" applyBorder="1" applyAlignment="1">
      <alignment vertical="center" wrapText="1"/>
    </xf>
    <xf numFmtId="0" fontId="3" fillId="2" borderId="12" xfId="10" applyFont="1" applyFill="1" applyBorder="1" applyAlignment="1">
      <alignment vertical="center" wrapText="1"/>
    </xf>
    <xf numFmtId="4" fontId="3" fillId="2" borderId="3" xfId="10" applyNumberFormat="1" applyFont="1" applyFill="1" applyBorder="1" applyAlignment="1">
      <alignment horizontal="left" vertical="center" wrapText="1"/>
    </xf>
    <xf numFmtId="165" fontId="3" fillId="2" borderId="3" xfId="10" applyNumberFormat="1" applyFont="1" applyFill="1" applyBorder="1" applyAlignment="1">
      <alignment horizontal="left" vertical="center" wrapText="1"/>
    </xf>
    <xf numFmtId="164" fontId="3" fillId="2" borderId="3" xfId="11" applyNumberFormat="1" applyFont="1" applyFill="1" applyBorder="1" applyAlignment="1">
      <alignment horizontal="left" vertical="center" wrapText="1"/>
    </xf>
    <xf numFmtId="0" fontId="1" fillId="0" borderId="0" xfId="10"/>
    <xf numFmtId="0" fontId="6" fillId="3" borderId="3" xfId="10" applyFont="1" applyFill="1" applyBorder="1" applyAlignment="1">
      <alignment horizontal="center" vertical="center" wrapText="1"/>
    </xf>
    <xf numFmtId="0" fontId="4" fillId="0" borderId="3" xfId="10" applyFont="1" applyBorder="1" applyAlignment="1">
      <alignment vertical="center"/>
    </xf>
    <xf numFmtId="0" fontId="8" fillId="0" borderId="3" xfId="10" applyFont="1" applyBorder="1" applyAlignment="1">
      <alignment horizontal="center" vertical="center" wrapText="1"/>
    </xf>
    <xf numFmtId="2" fontId="8" fillId="3" borderId="3" xfId="10" applyNumberFormat="1" applyFont="1" applyFill="1" applyBorder="1" applyAlignment="1">
      <alignment vertical="center" wrapText="1"/>
    </xf>
    <xf numFmtId="43" fontId="8" fillId="3" borderId="3" xfId="11" applyFont="1" applyFill="1" applyBorder="1" applyAlignment="1">
      <alignment vertical="center"/>
    </xf>
    <xf numFmtId="43" fontId="6" fillId="0" borderId="3" xfId="11" applyFont="1" applyBorder="1" applyAlignment="1">
      <alignment vertical="center"/>
    </xf>
    <xf numFmtId="43" fontId="7" fillId="3" borderId="3" xfId="11" applyFont="1" applyFill="1" applyBorder="1" applyAlignment="1">
      <alignment horizontal="center" vertical="center" wrapText="1"/>
    </xf>
    <xf numFmtId="43" fontId="6" fillId="3" borderId="3" xfId="11" applyFont="1" applyFill="1" applyBorder="1" applyAlignment="1">
      <alignment vertical="center"/>
    </xf>
    <xf numFmtId="43" fontId="6" fillId="3" borderId="3" xfId="11" applyFont="1" applyFill="1" applyBorder="1" applyAlignment="1">
      <alignment horizontal="center" vertical="center" wrapText="1"/>
    </xf>
    <xf numFmtId="0" fontId="6" fillId="10" borderId="3" xfId="10" applyFont="1" applyFill="1" applyBorder="1" applyAlignment="1">
      <alignment horizontal="center" vertical="center" wrapText="1"/>
    </xf>
    <xf numFmtId="0" fontId="9" fillId="10" borderId="3" xfId="5" applyFont="1" applyFill="1" applyBorder="1" applyAlignment="1">
      <alignment horizontal="left" vertical="center" wrapText="1"/>
    </xf>
    <xf numFmtId="0" fontId="8" fillId="10" borderId="3" xfId="10" applyFont="1" applyFill="1" applyBorder="1" applyAlignment="1">
      <alignment horizontal="center" vertical="center" wrapText="1"/>
    </xf>
    <xf numFmtId="2" fontId="8" fillId="10" borderId="3" xfId="10" applyNumberFormat="1" applyFont="1" applyFill="1" applyBorder="1" applyAlignment="1">
      <alignment vertical="center" wrapText="1"/>
    </xf>
    <xf numFmtId="43" fontId="12" fillId="10" borderId="3" xfId="11" applyFont="1" applyFill="1" applyBorder="1" applyAlignment="1">
      <alignment horizontal="center" vertical="center" wrapText="1"/>
    </xf>
    <xf numFmtId="43" fontId="6" fillId="10" borderId="3" xfId="11" applyFont="1" applyFill="1" applyBorder="1" applyAlignment="1">
      <alignment vertical="center"/>
    </xf>
    <xf numFmtId="43" fontId="13" fillId="10" borderId="3" xfId="11" applyFont="1" applyFill="1" applyBorder="1" applyAlignment="1">
      <alignment horizontal="center"/>
    </xf>
    <xf numFmtId="43" fontId="13" fillId="10" borderId="3" xfId="11" applyFont="1" applyFill="1" applyBorder="1" applyAlignment="1">
      <alignment vertical="center"/>
    </xf>
    <xf numFmtId="43" fontId="8" fillId="10" borderId="3" xfId="11" applyFont="1" applyFill="1" applyBorder="1" applyAlignment="1">
      <alignment horizontal="center" vertical="center" wrapText="1"/>
    </xf>
    <xf numFmtId="43" fontId="8" fillId="10" borderId="3" xfId="11" applyFont="1" applyFill="1" applyBorder="1" applyAlignment="1">
      <alignment vertical="center"/>
    </xf>
    <xf numFmtId="0" fontId="14" fillId="3" borderId="11" xfId="5" applyFont="1" applyFill="1" applyBorder="1" applyAlignment="1">
      <alignment horizontal="left" vertical="center" wrapText="1"/>
    </xf>
    <xf numFmtId="0" fontId="8" fillId="3" borderId="3" xfId="10" applyFont="1" applyFill="1" applyBorder="1" applyAlignment="1">
      <alignment horizontal="center" vertical="center" wrapText="1"/>
    </xf>
    <xf numFmtId="43" fontId="12" fillId="3" borderId="3" xfId="11" applyFont="1" applyFill="1" applyBorder="1" applyAlignment="1">
      <alignment horizontal="center" vertical="center" wrapText="1"/>
    </xf>
    <xf numFmtId="0" fontId="6" fillId="11" borderId="3" xfId="10" applyFont="1" applyFill="1" applyBorder="1" applyAlignment="1">
      <alignment horizontal="center" vertical="center" wrapText="1"/>
    </xf>
    <xf numFmtId="0" fontId="8" fillId="11" borderId="11" xfId="5" applyFont="1" applyFill="1" applyBorder="1" applyAlignment="1">
      <alignment horizontal="left" vertical="center" wrapText="1"/>
    </xf>
    <xf numFmtId="0" fontId="8" fillId="11" borderId="3" xfId="10" applyFont="1" applyFill="1" applyBorder="1" applyAlignment="1">
      <alignment horizontal="center" vertical="center" wrapText="1"/>
    </xf>
    <xf numFmtId="2" fontId="8" fillId="11" borderId="3" xfId="10" applyNumberFormat="1" applyFont="1" applyFill="1" applyBorder="1" applyAlignment="1">
      <alignment vertical="center" wrapText="1"/>
    </xf>
    <xf numFmtId="43" fontId="8" fillId="11" borderId="3" xfId="11" applyFont="1" applyFill="1" applyBorder="1" applyAlignment="1">
      <alignment vertical="center"/>
    </xf>
    <xf numFmtId="43" fontId="6" fillId="11" borderId="3" xfId="11" applyFont="1" applyFill="1" applyBorder="1" applyAlignment="1">
      <alignment vertical="center"/>
    </xf>
    <xf numFmtId="43" fontId="7" fillId="11" borderId="3" xfId="11" applyFont="1" applyFill="1" applyBorder="1" applyAlignment="1">
      <alignment horizontal="center" vertical="center" wrapText="1"/>
    </xf>
    <xf numFmtId="43" fontId="6" fillId="11" borderId="3" xfId="11" applyFont="1" applyFill="1" applyBorder="1" applyAlignment="1">
      <alignment horizontal="center" vertical="center" wrapText="1"/>
    </xf>
    <xf numFmtId="49" fontId="13" fillId="3" borderId="3" xfId="10" applyNumberFormat="1" applyFont="1" applyFill="1" applyBorder="1" applyAlignment="1">
      <alignment horizontal="center" vertical="center" wrapText="1"/>
    </xf>
    <xf numFmtId="0" fontId="3" fillId="3" borderId="11" xfId="10" applyFont="1" applyFill="1" applyBorder="1" applyAlignment="1">
      <alignment horizontal="left" vertical="center" wrapText="1"/>
    </xf>
    <xf numFmtId="1" fontId="8" fillId="3" borderId="3" xfId="10" applyNumberFormat="1" applyFont="1" applyFill="1" applyBorder="1" applyAlignment="1">
      <alignment vertical="center" wrapText="1"/>
    </xf>
    <xf numFmtId="3" fontId="6" fillId="3" borderId="3" xfId="10" applyNumberFormat="1" applyFont="1" applyFill="1" applyBorder="1" applyAlignment="1">
      <alignment horizontal="center" vertical="center"/>
    </xf>
    <xf numFmtId="3" fontId="8" fillId="3" borderId="3" xfId="10" applyNumberFormat="1" applyFont="1" applyFill="1" applyBorder="1" applyAlignment="1">
      <alignment horizontal="center" vertical="center"/>
    </xf>
    <xf numFmtId="165" fontId="6" fillId="3" borderId="3" xfId="10" applyNumberFormat="1" applyFont="1" applyFill="1" applyBorder="1" applyAlignment="1">
      <alignment vertical="center"/>
    </xf>
    <xf numFmtId="43" fontId="13" fillId="3" borderId="3" xfId="11" applyFont="1" applyFill="1" applyBorder="1" applyAlignment="1">
      <alignment horizontal="center"/>
    </xf>
    <xf numFmtId="43" fontId="13" fillId="3" borderId="3" xfId="11" applyFont="1" applyFill="1" applyBorder="1" applyAlignment="1">
      <alignment vertical="center"/>
    </xf>
    <xf numFmtId="43" fontId="13" fillId="3" borderId="3" xfId="11" applyFont="1" applyFill="1" applyBorder="1" applyAlignment="1">
      <alignment horizontal="center" vertical="center" wrapText="1"/>
    </xf>
    <xf numFmtId="0" fontId="14" fillId="3" borderId="11" xfId="10" applyFont="1" applyFill="1" applyBorder="1" applyAlignment="1">
      <alignment horizontal="left" vertical="center" wrapText="1"/>
    </xf>
    <xf numFmtId="2" fontId="8" fillId="0" borderId="3" xfId="10" applyNumberFormat="1" applyFont="1" applyBorder="1" applyAlignment="1">
      <alignment vertical="center" wrapText="1"/>
    </xf>
    <xf numFmtId="43" fontId="8" fillId="3" borderId="3" xfId="11" applyFont="1" applyFill="1" applyBorder="1" applyAlignment="1">
      <alignment horizontal="center" vertical="center" wrapText="1"/>
    </xf>
    <xf numFmtId="0" fontId="8" fillId="11" borderId="3" xfId="5" applyFont="1" applyFill="1" applyBorder="1" applyAlignment="1">
      <alignment horizontal="left" vertical="center" wrapText="1"/>
    </xf>
    <xf numFmtId="43" fontId="13" fillId="11" borderId="3" xfId="11" applyFont="1" applyFill="1" applyBorder="1" applyAlignment="1">
      <alignment horizontal="center"/>
    </xf>
    <xf numFmtId="43" fontId="13" fillId="11" borderId="3" xfId="11" applyFont="1" applyFill="1" applyBorder="1" applyAlignment="1">
      <alignment vertical="center"/>
    </xf>
    <xf numFmtId="43" fontId="8" fillId="11" borderId="3" xfId="11" applyFont="1" applyFill="1" applyBorder="1" applyAlignment="1">
      <alignment horizontal="center" vertical="center" wrapText="1"/>
    </xf>
    <xf numFmtId="49" fontId="8" fillId="3" borderId="3" xfId="10" applyNumberFormat="1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left" vertical="center" wrapText="1"/>
    </xf>
    <xf numFmtId="0" fontId="8" fillId="4" borderId="3" xfId="10" applyFont="1" applyFill="1" applyBorder="1" applyAlignment="1">
      <alignment horizontal="center" vertical="center" wrapText="1"/>
    </xf>
    <xf numFmtId="2" fontId="8" fillId="4" borderId="3" xfId="10" applyNumberFormat="1" applyFont="1" applyFill="1" applyBorder="1" applyAlignment="1">
      <alignment vertical="center" wrapText="1"/>
    </xf>
    <xf numFmtId="43" fontId="7" fillId="4" borderId="3" xfId="11" applyFont="1" applyFill="1" applyBorder="1" applyAlignment="1">
      <alignment horizontal="center" vertical="center" wrapText="1"/>
    </xf>
    <xf numFmtId="43" fontId="6" fillId="4" borderId="3" xfId="11" applyFont="1" applyFill="1" applyBorder="1" applyAlignment="1">
      <alignment vertical="center"/>
    </xf>
    <xf numFmtId="43" fontId="6" fillId="4" borderId="3" xfId="11" applyFont="1" applyFill="1" applyBorder="1" applyAlignment="1">
      <alignment horizontal="center" vertical="center" wrapText="1"/>
    </xf>
    <xf numFmtId="0" fontId="1" fillId="3" borderId="0" xfId="10" applyFill="1"/>
    <xf numFmtId="43" fontId="6" fillId="3" borderId="3" xfId="11" applyFont="1" applyFill="1" applyBorder="1" applyAlignment="1">
      <alignment horizontal="center"/>
    </xf>
    <xf numFmtId="0" fontId="54" fillId="11" borderId="3" xfId="5" applyFont="1" applyFill="1" applyBorder="1" applyAlignment="1">
      <alignment horizontal="left" vertical="center" wrapText="1"/>
    </xf>
    <xf numFmtId="168" fontId="8" fillId="11" borderId="3" xfId="10" applyNumberFormat="1" applyFont="1" applyFill="1" applyBorder="1" applyAlignment="1">
      <alignment vertical="center" wrapText="1"/>
    </xf>
    <xf numFmtId="43" fontId="6" fillId="11" borderId="3" xfId="11" applyFont="1" applyFill="1" applyBorder="1" applyAlignment="1">
      <alignment horizontal="center"/>
    </xf>
    <xf numFmtId="0" fontId="54" fillId="4" borderId="3" xfId="5" applyFont="1" applyFill="1" applyBorder="1" applyAlignment="1">
      <alignment horizontal="left" vertical="center" wrapText="1"/>
    </xf>
    <xf numFmtId="43" fontId="6" fillId="4" borderId="3" xfId="11" applyFont="1" applyFill="1" applyBorder="1" applyAlignment="1">
      <alignment horizontal="center" vertical="center"/>
    </xf>
    <xf numFmtId="43" fontId="8" fillId="4" borderId="3" xfId="11" applyFont="1" applyFill="1" applyBorder="1" applyAlignment="1">
      <alignment vertical="center"/>
    </xf>
    <xf numFmtId="43" fontId="8" fillId="4" borderId="3" xfId="11" applyFont="1" applyFill="1" applyBorder="1" applyAlignment="1">
      <alignment horizontal="center" vertical="center" wrapText="1"/>
    </xf>
    <xf numFmtId="0" fontId="54" fillId="10" borderId="3" xfId="10" applyFont="1" applyFill="1" applyBorder="1" applyAlignment="1">
      <alignment horizontal="center" vertical="center" wrapText="1"/>
    </xf>
    <xf numFmtId="0" fontId="8" fillId="10" borderId="3" xfId="5" applyFont="1" applyFill="1" applyBorder="1" applyAlignment="1">
      <alignment horizontal="left" vertical="center" wrapText="1"/>
    </xf>
    <xf numFmtId="43" fontId="7" fillId="10" borderId="3" xfId="11" applyFont="1" applyFill="1" applyBorder="1" applyAlignment="1">
      <alignment horizontal="center" vertical="center" wrapText="1"/>
    </xf>
    <xf numFmtId="43" fontId="8" fillId="10" borderId="3" xfId="11" applyFont="1" applyFill="1" applyBorder="1" applyAlignment="1">
      <alignment horizontal="center"/>
    </xf>
    <xf numFmtId="171" fontId="8" fillId="4" borderId="3" xfId="10" applyNumberFormat="1" applyFont="1" applyFill="1" applyBorder="1" applyAlignment="1">
      <alignment vertical="center" wrapText="1"/>
    </xf>
    <xf numFmtId="43" fontId="9" fillId="4" borderId="3" xfId="11" applyFont="1" applyFill="1" applyBorder="1" applyAlignment="1">
      <alignment vertical="center"/>
    </xf>
    <xf numFmtId="167" fontId="8" fillId="4" borderId="3" xfId="10" applyNumberFormat="1" applyFont="1" applyFill="1" applyBorder="1" applyAlignment="1">
      <alignment vertical="center" wrapText="1"/>
    </xf>
    <xf numFmtId="43" fontId="6" fillId="10" borderId="3" xfId="11" applyFont="1" applyFill="1" applyBorder="1" applyAlignment="1">
      <alignment horizontal="center"/>
    </xf>
    <xf numFmtId="1" fontId="8" fillId="4" borderId="3" xfId="10" applyNumberFormat="1" applyFont="1" applyFill="1" applyBorder="1" applyAlignment="1">
      <alignment vertical="center" wrapText="1"/>
    </xf>
    <xf numFmtId="0" fontId="17" fillId="0" borderId="11" xfId="5" applyFont="1" applyBorder="1" applyAlignment="1">
      <alignment wrapText="1"/>
    </xf>
    <xf numFmtId="0" fontId="17" fillId="0" borderId="12" xfId="5" applyFont="1" applyBorder="1" applyAlignment="1">
      <alignment wrapText="1"/>
    </xf>
    <xf numFmtId="0" fontId="17" fillId="0" borderId="13" xfId="5" applyFont="1" applyBorder="1" applyAlignment="1">
      <alignment wrapText="1"/>
    </xf>
    <xf numFmtId="43" fontId="16" fillId="0" borderId="3" xfId="11" applyFont="1" applyBorder="1" applyAlignment="1">
      <alignment horizontal="center"/>
    </xf>
    <xf numFmtId="43" fontId="16" fillId="0" borderId="3" xfId="11" applyFont="1" applyBorder="1"/>
    <xf numFmtId="164" fontId="51" fillId="0" borderId="0" xfId="11" applyNumberFormat="1" applyFont="1" applyAlignment="1">
      <alignment horizontal="center"/>
    </xf>
    <xf numFmtId="0" fontId="51" fillId="0" borderId="0" xfId="10" applyFont="1" applyAlignment="1">
      <alignment horizontal="center"/>
    </xf>
    <xf numFmtId="164" fontId="0" fillId="0" borderId="0" xfId="11" applyNumberFormat="1" applyFont="1"/>
    <xf numFmtId="0" fontId="10" fillId="0" borderId="0" xfId="10" applyFont="1" applyAlignment="1">
      <alignment horizontal="center"/>
    </xf>
    <xf numFmtId="0" fontId="3" fillId="0" borderId="3" xfId="10" applyFont="1" applyBorder="1" applyAlignment="1">
      <alignment horizontal="center" vertical="center"/>
    </xf>
    <xf numFmtId="164" fontId="3" fillId="0" borderId="3" xfId="11" applyNumberFormat="1" applyFont="1" applyFill="1" applyBorder="1" applyAlignment="1">
      <alignment horizontal="center" vertical="center"/>
    </xf>
    <xf numFmtId="0" fontId="10" fillId="0" borderId="3" xfId="10" applyFont="1" applyBorder="1" applyAlignment="1">
      <alignment horizontal="center"/>
    </xf>
    <xf numFmtId="0" fontId="3" fillId="0" borderId="3" xfId="10" applyFont="1" applyBorder="1" applyAlignment="1">
      <alignment vertical="center" wrapText="1"/>
    </xf>
    <xf numFmtId="4" fontId="3" fillId="0" borderId="3" xfId="10" applyNumberFormat="1" applyFont="1" applyBorder="1" applyAlignment="1">
      <alignment horizontal="left" vertical="center" wrapText="1"/>
    </xf>
    <xf numFmtId="165" fontId="3" fillId="0" borderId="3" xfId="10" applyNumberFormat="1" applyFont="1" applyBorder="1" applyAlignment="1">
      <alignment horizontal="left" vertical="center" wrapText="1"/>
    </xf>
    <xf numFmtId="164" fontId="3" fillId="0" borderId="3" xfId="11" applyNumberFormat="1" applyFont="1" applyFill="1" applyBorder="1" applyAlignment="1">
      <alignment horizontal="left" vertical="center" wrapText="1"/>
    </xf>
    <xf numFmtId="0" fontId="10" fillId="0" borderId="0" xfId="10" applyFont="1"/>
    <xf numFmtId="43" fontId="8" fillId="0" borderId="3" xfId="11" applyFont="1" applyFill="1" applyBorder="1" applyAlignment="1">
      <alignment vertical="center"/>
    </xf>
    <xf numFmtId="43" fontId="7" fillId="0" borderId="3" xfId="11" applyFont="1" applyFill="1" applyBorder="1" applyAlignment="1">
      <alignment horizontal="center" vertical="center" wrapText="1"/>
    </xf>
    <xf numFmtId="43" fontId="8" fillId="0" borderId="3" xfId="11" applyFont="1" applyFill="1" applyBorder="1" applyAlignment="1">
      <alignment horizontal="center" vertical="center" wrapText="1"/>
    </xf>
    <xf numFmtId="4" fontId="7" fillId="0" borderId="3" xfId="11" applyNumberFormat="1" applyFont="1" applyFill="1" applyBorder="1" applyAlignment="1">
      <alignment horizontal="right" vertical="center" wrapText="1"/>
    </xf>
    <xf numFmtId="4" fontId="8" fillId="0" borderId="3" xfId="11" applyNumberFormat="1" applyFont="1" applyFill="1" applyBorder="1" applyAlignment="1">
      <alignment horizontal="right" vertical="center"/>
    </xf>
    <xf numFmtId="4" fontId="8" fillId="0" borderId="3" xfId="11" applyNumberFormat="1" applyFont="1" applyFill="1" applyBorder="1" applyAlignment="1">
      <alignment horizontal="right"/>
    </xf>
    <xf numFmtId="4" fontId="8" fillId="0" borderId="3" xfId="11" applyNumberFormat="1" applyFont="1" applyFill="1" applyBorder="1" applyAlignment="1">
      <alignment horizontal="right" vertical="center" wrapText="1"/>
    </xf>
    <xf numFmtId="172" fontId="1" fillId="0" borderId="0" xfId="12" applyNumberFormat="1" applyAlignment="1">
      <alignment horizontal="right" vertical="center"/>
    </xf>
    <xf numFmtId="0" fontId="55" fillId="0" borderId="0" xfId="10" applyFont="1"/>
    <xf numFmtId="4" fontId="17" fillId="0" borderId="3" xfId="5" applyNumberFormat="1" applyFont="1" applyBorder="1" applyAlignment="1">
      <alignment horizontal="right" wrapText="1"/>
    </xf>
    <xf numFmtId="4" fontId="17" fillId="0" borderId="3" xfId="11" applyNumberFormat="1" applyFont="1" applyFill="1" applyBorder="1" applyAlignment="1">
      <alignment horizontal="right"/>
    </xf>
    <xf numFmtId="0" fontId="50" fillId="0" borderId="0" xfId="10" applyFont="1" applyAlignment="1">
      <alignment horizontal="center"/>
    </xf>
    <xf numFmtId="164" fontId="22" fillId="0" borderId="0" xfId="11" applyNumberFormat="1" applyFont="1" applyFill="1"/>
    <xf numFmtId="4" fontId="8" fillId="0" borderId="3" xfId="10" applyNumberFormat="1" applyFont="1" applyFill="1" applyBorder="1" applyAlignment="1">
      <alignment horizontal="right" vertical="center" wrapText="1"/>
    </xf>
    <xf numFmtId="4" fontId="11" fillId="11" borderId="3" xfId="10" applyNumberFormat="1" applyFont="1" applyFill="1" applyBorder="1" applyAlignment="1">
      <alignment horizontal="right" vertical="center" wrapText="1"/>
    </xf>
    <xf numFmtId="172" fontId="52" fillId="13" borderId="0" xfId="10" applyNumberFormat="1" applyFont="1" applyFill="1" applyAlignment="1">
      <alignment horizontal="center" vertical="center"/>
    </xf>
    <xf numFmtId="0" fontId="56" fillId="3" borderId="3" xfId="0" applyFont="1" applyFill="1" applyBorder="1" applyAlignment="1">
      <alignment vertical="center" wrapText="1"/>
    </xf>
    <xf numFmtId="0" fontId="56" fillId="11" borderId="3" xfId="0" applyFont="1" applyFill="1" applyBorder="1" applyAlignment="1">
      <alignment vertical="center" wrapText="1"/>
    </xf>
    <xf numFmtId="0" fontId="12" fillId="11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9" fillId="0" borderId="11" xfId="3" applyFont="1" applyBorder="1" applyAlignment="1">
      <alignment horizontal="right" vertical="center" wrapText="1"/>
    </xf>
    <xf numFmtId="0" fontId="49" fillId="0" borderId="12" xfId="3" applyFont="1" applyBorder="1" applyAlignment="1">
      <alignment horizontal="right" vertical="center" wrapText="1"/>
    </xf>
    <xf numFmtId="0" fontId="49" fillId="0" borderId="13" xfId="3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164" fontId="8" fillId="10" borderId="1" xfId="1" applyNumberFormat="1" applyFont="1" applyFill="1" applyBorder="1" applyAlignment="1">
      <alignment horizontal="center" vertical="center"/>
    </xf>
    <xf numFmtId="164" fontId="8" fillId="10" borderId="5" xfId="1" applyNumberFormat="1" applyFont="1" applyFill="1" applyBorder="1" applyAlignment="1">
      <alignment horizontal="center" vertical="center"/>
    </xf>
    <xf numFmtId="164" fontId="8" fillId="10" borderId="9" xfId="1" applyNumberFormat="1" applyFont="1" applyFill="1" applyBorder="1" applyAlignment="1">
      <alignment horizontal="center" vertical="center"/>
    </xf>
    <xf numFmtId="43" fontId="8" fillId="10" borderId="1" xfId="1" applyFont="1" applyFill="1" applyBorder="1" applyAlignment="1">
      <alignment horizontal="center" vertical="center" wrapText="1"/>
    </xf>
    <xf numFmtId="43" fontId="8" fillId="10" borderId="5" xfId="1" applyFont="1" applyFill="1" applyBorder="1" applyAlignment="1">
      <alignment horizontal="center" vertical="center" wrapText="1"/>
    </xf>
    <xf numFmtId="43" fontId="8" fillId="10" borderId="9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" fontId="3" fillId="0" borderId="3" xfId="6" applyNumberFormat="1" applyFont="1" applyFill="1" applyBorder="1" applyAlignment="1">
      <alignment horizontal="center" vertical="center" wrapText="1"/>
    </xf>
    <xf numFmtId="4" fontId="3" fillId="0" borderId="4" xfId="6" applyNumberFormat="1" applyFont="1" applyFill="1" applyBorder="1" applyAlignment="1">
      <alignment horizontal="center" vertical="center" wrapText="1"/>
    </xf>
    <xf numFmtId="4" fontId="3" fillId="0" borderId="0" xfId="6" applyNumberFormat="1" applyFont="1" applyFill="1" applyAlignment="1">
      <alignment horizontal="center" vertical="center" wrapText="1"/>
    </xf>
    <xf numFmtId="4" fontId="3" fillId="0" borderId="7" xfId="6" applyNumberFormat="1" applyFont="1" applyFill="1" applyBorder="1" applyAlignment="1">
      <alignment horizontal="center" vertical="center" wrapText="1"/>
    </xf>
    <xf numFmtId="4" fontId="3" fillId="0" borderId="8" xfId="6" applyNumberFormat="1" applyFont="1" applyFill="1" applyBorder="1" applyAlignment="1">
      <alignment horizontal="center" vertical="center" wrapText="1"/>
    </xf>
    <xf numFmtId="0" fontId="3" fillId="0" borderId="3" xfId="6" applyFont="1" applyFill="1" applyBorder="1" applyAlignment="1">
      <alignment horizontal="center" vertical="center"/>
    </xf>
    <xf numFmtId="43" fontId="8" fillId="3" borderId="1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</cellXfs>
  <cellStyles count="13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5" xr:uid="{B2E433B7-68B2-494D-ACA7-76C16DC8B574}"/>
    <cellStyle name="Обычный 2 3" xfId="12" xr:uid="{8B15E9E0-4C42-40B6-AD36-9BD926243245}"/>
    <cellStyle name="Обычный 3" xfId="6" xr:uid="{0B9A547A-FB5F-4F8F-8E79-0F282F671830}"/>
    <cellStyle name="Обычный 4" xfId="10" xr:uid="{5042414B-8CB5-48F7-9891-5EA261B5737A}"/>
    <cellStyle name="Обычный 6" xfId="7" xr:uid="{3F841A48-D0F6-4909-894A-F7DEF5A5387B}"/>
    <cellStyle name="Финансовый" xfId="1" builtinId="3"/>
    <cellStyle name="Финансовый 2" xfId="4" xr:uid="{AED7B63F-EA70-4165-B303-F606F62D4DD4}"/>
    <cellStyle name="Финансовый 3" xfId="9" xr:uid="{652D1EFE-5968-4586-A1F7-0692B30C939D}"/>
    <cellStyle name="Финансовый 4" xfId="11" xr:uid="{BFF01CE6-1875-4E8C-A44F-3D09B2C3B936}"/>
    <cellStyle name="Финансовый 6" xfId="8" xr:uid="{95150D98-00E3-437E-B522-0DC9495CAF2C}"/>
  </cellStyles>
  <dxfs count="12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328464</xdr:colOff>
      <xdr:row>151</xdr:row>
      <xdr:rowOff>135270</xdr:rowOff>
    </xdr:from>
    <xdr:to>
      <xdr:col>31</xdr:col>
      <xdr:colOff>438293</xdr:colOff>
      <xdr:row>176</xdr:row>
      <xdr:rowOff>58896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D3FC17E-976A-4DF5-B055-21863DCA4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83814" y="44178870"/>
          <a:ext cx="9369362" cy="4682316"/>
        </a:xfrm>
        <a:prstGeom prst="rect">
          <a:avLst/>
        </a:prstGeom>
      </xdr:spPr>
    </xdr:pic>
    <xdr:clientData/>
  </xdr:twoCellAnchor>
  <xdr:twoCellAnchor editAs="oneCell">
    <xdr:from>
      <xdr:col>25</xdr:col>
      <xdr:colOff>507851</xdr:colOff>
      <xdr:row>73</xdr:row>
      <xdr:rowOff>254710</xdr:rowOff>
    </xdr:from>
    <xdr:to>
      <xdr:col>37</xdr:col>
      <xdr:colOff>414948</xdr:colOff>
      <xdr:row>87</xdr:row>
      <xdr:rowOff>198501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E12D14E-E51E-4C36-8681-43F9780C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06301" y="23381410"/>
          <a:ext cx="8784397" cy="4210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157443</xdr:rowOff>
    </xdr:from>
    <xdr:to>
      <xdr:col>19</xdr:col>
      <xdr:colOff>722034</xdr:colOff>
      <xdr:row>117</xdr:row>
      <xdr:rowOff>155202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3C1F8CA-86F2-496A-8BBF-363CBECA4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700002"/>
          <a:ext cx="18402675" cy="11237259"/>
        </a:xfrm>
        <a:prstGeom prst="rect">
          <a:avLst/>
        </a:prstGeom>
      </xdr:spPr>
    </xdr:pic>
    <xdr:clientData/>
  </xdr:twoCellAnchor>
  <xdr:twoCellAnchor editAs="oneCell">
    <xdr:from>
      <xdr:col>17</xdr:col>
      <xdr:colOff>581106</xdr:colOff>
      <xdr:row>58</xdr:row>
      <xdr:rowOff>109658</xdr:rowOff>
    </xdr:from>
    <xdr:to>
      <xdr:col>36</xdr:col>
      <xdr:colOff>422671</xdr:colOff>
      <xdr:row>113</xdr:row>
      <xdr:rowOff>149226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09DBDBD-6D5D-443C-94BA-0455FCD6D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66547" y="15652217"/>
          <a:ext cx="17795294" cy="105170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925046</xdr:colOff>
      <xdr:row>45</xdr:row>
      <xdr:rowOff>30816</xdr:rowOff>
    </xdr:from>
    <xdr:to>
      <xdr:col>24</xdr:col>
      <xdr:colOff>901500</xdr:colOff>
      <xdr:row>55</xdr:row>
      <xdr:rowOff>48230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3AD83CC-5969-4572-B1F6-E0C06ECE9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4693" y="11998698"/>
          <a:ext cx="15810905" cy="19243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65</xdr:row>
      <xdr:rowOff>0</xdr:rowOff>
    </xdr:from>
    <xdr:to>
      <xdr:col>22</xdr:col>
      <xdr:colOff>321803</xdr:colOff>
      <xdr:row>100</xdr:row>
      <xdr:rowOff>120023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EE6B8AC-E716-49AB-B9E9-30D8D538E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0" y="19030950"/>
          <a:ext cx="7487720" cy="67989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+%20&#1057;&#1042;&#1054;&#1044;%20&#1042;&#1044;&#1062;%20&#1069;&#1069;%20&#1074;&#1077;&#1088;.9.1%20&#1086;&#1090;%2018.12.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42;&#1044;&#1062;_&#1053;&#1042;&#1050;3%20&#1082;&#1086;&#1088;&#1088;%20&#1088;&#1077;&#1079;&#1082;&#108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42;&#1044;&#1062;_&#1053;&#1042;&#1050;5%20&#1082;&#1086;&#1088;&#1088;%20&#1088;&#1077;&#1079;&#1082;&#108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42;&#1044;&#1062;%20&#1069;&#1057;2%20&#1082;&#1086;&#1088;&#1088;%20&#1088;&#1077;&#1079;&#1082;&#108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86;&#1084;&#1084;&#1077;&#1088;&#1094;&#1080;&#1103;/&#1042;&#1044;&#1062;/06.11.2024-&#1040;&#1085;&#1072;&#1083;&#1080;&#1079;%20&#1042;&#1044;&#1062;%20&#1052;&#1099;&#1090;&#1080;&#1097;&#1080;/&#1050;&#1086;&#1088;&#1088;&#1077;&#1082;&#1090;&#1080;&#1088;&#1086;&#1074;&#1082;&#1080;%20&#1088;&#1077;&#1079;&#1082;&#1080;/&#1053;&#1042;&#1050;%204%20&#1082;&#1086;&#1088;&#1088;%20&#1088;&#1077;&#1079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П расц"/>
      <sheetName val="СВОД-9"/>
      <sheetName val="Резка+погр"/>
      <sheetName val="АС4 VS"/>
      <sheetName val="ТС1 VS"/>
      <sheetName val="ТС2 VS"/>
      <sheetName val="ТС3 VS"/>
      <sheetName val="К10-К10А VS"/>
      <sheetName val="К16А VS"/>
      <sheetName val="К26-27 VS"/>
      <sheetName val="ГП1 VS"/>
      <sheetName val="ПЖ VS"/>
      <sheetName val="ГСН VS"/>
      <sheetName val="НВК2 VS"/>
      <sheetName val="ГП2 VS"/>
      <sheetName val="ГП1_1"/>
      <sheetName val="СВОД-7"/>
      <sheetName val="верх"/>
      <sheetName val="СВОД"/>
      <sheetName val="К16А дождеп"/>
      <sheetName val="К26-27"/>
      <sheetName val="ГСН"/>
      <sheetName val="ПЖдо"/>
      <sheetName val="ПЖ"/>
      <sheetName val="ГП2до "/>
      <sheetName val="ГП2 "/>
      <sheetName val="ГП1"/>
      <sheetName val="АС1Площадка"/>
      <sheetName val="Демонтаж ламп"/>
      <sheetName val="КС"/>
      <sheetName val="КПКС"/>
      <sheetName val="К10-К10А"/>
      <sheetName val="ГП2 доп "/>
      <sheetName val="ПЖ (путь 30)"/>
    </sheetNames>
    <sheetDataSet>
      <sheetData sheetId="0" refreshError="1"/>
      <sheetData sheetId="1" refreshError="1"/>
      <sheetData sheetId="2">
        <row r="3">
          <cell r="I3">
            <v>335</v>
          </cell>
        </row>
        <row r="4">
          <cell r="I4">
            <v>77.5</v>
          </cell>
        </row>
        <row r="5">
          <cell r="I5">
            <v>1800</v>
          </cell>
        </row>
        <row r="30">
          <cell r="D30">
            <v>-2192558</v>
          </cell>
        </row>
      </sheetData>
      <sheetData sheetId="3">
        <row r="61">
          <cell r="L61">
            <v>7506792.3719999995</v>
          </cell>
          <cell r="Y61">
            <v>6601017.4999399986</v>
          </cell>
        </row>
      </sheetData>
      <sheetData sheetId="4">
        <row r="172">
          <cell r="L172">
            <v>6284604.5089599993</v>
          </cell>
          <cell r="Y172">
            <v>6284604.4055268131</v>
          </cell>
        </row>
      </sheetData>
      <sheetData sheetId="5">
        <row r="187">
          <cell r="L187">
            <v>3337014.399999999</v>
          </cell>
          <cell r="Y187">
            <v>3337014.3218157603</v>
          </cell>
        </row>
      </sheetData>
      <sheetData sheetId="6">
        <row r="123">
          <cell r="L123">
            <v>5360061.5600000033</v>
          </cell>
        </row>
      </sheetData>
      <sheetData sheetId="7">
        <row r="41">
          <cell r="L41">
            <v>462113.73</v>
          </cell>
          <cell r="Y41">
            <v>415674.71632559999</v>
          </cell>
        </row>
      </sheetData>
      <sheetData sheetId="8">
        <row r="76">
          <cell r="L76">
            <v>1533023.57</v>
          </cell>
          <cell r="Y76">
            <v>1533009.1390480003</v>
          </cell>
        </row>
      </sheetData>
      <sheetData sheetId="9">
        <row r="29">
          <cell r="L29">
            <v>1177198.2579999999</v>
          </cell>
          <cell r="Y29">
            <v>945498.01387999987</v>
          </cell>
        </row>
      </sheetData>
      <sheetData sheetId="10">
        <row r="50">
          <cell r="L50">
            <v>21601715.095410399</v>
          </cell>
          <cell r="Y50">
            <v>19141717.705310397</v>
          </cell>
        </row>
      </sheetData>
      <sheetData sheetId="11">
        <row r="116">
          <cell r="L116">
            <v>308.74</v>
          </cell>
          <cell r="Y116">
            <v>308.73600000000005</v>
          </cell>
        </row>
      </sheetData>
      <sheetData sheetId="12">
        <row r="87">
          <cell r="L87">
            <v>5215041.9000000013</v>
          </cell>
          <cell r="Y87">
            <v>5215041.8706928007</v>
          </cell>
        </row>
      </sheetData>
      <sheetData sheetId="13">
        <row r="51">
          <cell r="Y51">
            <v>1468420.6479119998</v>
          </cell>
        </row>
      </sheetData>
      <sheetData sheetId="14">
        <row r="161">
          <cell r="L161">
            <v>68519507.880941376</v>
          </cell>
          <cell r="Y161">
            <v>65485289.545583203</v>
          </cell>
        </row>
      </sheetData>
      <sheetData sheetId="15">
        <row r="22">
          <cell r="Y22">
            <v>1253726.32030656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7">
          <cell r="L37">
            <v>8565720.1699999999</v>
          </cell>
          <cell r="Y37">
            <v>9333025.6699999999</v>
          </cell>
        </row>
      </sheetData>
      <sheetData sheetId="28" refreshError="1"/>
      <sheetData sheetId="29" refreshError="1"/>
      <sheetData sheetId="30">
        <row r="97">
          <cell r="H97">
            <v>8429543.8499999996</v>
          </cell>
        </row>
      </sheetData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>
        <row r="14">
          <cell r="I14">
            <v>19131216.340293571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5"/>
      <sheetName val="К16А VS"/>
      <sheetName val="К15-К17 (2)"/>
      <sheetName val="Кл1,2,3"/>
      <sheetName val="К26-27 VS"/>
    </sheetNames>
    <sheetDataSet>
      <sheetData sheetId="0">
        <row r="7">
          <cell r="I7">
            <v>5661185.0752488002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ТП7-склад75"/>
      <sheetName val="28-28А, 28Б-28В"/>
      <sheetName val="1-2; 7-8"/>
      <sheetName val="ЭС2 цех417-ММЗ"/>
      <sheetName val="ЭС2 Защита"/>
    </sheetNames>
    <sheetDataSet>
      <sheetData sheetId="0">
        <row r="8">
          <cell r="I8">
            <v>5358956.2465784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4"/>
      <sheetName val="К11А-К11Б"/>
      <sheetName val="цех 121-К11Б"/>
      <sheetName val="Ксущ-К11А"/>
      <sheetName val="К10-К10А VS"/>
    </sheetNames>
    <sheetDataSet>
      <sheetData sheetId="0">
        <row r="7">
          <cell r="I7">
            <v>2819894.7165271998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2F08-8C60-4DF6-9DD4-03F2EC8F3EE2}">
  <dimension ref="A1:I15"/>
  <sheetViews>
    <sheetView view="pageBreakPreview" zoomScaleNormal="100" zoomScaleSheetLayoutView="100" workbookViewId="0">
      <selection activeCell="G3" sqref="G3:G6"/>
    </sheetView>
  </sheetViews>
  <sheetFormatPr defaultRowHeight="15" x14ac:dyDescent="0.25"/>
  <cols>
    <col min="1" max="1" width="6.5703125" customWidth="1"/>
    <col min="2" max="2" width="47.2851562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611" t="s">
        <v>0</v>
      </c>
      <c r="B1" s="611" t="s">
        <v>19</v>
      </c>
      <c r="C1" s="612" t="s">
        <v>20</v>
      </c>
      <c r="D1" s="612"/>
      <c r="E1" s="612"/>
      <c r="F1" s="613" t="s">
        <v>12</v>
      </c>
      <c r="G1" s="613"/>
      <c r="H1" s="613"/>
    </row>
    <row r="2" spans="1:9" ht="28.5" x14ac:dyDescent="0.25">
      <c r="A2" s="611"/>
      <c r="B2" s="611"/>
      <c r="C2" s="44" t="s">
        <v>21</v>
      </c>
      <c r="D2" s="45" t="s">
        <v>22</v>
      </c>
      <c r="E2" s="45" t="s">
        <v>23</v>
      </c>
      <c r="F2" s="46" t="s">
        <v>21</v>
      </c>
      <c r="G2" s="47" t="s">
        <v>22</v>
      </c>
      <c r="H2" s="47" t="s">
        <v>23</v>
      </c>
    </row>
    <row r="3" spans="1:9" ht="23.1" customHeight="1" x14ac:dyDescent="0.25">
      <c r="A3" s="48">
        <v>1</v>
      </c>
      <c r="B3" s="58"/>
      <c r="C3" s="29"/>
      <c r="D3" s="50"/>
      <c r="E3" s="61">
        <f>C3+D3</f>
        <v>0</v>
      </c>
      <c r="F3" s="51"/>
      <c r="G3" s="52"/>
      <c r="H3" s="53">
        <f>F3+G3</f>
        <v>0</v>
      </c>
      <c r="I3" s="54"/>
    </row>
    <row r="4" spans="1:9" ht="23.1" customHeight="1" x14ac:dyDescent="0.25">
      <c r="A4" s="48">
        <v>2</v>
      </c>
      <c r="B4" s="58"/>
      <c r="C4" s="29"/>
      <c r="D4" s="50"/>
      <c r="E4" s="61">
        <f t="shared" ref="E4:E6" si="0">C4+D4</f>
        <v>0</v>
      </c>
      <c r="F4" s="51"/>
      <c r="G4" s="52"/>
      <c r="H4" s="53">
        <f t="shared" ref="H4:H6" si="1">F4+G4</f>
        <v>0</v>
      </c>
      <c r="I4" s="54"/>
    </row>
    <row r="5" spans="1:9" ht="23.1" customHeight="1" x14ac:dyDescent="0.25">
      <c r="A5" s="48">
        <v>3</v>
      </c>
      <c r="B5" s="49"/>
      <c r="C5" s="29"/>
      <c r="D5" s="50"/>
      <c r="E5" s="61">
        <f t="shared" si="0"/>
        <v>0</v>
      </c>
      <c r="F5" s="51"/>
      <c r="G5" s="52"/>
      <c r="H5" s="53">
        <f t="shared" si="1"/>
        <v>0</v>
      </c>
      <c r="I5" s="54"/>
    </row>
    <row r="6" spans="1:9" ht="23.1" customHeight="1" x14ac:dyDescent="0.25">
      <c r="A6" s="48">
        <v>4</v>
      </c>
      <c r="B6" s="49"/>
      <c r="C6" s="29"/>
      <c r="D6" s="50"/>
      <c r="E6" s="61">
        <f t="shared" si="0"/>
        <v>0</v>
      </c>
      <c r="F6" s="51"/>
      <c r="G6" s="52"/>
      <c r="H6" s="53">
        <f t="shared" si="1"/>
        <v>0</v>
      </c>
      <c r="I6" s="54"/>
    </row>
    <row r="7" spans="1:9" x14ac:dyDescent="0.25">
      <c r="A7" s="12"/>
      <c r="B7" s="33" t="s">
        <v>24</v>
      </c>
      <c r="C7" s="55">
        <f>SUM(C3:C6)</f>
        <v>0</v>
      </c>
      <c r="D7" s="55">
        <f>SUM(D3:D6)</f>
        <v>0</v>
      </c>
      <c r="E7" s="59">
        <f>SUM(E3:E6)</f>
        <v>0</v>
      </c>
      <c r="F7" s="56">
        <f>SUM(F3:F6)</f>
        <v>0</v>
      </c>
      <c r="G7" s="56">
        <f t="shared" ref="G7:H7" si="2">SUM(G3:G6)</f>
        <v>0</v>
      </c>
      <c r="H7" s="60">
        <f t="shared" si="2"/>
        <v>0</v>
      </c>
      <c r="I7" s="54"/>
    </row>
    <row r="8" spans="1:9" x14ac:dyDescent="0.25">
      <c r="A8" s="57"/>
      <c r="B8" s="57"/>
      <c r="C8" s="57"/>
      <c r="D8" s="57"/>
      <c r="E8" s="57"/>
      <c r="I8" s="54"/>
    </row>
    <row r="9" spans="1:9" x14ac:dyDescent="0.25">
      <c r="A9" s="57"/>
      <c r="B9" s="57"/>
      <c r="C9" s="57"/>
      <c r="D9" s="57"/>
      <c r="E9" s="57"/>
    </row>
    <row r="10" spans="1:9" x14ac:dyDescent="0.25">
      <c r="A10" s="57"/>
      <c r="B10" s="57"/>
      <c r="C10" s="57"/>
      <c r="D10" s="57"/>
      <c r="E10" s="57"/>
    </row>
    <row r="11" spans="1:9" x14ac:dyDescent="0.25">
      <c r="A11" s="57"/>
      <c r="B11" s="57"/>
      <c r="C11" s="57"/>
      <c r="D11" s="57"/>
      <c r="E11" s="57"/>
    </row>
    <row r="12" spans="1:9" x14ac:dyDescent="0.25">
      <c r="A12" s="57"/>
      <c r="B12" s="57"/>
      <c r="C12" s="57"/>
      <c r="D12" s="57"/>
      <c r="E12" s="57"/>
    </row>
    <row r="13" spans="1:9" x14ac:dyDescent="0.25">
      <c r="A13" s="57"/>
      <c r="B13" s="57"/>
      <c r="C13" s="57"/>
      <c r="D13" s="57"/>
      <c r="E13" s="57"/>
    </row>
    <row r="14" spans="1:9" x14ac:dyDescent="0.25">
      <c r="A14" s="57"/>
      <c r="B14" s="57"/>
      <c r="C14" s="57"/>
      <c r="D14" s="57"/>
      <c r="E14" s="57"/>
    </row>
    <row r="15" spans="1:9" x14ac:dyDescent="0.25">
      <c r="A15" s="57"/>
      <c r="B15" s="57"/>
      <c r="C15" s="57"/>
      <c r="D15" s="57"/>
      <c r="E15" s="5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688A-7A9E-4FEE-A45A-B328C56D6274}">
  <sheetPr>
    <pageSetUpPr fitToPage="1"/>
  </sheetPr>
  <dimension ref="A1:P57"/>
  <sheetViews>
    <sheetView tabSelected="1" topLeftCell="B1" zoomScale="55" zoomScaleNormal="55" workbookViewId="0">
      <pane ySplit="2" topLeftCell="A3" activePane="bottomLeft" state="frozen"/>
      <selection pane="bottomLeft" activeCell="C50" sqref="C50"/>
    </sheetView>
  </sheetViews>
  <sheetFormatPr defaultColWidth="9.140625" defaultRowHeight="15" outlineLevelRow="1" x14ac:dyDescent="0.25"/>
  <cols>
    <col min="1" max="1" width="6.5703125" style="215" customWidth="1"/>
    <col min="2" max="2" width="53.85546875" style="227" customWidth="1"/>
    <col min="3" max="7" width="18.7109375" style="215" customWidth="1"/>
    <col min="8" max="8" width="52" style="215" hidden="1" customWidth="1"/>
    <col min="9" max="9" width="89.7109375" style="298" hidden="1" customWidth="1"/>
    <col min="10" max="10" width="16.7109375" style="215" customWidth="1"/>
    <col min="11" max="11" width="17.85546875" style="215" customWidth="1"/>
    <col min="12" max="12" width="73.5703125" style="215" hidden="1" customWidth="1"/>
    <col min="13" max="13" width="26.85546875" style="299" customWidth="1"/>
    <col min="14" max="14" width="26.85546875" style="233" customWidth="1"/>
    <col min="15" max="15" width="23.7109375" style="215" customWidth="1"/>
    <col min="16" max="16" width="26.140625" style="215" customWidth="1"/>
    <col min="17" max="16384" width="9.140625" style="215"/>
  </cols>
  <sheetData>
    <row r="1" spans="1:16" ht="21" customHeight="1" x14ac:dyDescent="0.25">
      <c r="A1" s="208" t="s">
        <v>412</v>
      </c>
      <c r="B1" s="209"/>
      <c r="C1" s="208"/>
      <c r="D1" s="210" t="s">
        <v>413</v>
      </c>
      <c r="E1" s="210" t="s">
        <v>414</v>
      </c>
      <c r="F1" s="211" t="s">
        <v>415</v>
      </c>
      <c r="G1" s="211" t="s">
        <v>414</v>
      </c>
      <c r="H1" s="210" t="s">
        <v>416</v>
      </c>
      <c r="I1" s="210" t="s">
        <v>417</v>
      </c>
      <c r="J1" s="212" t="s">
        <v>418</v>
      </c>
      <c r="K1" s="212" t="s">
        <v>414</v>
      </c>
      <c r="L1" s="213" t="s">
        <v>419</v>
      </c>
      <c r="M1" s="214" t="s">
        <v>420</v>
      </c>
      <c r="N1" s="214" t="s">
        <v>421</v>
      </c>
    </row>
    <row r="2" spans="1:16" s="223" customFormat="1" x14ac:dyDescent="0.25">
      <c r="A2" s="216" t="s">
        <v>403</v>
      </c>
      <c r="B2" s="217" t="s">
        <v>405</v>
      </c>
      <c r="C2" s="216" t="s">
        <v>404</v>
      </c>
      <c r="D2" s="216"/>
      <c r="E2" s="218"/>
      <c r="F2" s="219"/>
      <c r="G2" s="218"/>
      <c r="H2" s="220"/>
      <c r="I2" s="221"/>
      <c r="J2" s="219"/>
      <c r="K2" s="218"/>
      <c r="L2" s="222"/>
      <c r="M2" s="214"/>
      <c r="N2" s="214"/>
    </row>
    <row r="3" spans="1:16" ht="35.25" customHeight="1" x14ac:dyDescent="0.25">
      <c r="A3" s="224">
        <v>1</v>
      </c>
      <c r="B3" s="225" t="s">
        <v>422</v>
      </c>
      <c r="C3" s="226">
        <v>12292609.449999999</v>
      </c>
      <c r="D3" s="226">
        <v>-853107.6</v>
      </c>
      <c r="E3" s="226">
        <f>C3+D3</f>
        <v>11439501.85</v>
      </c>
      <c r="F3" s="226">
        <v>-853107.6</v>
      </c>
      <c r="G3" s="226">
        <v>11439501.85</v>
      </c>
      <c r="H3" s="227" t="s">
        <v>423</v>
      </c>
      <c r="I3" s="228" t="s">
        <v>424</v>
      </c>
      <c r="J3" s="229">
        <f>K3-C3</f>
        <v>-853107.59999999963</v>
      </c>
      <c r="K3" s="226">
        <f>12292609.45-9418827.77+[11]АС1Площадка!L37</f>
        <v>11439501.85</v>
      </c>
      <c r="L3" s="230" t="s">
        <v>425</v>
      </c>
      <c r="M3" s="231">
        <f>K3</f>
        <v>11439501.85</v>
      </c>
      <c r="N3" s="232">
        <f>K3-[11]АС1Площадка!L37+[11]АС1Площадка!Y37</f>
        <v>12206807.35</v>
      </c>
      <c r="O3" s="233">
        <f t="shared" ref="O3:O30" si="0">N3-M3</f>
        <v>767305.5</v>
      </c>
      <c r="P3" s="215" t="s">
        <v>426</v>
      </c>
    </row>
    <row r="4" spans="1:16" ht="35.25" customHeight="1" x14ac:dyDescent="0.25">
      <c r="A4" s="224">
        <v>2</v>
      </c>
      <c r="B4" s="225" t="s">
        <v>349</v>
      </c>
      <c r="C4" s="226">
        <v>89859.26</v>
      </c>
      <c r="D4" s="226">
        <v>0</v>
      </c>
      <c r="E4" s="226">
        <f t="shared" ref="E4:E30" si="1">C4+D4</f>
        <v>89859.26</v>
      </c>
      <c r="F4" s="234" t="s">
        <v>427</v>
      </c>
      <c r="G4" s="234">
        <v>89859.26</v>
      </c>
      <c r="H4" s="235"/>
      <c r="I4" s="236"/>
      <c r="J4" s="234">
        <v>0</v>
      </c>
      <c r="K4" s="226">
        <f t="shared" ref="K4:K10" si="2">C4+J4</f>
        <v>89859.26</v>
      </c>
      <c r="L4" s="230" t="s">
        <v>425</v>
      </c>
      <c r="M4" s="231">
        <f>K4</f>
        <v>89859.26</v>
      </c>
      <c r="N4" s="232">
        <f t="shared" ref="N4:N8" si="3">K4</f>
        <v>89859.26</v>
      </c>
      <c r="O4" s="233">
        <f t="shared" si="0"/>
        <v>0</v>
      </c>
    </row>
    <row r="5" spans="1:16" ht="35.25" customHeight="1" x14ac:dyDescent="0.25">
      <c r="A5" s="224">
        <v>3</v>
      </c>
      <c r="B5" s="225" t="s">
        <v>350</v>
      </c>
      <c r="C5" s="226">
        <v>5641179.5499999998</v>
      </c>
      <c r="D5" s="226">
        <v>-315084.08999999997</v>
      </c>
      <c r="E5" s="226">
        <f t="shared" si="1"/>
        <v>5326095.46</v>
      </c>
      <c r="F5" s="234">
        <v>-57910.86</v>
      </c>
      <c r="G5" s="234">
        <f>5583268.69</f>
        <v>5583268.6900000004</v>
      </c>
      <c r="H5" s="237" t="s">
        <v>428</v>
      </c>
      <c r="I5" s="238" t="s">
        <v>429</v>
      </c>
      <c r="J5" s="234">
        <f>K5-C5</f>
        <v>-426137.67930719908</v>
      </c>
      <c r="K5" s="226">
        <f>'[11]ГСН VS'!Y87</f>
        <v>5215041.8706928007</v>
      </c>
      <c r="L5" s="239" t="s">
        <v>430</v>
      </c>
      <c r="M5" s="231">
        <f>'[11]ГСН VS'!L87</f>
        <v>5215041.9000000013</v>
      </c>
      <c r="N5" s="240">
        <f>M5</f>
        <v>5215041.9000000013</v>
      </c>
      <c r="O5" s="233">
        <f t="shared" si="0"/>
        <v>0</v>
      </c>
    </row>
    <row r="6" spans="1:16" ht="35.25" customHeight="1" x14ac:dyDescent="0.25">
      <c r="A6" s="224">
        <v>4</v>
      </c>
      <c r="B6" s="225" t="s">
        <v>351</v>
      </c>
      <c r="C6" s="226">
        <v>47174.400000000001</v>
      </c>
      <c r="D6" s="226">
        <v>-14515.2</v>
      </c>
      <c r="E6" s="226">
        <f t="shared" si="1"/>
        <v>32659.200000000001</v>
      </c>
      <c r="F6" s="234">
        <f>-11340</f>
        <v>-11340</v>
      </c>
      <c r="G6" s="234">
        <v>35834.400000000001</v>
      </c>
      <c r="H6" s="235" t="s">
        <v>431</v>
      </c>
      <c r="I6" s="238" t="s">
        <v>432</v>
      </c>
      <c r="J6" s="234">
        <f>D6</f>
        <v>-14515.2</v>
      </c>
      <c r="K6" s="226">
        <f t="shared" si="2"/>
        <v>32659.200000000001</v>
      </c>
      <c r="L6" s="241" t="s">
        <v>433</v>
      </c>
      <c r="M6" s="231">
        <v>32659.200000000001</v>
      </c>
      <c r="N6" s="232">
        <f t="shared" si="3"/>
        <v>32659.200000000001</v>
      </c>
      <c r="O6" s="233">
        <f t="shared" si="0"/>
        <v>0</v>
      </c>
    </row>
    <row r="7" spans="1:16" ht="35.25" customHeight="1" x14ac:dyDescent="0.25">
      <c r="A7" s="224">
        <v>5</v>
      </c>
      <c r="B7" s="225" t="s">
        <v>352</v>
      </c>
      <c r="C7" s="226">
        <v>8903413.1300000008</v>
      </c>
      <c r="D7" s="226">
        <v>-473869.28000000119</v>
      </c>
      <c r="E7" s="226">
        <f t="shared" si="1"/>
        <v>8429543.8499999996</v>
      </c>
      <c r="F7" s="234"/>
      <c r="G7" s="234">
        <v>8903413.1300000008</v>
      </c>
      <c r="H7" s="242" t="s">
        <v>434</v>
      </c>
      <c r="I7" s="243" t="s">
        <v>435</v>
      </c>
      <c r="J7" s="234">
        <f>K7-C7</f>
        <v>-473869.28000000119</v>
      </c>
      <c r="K7" s="226">
        <f>[11]КПКС!H97</f>
        <v>8429543.8499999996</v>
      </c>
      <c r="L7" s="239" t="s">
        <v>436</v>
      </c>
      <c r="M7" s="231">
        <f>K7</f>
        <v>8429543.8499999996</v>
      </c>
      <c r="N7" s="232">
        <f t="shared" si="3"/>
        <v>8429543.8499999996</v>
      </c>
      <c r="O7" s="233">
        <f t="shared" si="0"/>
        <v>0</v>
      </c>
    </row>
    <row r="8" spans="1:16" ht="35.25" customHeight="1" x14ac:dyDescent="0.25">
      <c r="A8" s="224">
        <v>6</v>
      </c>
      <c r="B8" s="225" t="s">
        <v>353</v>
      </c>
      <c r="C8" s="226">
        <v>630049.56999999995</v>
      </c>
      <c r="D8" s="226">
        <v>0</v>
      </c>
      <c r="E8" s="226">
        <f t="shared" si="1"/>
        <v>630049.56999999995</v>
      </c>
      <c r="F8" s="234" t="s">
        <v>427</v>
      </c>
      <c r="G8" s="234">
        <v>630049.56999999995</v>
      </c>
      <c r="H8" s="235"/>
      <c r="I8" s="236"/>
      <c r="J8" s="234">
        <v>0</v>
      </c>
      <c r="K8" s="226">
        <f t="shared" si="2"/>
        <v>630049.56999999995</v>
      </c>
      <c r="L8" s="230" t="s">
        <v>425</v>
      </c>
      <c r="M8" s="231">
        <f t="shared" ref="M8:M10" si="4">K8</f>
        <v>630049.56999999995</v>
      </c>
      <c r="N8" s="232">
        <f t="shared" si="3"/>
        <v>630049.56999999995</v>
      </c>
      <c r="O8" s="233">
        <f t="shared" si="0"/>
        <v>0</v>
      </c>
    </row>
    <row r="9" spans="1:16" ht="35.25" customHeight="1" x14ac:dyDescent="0.25">
      <c r="A9" s="224">
        <v>7</v>
      </c>
      <c r="B9" s="225" t="s">
        <v>354</v>
      </c>
      <c r="C9" s="226">
        <v>1516853.62</v>
      </c>
      <c r="D9" s="226">
        <v>0</v>
      </c>
      <c r="E9" s="226">
        <f t="shared" si="1"/>
        <v>1516853.62</v>
      </c>
      <c r="F9" s="234" t="s">
        <v>427</v>
      </c>
      <c r="G9" s="234">
        <v>1516853.62</v>
      </c>
      <c r="H9" s="235"/>
      <c r="I9" s="236"/>
      <c r="J9" s="234">
        <v>0</v>
      </c>
      <c r="K9" s="226">
        <f t="shared" si="2"/>
        <v>1516853.62</v>
      </c>
      <c r="L9" s="230" t="s">
        <v>425</v>
      </c>
      <c r="M9" s="231">
        <f t="shared" si="4"/>
        <v>1516853.62</v>
      </c>
      <c r="N9" s="240">
        <f>'[11]НВК2 VS'!Y51</f>
        <v>1468420.6479119998</v>
      </c>
      <c r="O9" s="233">
        <f t="shared" si="0"/>
        <v>-48432.972088000271</v>
      </c>
      <c r="P9" s="215" t="s">
        <v>437</v>
      </c>
    </row>
    <row r="10" spans="1:16" ht="35.25" customHeight="1" x14ac:dyDescent="0.25">
      <c r="A10" s="224">
        <v>8</v>
      </c>
      <c r="B10" s="225" t="s">
        <v>355</v>
      </c>
      <c r="C10" s="226">
        <v>22508536.09</v>
      </c>
      <c r="D10" s="226">
        <v>0</v>
      </c>
      <c r="E10" s="226">
        <f t="shared" si="1"/>
        <v>22508536.09</v>
      </c>
      <c r="F10" s="234" t="s">
        <v>427</v>
      </c>
      <c r="G10" s="234">
        <v>22508536.09</v>
      </c>
      <c r="H10" s="235"/>
      <c r="I10" s="236"/>
      <c r="J10" s="234">
        <v>0</v>
      </c>
      <c r="K10" s="226">
        <f t="shared" si="2"/>
        <v>22508536.09</v>
      </c>
      <c r="L10" s="230" t="s">
        <v>425</v>
      </c>
      <c r="M10" s="231">
        <f t="shared" si="4"/>
        <v>22508536.09</v>
      </c>
      <c r="N10" s="244">
        <f>'[12]Свод НВК3'!$I$14</f>
        <v>19131216.340293571</v>
      </c>
      <c r="O10" s="233">
        <f t="shared" si="0"/>
        <v>-3377319.7497064285</v>
      </c>
      <c r="P10" s="215" t="s">
        <v>438</v>
      </c>
    </row>
    <row r="11" spans="1:16" ht="35.25" customHeight="1" x14ac:dyDescent="0.25">
      <c r="A11" s="224">
        <v>9</v>
      </c>
      <c r="B11" s="225" t="s">
        <v>372</v>
      </c>
      <c r="C11" s="226">
        <v>7187698.04</v>
      </c>
      <c r="D11" s="226">
        <v>-1525895.5020000001</v>
      </c>
      <c r="E11" s="226">
        <f t="shared" si="1"/>
        <v>5661802.5379999997</v>
      </c>
      <c r="F11" s="234">
        <f>-242134.8</f>
        <v>-242134.8</v>
      </c>
      <c r="G11" s="234">
        <v>6945563.2400000002</v>
      </c>
      <c r="H11" s="237" t="s">
        <v>439</v>
      </c>
      <c r="I11" s="238" t="s">
        <v>440</v>
      </c>
      <c r="J11" s="234">
        <f>K11-C11</f>
        <v>-658941.27707200032</v>
      </c>
      <c r="K11" s="226">
        <f>3895549.61+'[11]К26-27 VS'!Y29+'[11]К16А VS'!Y76+80000+74700</f>
        <v>6528756.7629279997</v>
      </c>
      <c r="L11" s="245" t="s">
        <v>441</v>
      </c>
      <c r="M11" s="231">
        <f>M38+M39+M43+M44</f>
        <v>5748104.6579999998</v>
      </c>
      <c r="N11" s="232">
        <f>'[13]Свод НВК5'!$I$7</f>
        <v>5661185.0752488002</v>
      </c>
      <c r="O11" s="233">
        <f t="shared" si="0"/>
        <v>-86919.582751199603</v>
      </c>
      <c r="P11" s="215" t="s">
        <v>437</v>
      </c>
    </row>
    <row r="12" spans="1:16" ht="35.25" customHeight="1" x14ac:dyDescent="0.25">
      <c r="A12" s="224">
        <v>10</v>
      </c>
      <c r="B12" s="225" t="s">
        <v>442</v>
      </c>
      <c r="C12" s="226">
        <v>94808943.879999995</v>
      </c>
      <c r="D12" s="226">
        <v>-32605221.678299993</v>
      </c>
      <c r="E12" s="226">
        <f t="shared" si="1"/>
        <v>62203722.201700002</v>
      </c>
      <c r="F12" s="234">
        <f>G12-C12</f>
        <v>-755310.56000000238</v>
      </c>
      <c r="G12" s="234">
        <f>82478106.25+11575527.07</f>
        <v>94053633.319999993</v>
      </c>
      <c r="H12" s="237" t="s">
        <v>443</v>
      </c>
      <c r="I12" s="246" t="s">
        <v>444</v>
      </c>
      <c r="J12" s="234">
        <f>K12-C12</f>
        <v>-39154291.779999994</v>
      </c>
      <c r="K12" s="226">
        <v>55654652.100000001</v>
      </c>
      <c r="L12" s="245" t="s">
        <v>445</v>
      </c>
      <c r="M12" s="231">
        <f>'[11]ПЖ VS'!L116+M45</f>
        <v>1463649.5</v>
      </c>
      <c r="N12" s="240">
        <f>'[11]ПЖ VS'!Y116</f>
        <v>308.73600000000005</v>
      </c>
      <c r="O12" s="233">
        <f t="shared" si="0"/>
        <v>-1463340.764</v>
      </c>
      <c r="P12" s="215" t="s">
        <v>446</v>
      </c>
    </row>
    <row r="13" spans="1:16" ht="35.25" customHeight="1" x14ac:dyDescent="0.25">
      <c r="A13" s="224">
        <v>11</v>
      </c>
      <c r="B13" s="225" t="s">
        <v>447</v>
      </c>
      <c r="C13" s="226">
        <v>3434769.77</v>
      </c>
      <c r="D13" s="226">
        <v>-695456.72800000012</v>
      </c>
      <c r="E13" s="226">
        <f t="shared" si="1"/>
        <v>2739313.0419999999</v>
      </c>
      <c r="F13" s="234">
        <v>91721.86</v>
      </c>
      <c r="G13" s="234">
        <v>3526491.62</v>
      </c>
      <c r="H13" s="237" t="s">
        <v>448</v>
      </c>
      <c r="I13" s="228" t="s">
        <v>449</v>
      </c>
      <c r="J13" s="234">
        <f>K13-C13</f>
        <v>-97755.448184239678</v>
      </c>
      <c r="K13" s="226">
        <f>'[11]ТС2 VS'!Y187</f>
        <v>3337014.3218157603</v>
      </c>
      <c r="L13" s="245" t="s">
        <v>450</v>
      </c>
      <c r="M13" s="231">
        <f>'[11]ТС2 VS'!L187</f>
        <v>3337014.399999999</v>
      </c>
      <c r="N13" s="232">
        <f>M13</f>
        <v>3337014.399999999</v>
      </c>
      <c r="O13" s="233">
        <f t="shared" si="0"/>
        <v>0</v>
      </c>
    </row>
    <row r="14" spans="1:16" ht="35.25" customHeight="1" x14ac:dyDescent="0.25">
      <c r="A14" s="224">
        <v>12</v>
      </c>
      <c r="B14" s="225" t="s">
        <v>451</v>
      </c>
      <c r="C14" s="226">
        <v>5344436.47</v>
      </c>
      <c r="D14" s="226">
        <v>-648541.76</v>
      </c>
      <c r="E14" s="226">
        <f t="shared" si="1"/>
        <v>4695894.71</v>
      </c>
      <c r="F14" s="234">
        <v>-230459.88</v>
      </c>
      <c r="G14" s="234">
        <v>5113976.59</v>
      </c>
      <c r="H14" s="237" t="s">
        <v>452</v>
      </c>
      <c r="I14" s="228" t="s">
        <v>453</v>
      </c>
      <c r="J14" s="234">
        <v>-230459.88</v>
      </c>
      <c r="K14" s="226">
        <v>5113976.59</v>
      </c>
      <c r="L14" s="247" t="s">
        <v>454</v>
      </c>
      <c r="M14" s="231">
        <f>'[11]ТС3 VS'!L123</f>
        <v>5360061.5600000033</v>
      </c>
      <c r="N14" s="232">
        <f>M14</f>
        <v>5360061.5600000033</v>
      </c>
      <c r="O14" s="233">
        <f t="shared" si="0"/>
        <v>0</v>
      </c>
    </row>
    <row r="15" spans="1:16" ht="35.25" customHeight="1" x14ac:dyDescent="0.25">
      <c r="A15" s="224">
        <v>13</v>
      </c>
      <c r="B15" s="225" t="s">
        <v>381</v>
      </c>
      <c r="C15" s="226">
        <v>2140860.2799999998</v>
      </c>
      <c r="D15" s="226">
        <v>0</v>
      </c>
      <c r="E15" s="226">
        <f t="shared" si="1"/>
        <v>2140860.2799999998</v>
      </c>
      <c r="F15" s="234"/>
      <c r="G15" s="234">
        <v>2140860.2799999998</v>
      </c>
      <c r="H15" s="235"/>
      <c r="I15" s="236"/>
      <c r="J15" s="234">
        <f>D15</f>
        <v>0</v>
      </c>
      <c r="K15" s="226">
        <f>C15+J15</f>
        <v>2140860.2799999998</v>
      </c>
      <c r="L15" s="230" t="s">
        <v>425</v>
      </c>
      <c r="M15" s="231">
        <f>K15</f>
        <v>2140860.2799999998</v>
      </c>
      <c r="N15" s="232">
        <f>M15</f>
        <v>2140860.2799999998</v>
      </c>
      <c r="O15" s="233">
        <f t="shared" si="0"/>
        <v>0</v>
      </c>
    </row>
    <row r="16" spans="1:16" ht="35.25" customHeight="1" x14ac:dyDescent="0.25">
      <c r="A16" s="224">
        <v>14</v>
      </c>
      <c r="B16" s="225" t="s">
        <v>383</v>
      </c>
      <c r="C16" s="226">
        <v>912139.03</v>
      </c>
      <c r="D16" s="226">
        <v>0</v>
      </c>
      <c r="E16" s="226">
        <f t="shared" si="1"/>
        <v>912139.03</v>
      </c>
      <c r="F16" s="234"/>
      <c r="G16" s="234">
        <v>912139.03</v>
      </c>
      <c r="H16" s="235"/>
      <c r="I16" s="236"/>
      <c r="J16" s="234">
        <f t="shared" ref="J16:J17" si="5">D16</f>
        <v>0</v>
      </c>
      <c r="K16" s="226">
        <f t="shared" ref="K16:K17" si="6">C16+J16</f>
        <v>912139.03</v>
      </c>
      <c r="L16" s="230" t="s">
        <v>425</v>
      </c>
      <c r="M16" s="231">
        <f>K16</f>
        <v>912139.03</v>
      </c>
      <c r="N16" s="232">
        <f t="shared" ref="N16:N30" si="7">M16</f>
        <v>912139.03</v>
      </c>
      <c r="O16" s="233">
        <f t="shared" si="0"/>
        <v>0</v>
      </c>
    </row>
    <row r="17" spans="1:16" ht="35.25" customHeight="1" x14ac:dyDescent="0.25">
      <c r="A17" s="224">
        <v>15</v>
      </c>
      <c r="B17" s="225" t="s">
        <v>455</v>
      </c>
      <c r="C17" s="226">
        <v>6392727.4800000004</v>
      </c>
      <c r="D17" s="226">
        <v>0</v>
      </c>
      <c r="E17" s="226">
        <f t="shared" si="1"/>
        <v>6392727.4800000004</v>
      </c>
      <c r="F17" s="234"/>
      <c r="G17" s="234">
        <v>6392727.4800000004</v>
      </c>
      <c r="H17" s="235"/>
      <c r="I17" s="236"/>
      <c r="J17" s="234">
        <f t="shared" si="5"/>
        <v>0</v>
      </c>
      <c r="K17" s="226">
        <f t="shared" si="6"/>
        <v>6392727.4800000004</v>
      </c>
      <c r="L17" s="230" t="s">
        <v>425</v>
      </c>
      <c r="M17" s="231">
        <v>5674973.8799999999</v>
      </c>
      <c r="N17" s="244">
        <f>'[14]Свод ЭС2'!$I$8</f>
        <v>5358956.2465784</v>
      </c>
      <c r="O17" s="233">
        <f t="shared" si="0"/>
        <v>-316017.63342159986</v>
      </c>
      <c r="P17" s="215" t="s">
        <v>456</v>
      </c>
    </row>
    <row r="18" spans="1:16" ht="35.25" customHeight="1" x14ac:dyDescent="0.25">
      <c r="A18" s="224">
        <v>16</v>
      </c>
      <c r="B18" s="225" t="s">
        <v>398</v>
      </c>
      <c r="C18" s="226">
        <v>6467412.8399999999</v>
      </c>
      <c r="D18" s="226">
        <v>-449804.32</v>
      </c>
      <c r="E18" s="226">
        <f t="shared" si="1"/>
        <v>6017608.5199999996</v>
      </c>
      <c r="F18" s="234">
        <f>-175920.24</f>
        <v>-175920.24</v>
      </c>
      <c r="G18" s="226">
        <v>6289100.8200000003</v>
      </c>
      <c r="H18" s="237" t="s">
        <v>457</v>
      </c>
      <c r="I18" s="228" t="s">
        <v>458</v>
      </c>
      <c r="J18" s="234">
        <f>-175920.24</f>
        <v>-175920.24</v>
      </c>
      <c r="K18" s="226">
        <f>'[11]ТС1 VS'!Y172</f>
        <v>6284604.4055268131</v>
      </c>
      <c r="L18" s="247" t="s">
        <v>454</v>
      </c>
      <c r="M18" s="231">
        <f>'[11]ТС1 VS'!L172</f>
        <v>6284604.5089599993</v>
      </c>
      <c r="N18" s="232">
        <f t="shared" si="7"/>
        <v>6284604.5089599993</v>
      </c>
      <c r="O18" s="233">
        <f t="shared" si="0"/>
        <v>0</v>
      </c>
    </row>
    <row r="19" spans="1:16" ht="35.25" customHeight="1" x14ac:dyDescent="0.25">
      <c r="A19" s="224">
        <v>17</v>
      </c>
      <c r="B19" s="225" t="s">
        <v>459</v>
      </c>
      <c r="C19" s="226">
        <v>23327935.399999999</v>
      </c>
      <c r="D19" s="226">
        <v>-2187983.7800000003</v>
      </c>
      <c r="E19" s="226">
        <f t="shared" si="1"/>
        <v>21139951.619999997</v>
      </c>
      <c r="F19" s="234">
        <f>21987640.91-C19+1356682.99</f>
        <v>16388.50000000163</v>
      </c>
      <c r="G19" s="226">
        <v>23344323.899999999</v>
      </c>
      <c r="H19" s="237" t="s">
        <v>460</v>
      </c>
      <c r="I19" s="228" t="s">
        <v>461</v>
      </c>
      <c r="J19" s="234">
        <f>K19-C19</f>
        <v>-4186217.6946896017</v>
      </c>
      <c r="K19" s="226">
        <f>'[11]ГП1 VS'!Y50</f>
        <v>19141717.705310397</v>
      </c>
      <c r="L19" s="245" t="s">
        <v>462</v>
      </c>
      <c r="M19" s="231">
        <f>'[11]ГП1 VS'!L50</f>
        <v>21601715.095410399</v>
      </c>
      <c r="N19" s="248">
        <f>'[11]ГП1 VS'!Y50+[11]ГП1_1!Y22</f>
        <v>20395444.025616959</v>
      </c>
      <c r="O19" s="233">
        <f t="shared" si="0"/>
        <v>-1206271.0697934404</v>
      </c>
      <c r="P19" s="215" t="s">
        <v>463</v>
      </c>
    </row>
    <row r="20" spans="1:16" ht="35.25" customHeight="1" x14ac:dyDescent="0.25">
      <c r="A20" s="224">
        <v>18</v>
      </c>
      <c r="B20" s="225" t="s">
        <v>464</v>
      </c>
      <c r="C20" s="226">
        <v>69943671.159999996</v>
      </c>
      <c r="D20" s="226">
        <v>-3036616.96</v>
      </c>
      <c r="E20" s="226">
        <f t="shared" si="1"/>
        <v>66907054.199999996</v>
      </c>
      <c r="F20" s="234">
        <f>70238390.81-C20</f>
        <v>294719.65000000596</v>
      </c>
      <c r="G20" s="226">
        <v>70238390.810000002</v>
      </c>
      <c r="H20" s="237" t="s">
        <v>465</v>
      </c>
      <c r="I20" s="228" t="s">
        <v>466</v>
      </c>
      <c r="J20" s="234">
        <f>K20-C20</f>
        <v>-4458381.614416793</v>
      </c>
      <c r="K20" s="226">
        <f>'[11]ГП2 VS'!Y161</f>
        <v>65485289.545583203</v>
      </c>
      <c r="L20" s="245" t="s">
        <v>467</v>
      </c>
      <c r="M20" s="231">
        <f>'[11]ГП2 VS'!L161</f>
        <v>68519507.880941376</v>
      </c>
      <c r="N20" s="248">
        <f>'[11]ГП2 VS'!Y161</f>
        <v>65485289.545583203</v>
      </c>
      <c r="O20" s="233">
        <f t="shared" si="0"/>
        <v>-3034218.3353581727</v>
      </c>
      <c r="P20" s="215" t="s">
        <v>468</v>
      </c>
    </row>
    <row r="21" spans="1:16" ht="35.25" customHeight="1" x14ac:dyDescent="0.25">
      <c r="A21" s="224">
        <v>19</v>
      </c>
      <c r="B21" s="225" t="s">
        <v>401</v>
      </c>
      <c r="C21" s="226">
        <v>8548320.6400000006</v>
      </c>
      <c r="D21" s="226">
        <v>-1856160.4494999999</v>
      </c>
      <c r="E21" s="226">
        <f t="shared" si="1"/>
        <v>6692160.1905000005</v>
      </c>
      <c r="F21" s="234"/>
      <c r="G21" s="226">
        <v>8548320.6400000006</v>
      </c>
      <c r="H21" s="237" t="s">
        <v>469</v>
      </c>
      <c r="I21" s="228" t="s">
        <v>470</v>
      </c>
      <c r="J21" s="234">
        <f>K21-C21</f>
        <v>-1947303.140060002</v>
      </c>
      <c r="K21" s="226">
        <f>'[11]АС4 VS'!Y61</f>
        <v>6601017.4999399986</v>
      </c>
      <c r="L21" s="245" t="s">
        <v>471</v>
      </c>
      <c r="M21" s="231">
        <f>'[11]АС4 VS'!L61</f>
        <v>7506792.3719999995</v>
      </c>
      <c r="N21" s="248">
        <f>'[11]АС4 VS'!Y61</f>
        <v>6601017.4999399986</v>
      </c>
      <c r="O21" s="233">
        <f t="shared" si="0"/>
        <v>-905774.8720600009</v>
      </c>
      <c r="P21" s="215" t="s">
        <v>472</v>
      </c>
    </row>
    <row r="22" spans="1:16" ht="35.25" customHeight="1" x14ac:dyDescent="0.25">
      <c r="A22" s="224">
        <v>20</v>
      </c>
      <c r="B22" s="225" t="s">
        <v>367</v>
      </c>
      <c r="C22" s="226">
        <v>3122837.65</v>
      </c>
      <c r="D22" s="226">
        <v>0</v>
      </c>
      <c r="E22" s="226">
        <f t="shared" si="1"/>
        <v>3122837.65</v>
      </c>
      <c r="F22" s="234">
        <f>G22-C22</f>
        <v>106235.01000000024</v>
      </c>
      <c r="G22" s="226">
        <v>3229072.66</v>
      </c>
      <c r="H22" s="235"/>
      <c r="I22" s="238" t="s">
        <v>473</v>
      </c>
      <c r="J22" s="234">
        <f>K22-C22</f>
        <v>9580.6763256001286</v>
      </c>
      <c r="K22" s="226">
        <f>2716743.61+'[11]К10-К10А VS'!Y41</f>
        <v>3132418.3263256</v>
      </c>
      <c r="L22" s="245" t="s">
        <v>474</v>
      </c>
      <c r="M22" s="231">
        <f>M37+M40+M41+M42</f>
        <v>2911209.3400000003</v>
      </c>
      <c r="N22" s="244">
        <f>'[15]Свод НВК4'!$I$7</f>
        <v>2819894.7165271998</v>
      </c>
      <c r="O22" s="233">
        <f t="shared" si="0"/>
        <v>-91314.623472800478</v>
      </c>
      <c r="P22" s="215" t="s">
        <v>437</v>
      </c>
    </row>
    <row r="23" spans="1:16" ht="35.25" customHeight="1" x14ac:dyDescent="0.25">
      <c r="A23" s="224">
        <v>21</v>
      </c>
      <c r="B23" s="225" t="s">
        <v>475</v>
      </c>
      <c r="C23" s="226">
        <v>1894010.89</v>
      </c>
      <c r="D23" s="226">
        <v>0</v>
      </c>
      <c r="E23" s="226">
        <f t="shared" si="1"/>
        <v>1894010.89</v>
      </c>
      <c r="F23" s="234"/>
      <c r="G23" s="226">
        <v>1894010.89</v>
      </c>
      <c r="H23" s="249"/>
      <c r="I23" s="250" t="s">
        <v>476</v>
      </c>
      <c r="J23" s="234">
        <v>0</v>
      </c>
      <c r="K23" s="226">
        <f>C23+J23</f>
        <v>1894010.89</v>
      </c>
      <c r="L23" s="230" t="s">
        <v>425</v>
      </c>
      <c r="M23" s="231">
        <f>K23</f>
        <v>1894010.89</v>
      </c>
      <c r="N23" s="232">
        <f t="shared" si="7"/>
        <v>1894010.89</v>
      </c>
      <c r="O23" s="233">
        <f t="shared" si="0"/>
        <v>0</v>
      </c>
    </row>
    <row r="24" spans="1:16" ht="35.25" customHeight="1" x14ac:dyDescent="0.25">
      <c r="A24" s="224">
        <v>22</v>
      </c>
      <c r="B24" s="225" t="s">
        <v>477</v>
      </c>
      <c r="C24" s="226">
        <v>771191.87</v>
      </c>
      <c r="D24" s="226">
        <v>0</v>
      </c>
      <c r="E24" s="226">
        <f t="shared" si="1"/>
        <v>771191.87</v>
      </c>
      <c r="F24" s="234"/>
      <c r="G24" s="226">
        <v>771191.87</v>
      </c>
      <c r="H24" s="235"/>
      <c r="I24" s="236"/>
      <c r="J24" s="234">
        <v>0</v>
      </c>
      <c r="K24" s="226">
        <f t="shared" ref="K24:K32" si="8">C24+J24</f>
        <v>771191.87</v>
      </c>
      <c r="L24" s="230" t="s">
        <v>425</v>
      </c>
      <c r="M24" s="231">
        <f>K24</f>
        <v>771191.87</v>
      </c>
      <c r="N24" s="232">
        <f t="shared" si="7"/>
        <v>771191.87</v>
      </c>
      <c r="O24" s="233">
        <f t="shared" si="0"/>
        <v>0</v>
      </c>
    </row>
    <row r="25" spans="1:16" ht="35.25" customHeight="1" x14ac:dyDescent="0.25">
      <c r="A25" s="224">
        <v>23</v>
      </c>
      <c r="B25" s="225" t="s">
        <v>478</v>
      </c>
      <c r="C25" s="226">
        <v>109388.95</v>
      </c>
      <c r="D25" s="226">
        <v>-109388.95</v>
      </c>
      <c r="E25" s="226">
        <f t="shared" si="1"/>
        <v>0</v>
      </c>
      <c r="F25" s="234">
        <f>-C25</f>
        <v>-109388.95</v>
      </c>
      <c r="G25" s="226"/>
      <c r="H25" s="242" t="s">
        <v>479</v>
      </c>
      <c r="I25" s="228" t="s">
        <v>480</v>
      </c>
      <c r="J25" s="234">
        <f>D25</f>
        <v>-109388.95</v>
      </c>
      <c r="K25" s="226">
        <f t="shared" si="8"/>
        <v>0</v>
      </c>
      <c r="L25" s="230" t="s">
        <v>425</v>
      </c>
      <c r="M25" s="231"/>
      <c r="N25" s="232"/>
      <c r="O25" s="233">
        <f t="shared" si="0"/>
        <v>0</v>
      </c>
    </row>
    <row r="26" spans="1:16" ht="35.25" customHeight="1" x14ac:dyDescent="0.25">
      <c r="A26" s="224">
        <v>24</v>
      </c>
      <c r="B26" s="225" t="s">
        <v>481</v>
      </c>
      <c r="C26" s="226">
        <v>1513846.08</v>
      </c>
      <c r="D26" s="226">
        <v>-1513846.08</v>
      </c>
      <c r="E26" s="226">
        <f t="shared" si="1"/>
        <v>0</v>
      </c>
      <c r="F26" s="234">
        <v>-1513846.08</v>
      </c>
      <c r="G26" s="226"/>
      <c r="H26" s="235" t="s">
        <v>482</v>
      </c>
      <c r="I26" s="236" t="s">
        <v>483</v>
      </c>
      <c r="J26" s="234">
        <f t="shared" ref="J26:J27" si="9">D26</f>
        <v>-1513846.08</v>
      </c>
      <c r="K26" s="226">
        <f t="shared" si="8"/>
        <v>0</v>
      </c>
      <c r="L26" s="230" t="s">
        <v>425</v>
      </c>
      <c r="M26" s="231"/>
      <c r="N26" s="232"/>
      <c r="O26" s="233">
        <f t="shared" si="0"/>
        <v>0</v>
      </c>
    </row>
    <row r="27" spans="1:16" ht="35.25" customHeight="1" x14ac:dyDescent="0.25">
      <c r="A27" s="224">
        <v>25</v>
      </c>
      <c r="B27" s="225" t="s">
        <v>484</v>
      </c>
      <c r="C27" s="226">
        <v>205626.28</v>
      </c>
      <c r="D27" s="226">
        <v>-205626.28</v>
      </c>
      <c r="E27" s="226">
        <f t="shared" si="1"/>
        <v>0</v>
      </c>
      <c r="F27" s="234">
        <v>-205626.28</v>
      </c>
      <c r="G27" s="226"/>
      <c r="H27" s="235" t="s">
        <v>482</v>
      </c>
      <c r="I27" s="236" t="s">
        <v>483</v>
      </c>
      <c r="J27" s="234">
        <f t="shared" si="9"/>
        <v>-205626.28</v>
      </c>
      <c r="K27" s="226">
        <f t="shared" si="8"/>
        <v>0</v>
      </c>
      <c r="L27" s="230" t="s">
        <v>425</v>
      </c>
      <c r="M27" s="231"/>
      <c r="N27" s="232"/>
      <c r="O27" s="233">
        <f t="shared" si="0"/>
        <v>0</v>
      </c>
    </row>
    <row r="28" spans="1:16" ht="35.25" customHeight="1" x14ac:dyDescent="0.25">
      <c r="A28" s="224">
        <v>26</v>
      </c>
      <c r="B28" s="225" t="s">
        <v>394</v>
      </c>
      <c r="C28" s="226">
        <v>148688.69</v>
      </c>
      <c r="D28" s="226">
        <v>0</v>
      </c>
      <c r="E28" s="226">
        <f t="shared" si="1"/>
        <v>148688.69</v>
      </c>
      <c r="F28" s="234" t="s">
        <v>427</v>
      </c>
      <c r="G28" s="226">
        <v>148688.69</v>
      </c>
      <c r="H28" s="235"/>
      <c r="I28" s="236"/>
      <c r="J28" s="234">
        <v>0</v>
      </c>
      <c r="K28" s="226">
        <f t="shared" si="8"/>
        <v>148688.69</v>
      </c>
      <c r="L28" s="230" t="s">
        <v>425</v>
      </c>
      <c r="M28" s="231">
        <f>K28</f>
        <v>148688.69</v>
      </c>
      <c r="N28" s="232">
        <f t="shared" si="7"/>
        <v>148688.69</v>
      </c>
      <c r="O28" s="233">
        <f t="shared" si="0"/>
        <v>0</v>
      </c>
    </row>
    <row r="29" spans="1:16" ht="35.25" customHeight="1" x14ac:dyDescent="0.25">
      <c r="A29" s="224">
        <v>27</v>
      </c>
      <c r="B29" s="225" t="s">
        <v>395</v>
      </c>
      <c r="C29" s="226">
        <v>554638.52</v>
      </c>
      <c r="D29" s="226">
        <v>0</v>
      </c>
      <c r="E29" s="226">
        <f t="shared" si="1"/>
        <v>554638.52</v>
      </c>
      <c r="F29" s="234"/>
      <c r="G29" s="226">
        <v>554638.52</v>
      </c>
      <c r="H29" s="251"/>
      <c r="I29" s="236"/>
      <c r="J29" s="234">
        <v>0</v>
      </c>
      <c r="K29" s="226">
        <f t="shared" si="8"/>
        <v>554638.52</v>
      </c>
      <c r="L29" s="230" t="s">
        <v>425</v>
      </c>
      <c r="M29" s="231">
        <f t="shared" ref="M29:M30" si="10">K29</f>
        <v>554638.52</v>
      </c>
      <c r="N29" s="232">
        <f t="shared" si="7"/>
        <v>554638.52</v>
      </c>
      <c r="O29" s="233">
        <f t="shared" si="0"/>
        <v>0</v>
      </c>
    </row>
    <row r="30" spans="1:16" ht="35.25" customHeight="1" x14ac:dyDescent="0.25">
      <c r="A30" s="224">
        <v>28</v>
      </c>
      <c r="B30" s="225" t="s">
        <v>396</v>
      </c>
      <c r="C30" s="226">
        <v>557534.86</v>
      </c>
      <c r="D30" s="226">
        <v>0</v>
      </c>
      <c r="E30" s="226">
        <f t="shared" si="1"/>
        <v>557534.86</v>
      </c>
      <c r="F30" s="234" t="s">
        <v>427</v>
      </c>
      <c r="G30" s="226">
        <v>557534.86</v>
      </c>
      <c r="H30" s="251"/>
      <c r="I30" s="236"/>
      <c r="J30" s="234">
        <v>0</v>
      </c>
      <c r="K30" s="226">
        <f t="shared" si="8"/>
        <v>557534.86</v>
      </c>
      <c r="L30" s="230" t="s">
        <v>425</v>
      </c>
      <c r="M30" s="231">
        <f t="shared" si="10"/>
        <v>557534.86</v>
      </c>
      <c r="N30" s="232">
        <f t="shared" si="7"/>
        <v>557534.86</v>
      </c>
      <c r="O30" s="233">
        <f t="shared" si="0"/>
        <v>0</v>
      </c>
    </row>
    <row r="31" spans="1:16" ht="35.25" customHeight="1" x14ac:dyDescent="0.25">
      <c r="A31" s="224">
        <v>29</v>
      </c>
      <c r="B31" s="225" t="s">
        <v>485</v>
      </c>
      <c r="C31" s="226"/>
      <c r="D31" s="226"/>
      <c r="E31" s="226"/>
      <c r="F31" s="234"/>
      <c r="G31" s="226">
        <v>495495.94</v>
      </c>
      <c r="H31" s="251"/>
      <c r="I31" s="238" t="s">
        <v>486</v>
      </c>
      <c r="J31" s="252"/>
      <c r="K31" s="226">
        <f t="shared" si="8"/>
        <v>0</v>
      </c>
      <c r="L31" s="253" t="s">
        <v>487</v>
      </c>
      <c r="M31" s="231"/>
      <c r="N31" s="254"/>
      <c r="O31" s="233"/>
    </row>
    <row r="32" spans="1:16" ht="35.25" customHeight="1" x14ac:dyDescent="0.25">
      <c r="A32" s="224">
        <v>30</v>
      </c>
      <c r="B32" s="225" t="s">
        <v>488</v>
      </c>
      <c r="C32" s="226"/>
      <c r="D32" s="226"/>
      <c r="E32" s="226"/>
      <c r="F32" s="234"/>
      <c r="G32" s="226">
        <v>168573.56</v>
      </c>
      <c r="H32" s="251"/>
      <c r="I32" s="238" t="s">
        <v>489</v>
      </c>
      <c r="J32" s="252"/>
      <c r="K32" s="226">
        <f t="shared" si="8"/>
        <v>0</v>
      </c>
      <c r="L32" s="253" t="s">
        <v>487</v>
      </c>
      <c r="M32" s="231"/>
      <c r="N32" s="254"/>
      <c r="O32" s="233"/>
    </row>
    <row r="33" spans="1:15" ht="35.25" customHeight="1" x14ac:dyDescent="0.25">
      <c r="A33" s="255"/>
      <c r="B33" s="256"/>
      <c r="C33" s="257"/>
      <c r="D33" s="257"/>
      <c r="E33" s="257"/>
      <c r="F33" s="258"/>
      <c r="G33" s="257"/>
      <c r="H33" s="251"/>
      <c r="I33" s="236"/>
      <c r="J33" s="236"/>
      <c r="K33" s="259">
        <f>SUM(K3:K32)</f>
        <v>234513284.18812263</v>
      </c>
      <c r="L33" s="260"/>
      <c r="M33" s="261">
        <f>SUM(M3:M32)</f>
        <v>185248742.67531177</v>
      </c>
      <c r="N33" s="262">
        <f>SUM(N3:N32)</f>
        <v>175486438.57266015</v>
      </c>
      <c r="O33" s="233"/>
    </row>
    <row r="34" spans="1:15" ht="35.25" customHeight="1" x14ac:dyDescent="0.25">
      <c r="A34" s="255"/>
      <c r="B34" s="256" t="s">
        <v>490</v>
      </c>
      <c r="C34" s="257"/>
      <c r="D34" s="263">
        <v>-5712115.5</v>
      </c>
      <c r="E34" s="263">
        <f>D34</f>
        <v>-5712115.5</v>
      </c>
      <c r="F34" s="264"/>
      <c r="G34" s="263"/>
      <c r="H34" s="265" t="s">
        <v>491</v>
      </c>
      <c r="I34" s="266" t="s">
        <v>492</v>
      </c>
      <c r="J34" s="263">
        <f>K34-D34</f>
        <v>3519557.5</v>
      </c>
      <c r="K34" s="263">
        <f>'[11]Резка+погр'!D30</f>
        <v>-2192558</v>
      </c>
      <c r="L34" s="267" t="s">
        <v>493</v>
      </c>
      <c r="M34" s="231">
        <v>0</v>
      </c>
      <c r="N34" s="268">
        <v>0</v>
      </c>
      <c r="O34" s="233"/>
    </row>
    <row r="35" spans="1:15" ht="35.25" customHeight="1" x14ac:dyDescent="0.25">
      <c r="A35" s="255"/>
      <c r="B35" s="256" t="s">
        <v>494</v>
      </c>
      <c r="C35" s="257"/>
      <c r="D35" s="263">
        <f>-1000000*16</f>
        <v>-16000000</v>
      </c>
      <c r="E35" s="263">
        <f>D35</f>
        <v>-16000000</v>
      </c>
      <c r="F35" s="264"/>
      <c r="G35" s="263"/>
      <c r="H35" s="251" t="s">
        <v>495</v>
      </c>
      <c r="I35" s="236" t="s">
        <v>496</v>
      </c>
      <c r="J35" s="263">
        <f>D35</f>
        <v>-16000000</v>
      </c>
      <c r="K35" s="263">
        <f>J35</f>
        <v>-16000000</v>
      </c>
      <c r="L35" s="269" t="s">
        <v>497</v>
      </c>
      <c r="M35" s="270">
        <v>-16000000</v>
      </c>
      <c r="N35" s="270">
        <v>-16000000</v>
      </c>
      <c r="O35" s="233"/>
    </row>
    <row r="36" spans="1:15" s="279" customFormat="1" ht="35.25" customHeight="1" x14ac:dyDescent="0.25">
      <c r="A36" s="271"/>
      <c r="B36" s="272" t="s">
        <v>498</v>
      </c>
      <c r="C36" s="273">
        <f>SUM(C3:C35)</f>
        <v>289016353.8499999</v>
      </c>
      <c r="D36" s="273">
        <f>SUM(D3:D35)</f>
        <v>-68203234.157799989</v>
      </c>
      <c r="E36" s="273">
        <f>SUM(E3:E35)</f>
        <v>220813119.69220001</v>
      </c>
      <c r="F36" s="274">
        <f>SUM(F3:F35)</f>
        <v>-3645980.2299999935</v>
      </c>
      <c r="G36" s="273">
        <f>SUM(G3:G35)</f>
        <v>286032051.32999998</v>
      </c>
      <c r="H36" s="275"/>
      <c r="I36" s="271"/>
      <c r="J36" s="273">
        <f>SUM(J3:J35)</f>
        <v>-66976623.967404239</v>
      </c>
      <c r="K36" s="273">
        <f>K33+K34+K35</f>
        <v>216320726.18812263</v>
      </c>
      <c r="L36" s="275"/>
      <c r="M36" s="276">
        <f>M33+M35</f>
        <v>169248742.67531177</v>
      </c>
      <c r="N36" s="277">
        <f>N33+N35</f>
        <v>159486438.57266015</v>
      </c>
      <c r="O36" s="278"/>
    </row>
    <row r="37" spans="1:15" s="283" customFormat="1" ht="18.75" hidden="1" customHeight="1" outlineLevel="1" x14ac:dyDescent="0.25">
      <c r="A37" s="280"/>
      <c r="B37" s="281" t="s">
        <v>371</v>
      </c>
      <c r="C37" s="282"/>
      <c r="D37" s="282"/>
      <c r="E37" s="282"/>
      <c r="F37" s="282"/>
      <c r="G37" s="282"/>
      <c r="I37" s="280"/>
      <c r="J37" s="282"/>
      <c r="K37" s="282"/>
      <c r="M37" s="284">
        <f>'[11]К10-К10А VS'!L41</f>
        <v>462113.73</v>
      </c>
      <c r="N37" s="283" t="s">
        <v>499</v>
      </c>
    </row>
    <row r="38" spans="1:15" s="283" customFormat="1" ht="18.75" hidden="1" customHeight="1" outlineLevel="1" x14ac:dyDescent="0.25">
      <c r="B38" s="281" t="s">
        <v>500</v>
      </c>
      <c r="D38" s="285"/>
      <c r="E38" s="285"/>
      <c r="F38" s="285"/>
      <c r="G38" s="285"/>
      <c r="I38" s="286"/>
      <c r="J38" s="285"/>
      <c r="K38" s="285"/>
      <c r="M38" s="284">
        <f>'[11]К16А VS'!L76</f>
        <v>1533023.57</v>
      </c>
      <c r="N38" s="283" t="s">
        <v>372</v>
      </c>
    </row>
    <row r="39" spans="1:15" s="283" customFormat="1" ht="18.75" hidden="1" customHeight="1" outlineLevel="1" x14ac:dyDescent="0.25">
      <c r="B39" s="281" t="s">
        <v>501</v>
      </c>
      <c r="D39" s="285"/>
      <c r="E39" s="285"/>
      <c r="F39" s="285"/>
      <c r="G39" s="285"/>
      <c r="I39" s="286"/>
      <c r="J39" s="285"/>
      <c r="K39" s="285"/>
      <c r="M39" s="284">
        <f>'[11]К26-27 VS'!L29</f>
        <v>1177198.2579999999</v>
      </c>
      <c r="N39" s="283" t="s">
        <v>372</v>
      </c>
    </row>
    <row r="40" spans="1:15" s="283" customFormat="1" ht="18.75" hidden="1" customHeight="1" outlineLevel="1" x14ac:dyDescent="0.25">
      <c r="B40" s="281" t="s">
        <v>368</v>
      </c>
      <c r="D40" s="285"/>
      <c r="E40" s="285"/>
      <c r="F40" s="285"/>
      <c r="G40" s="285"/>
      <c r="I40" s="286"/>
      <c r="J40" s="285"/>
      <c r="K40" s="285"/>
      <c r="M40" s="284">
        <v>1998309.08</v>
      </c>
      <c r="N40" s="283" t="s">
        <v>499</v>
      </c>
    </row>
    <row r="41" spans="1:15" s="283" customFormat="1" ht="18.75" hidden="1" customHeight="1" outlineLevel="1" x14ac:dyDescent="0.25">
      <c r="B41" s="281" t="s">
        <v>369</v>
      </c>
      <c r="D41" s="285"/>
      <c r="E41" s="285"/>
      <c r="F41" s="285"/>
      <c r="G41" s="285"/>
      <c r="I41" s="286"/>
      <c r="J41" s="285"/>
      <c r="K41" s="285"/>
      <c r="M41" s="284">
        <v>129726.93</v>
      </c>
      <c r="N41" s="283" t="s">
        <v>499</v>
      </c>
    </row>
    <row r="42" spans="1:15" s="283" customFormat="1" ht="18.75" hidden="1" customHeight="1" outlineLevel="1" x14ac:dyDescent="0.25">
      <c r="B42" s="281" t="s">
        <v>370</v>
      </c>
      <c r="D42" s="285"/>
      <c r="E42" s="285"/>
      <c r="F42" s="285"/>
      <c r="G42" s="285"/>
      <c r="I42" s="286"/>
      <c r="J42" s="285"/>
      <c r="K42" s="285"/>
      <c r="M42" s="284">
        <v>321059.60000000003</v>
      </c>
      <c r="N42" s="283" t="s">
        <v>499</v>
      </c>
    </row>
    <row r="43" spans="1:15" s="283" customFormat="1" ht="18.75" hidden="1" customHeight="1" outlineLevel="1" x14ac:dyDescent="0.25">
      <c r="B43" s="281" t="s">
        <v>374</v>
      </c>
      <c r="D43" s="285"/>
      <c r="E43" s="285"/>
      <c r="F43" s="285"/>
      <c r="G43" s="285"/>
      <c r="I43" s="286"/>
      <c r="J43" s="285"/>
      <c r="K43" s="285"/>
      <c r="M43" s="284">
        <v>2510138.25</v>
      </c>
      <c r="N43" s="283" t="s">
        <v>372</v>
      </c>
    </row>
    <row r="44" spans="1:15" s="283" customFormat="1" ht="18.75" hidden="1" customHeight="1" outlineLevel="1" x14ac:dyDescent="0.25">
      <c r="B44" s="281" t="s">
        <v>375</v>
      </c>
      <c r="D44" s="285"/>
      <c r="E44" s="285"/>
      <c r="F44" s="285"/>
      <c r="G44" s="285"/>
      <c r="I44" s="286"/>
      <c r="J44" s="285"/>
      <c r="K44" s="285"/>
      <c r="M44" s="284">
        <v>527744.57999999996</v>
      </c>
      <c r="N44" s="283" t="s">
        <v>372</v>
      </c>
    </row>
    <row r="45" spans="1:15" s="283" customFormat="1" ht="18.75" customHeight="1" collapsed="1" x14ac:dyDescent="0.25">
      <c r="B45" s="281"/>
      <c r="D45" s="285"/>
      <c r="E45" s="285"/>
      <c r="F45" s="285"/>
      <c r="G45" s="285"/>
      <c r="I45" s="286"/>
      <c r="J45" s="285"/>
      <c r="K45" s="285"/>
      <c r="M45" s="284">
        <v>1463340.76</v>
      </c>
      <c r="N45" s="283" t="s">
        <v>502</v>
      </c>
    </row>
    <row r="46" spans="1:15" s="227" customFormat="1" ht="31.15" customHeight="1" x14ac:dyDescent="0.25">
      <c r="F46" s="287" t="s">
        <v>503</v>
      </c>
      <c r="G46" s="288">
        <v>219268688</v>
      </c>
      <c r="I46" s="289"/>
      <c r="K46" s="290"/>
      <c r="M46" s="291"/>
      <c r="N46" s="292"/>
    </row>
    <row r="47" spans="1:15" s="227" customFormat="1" ht="31.15" customHeight="1" x14ac:dyDescent="0.25">
      <c r="E47" s="292"/>
      <c r="F47" s="288" t="s">
        <v>504</v>
      </c>
      <c r="G47" s="288">
        <v>3999999</v>
      </c>
      <c r="I47" s="289"/>
      <c r="J47" s="292"/>
      <c r="K47" s="290"/>
      <c r="L47" s="292"/>
      <c r="M47" s="291"/>
      <c r="N47" s="292"/>
    </row>
    <row r="48" spans="1:15" s="227" customFormat="1" ht="31.15" customHeight="1" x14ac:dyDescent="0.25">
      <c r="F48" s="293" t="s">
        <v>505</v>
      </c>
      <c r="G48" s="294">
        <f>SUM(G46:G47)</f>
        <v>223268687</v>
      </c>
      <c r="I48" s="295"/>
      <c r="K48" s="290"/>
      <c r="M48" s="291"/>
      <c r="N48" s="292"/>
    </row>
    <row r="49" spans="6:14" s="227" customFormat="1" ht="31.15" customHeight="1" x14ac:dyDescent="0.25">
      <c r="F49" s="287" t="s">
        <v>506</v>
      </c>
      <c r="G49" s="288">
        <f>N36</f>
        <v>159486438.57266015</v>
      </c>
      <c r="I49" s="295"/>
      <c r="K49" s="296"/>
      <c r="M49" s="291"/>
      <c r="N49" s="292"/>
    </row>
    <row r="50" spans="6:14" s="227" customFormat="1" ht="31.15" customHeight="1" x14ac:dyDescent="0.25">
      <c r="F50" s="293" t="s">
        <v>507</v>
      </c>
      <c r="G50" s="297">
        <f>G49-G48</f>
        <v>-63782248.427339852</v>
      </c>
      <c r="I50" s="295"/>
      <c r="K50" s="292"/>
      <c r="M50" s="291"/>
      <c r="N50" s="292"/>
    </row>
    <row r="51" spans="6:14" x14ac:dyDescent="0.25">
      <c r="K51" s="233"/>
    </row>
    <row r="52" spans="6:14" x14ac:dyDescent="0.25">
      <c r="K52" s="233"/>
    </row>
    <row r="53" spans="6:14" x14ac:dyDescent="0.25">
      <c r="L53" s="233"/>
    </row>
    <row r="57" spans="6:14" x14ac:dyDescent="0.25">
      <c r="G57" s="233"/>
      <c r="J57" s="233"/>
    </row>
  </sheetData>
  <conditionalFormatting sqref="O3:O30">
    <cfRule type="cellIs" dxfId="11" priority="2" operator="lessThan">
      <formula>0</formula>
    </cfRule>
  </conditionalFormatting>
  <conditionalFormatting sqref="O3:O30">
    <cfRule type="cellIs" dxfId="10" priority="1" operator="greaterThan">
      <formula>0</formula>
    </cfRule>
  </conditionalFormatting>
  <pageMargins left="0.7" right="0.7" top="0.75" bottom="0.75" header="0.3" footer="0.3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6E81-50C6-4F39-8D8C-D88643FAEEA5}">
  <sheetPr>
    <tabColor rgb="FF00B050"/>
  </sheetPr>
  <dimension ref="A1:I72"/>
  <sheetViews>
    <sheetView zoomScale="85" zoomScaleNormal="85" workbookViewId="0">
      <pane ySplit="1" topLeftCell="A32" activePane="bottomLeft" state="frozen"/>
      <selection pane="bottomLeft" activeCell="H66" sqref="H66"/>
    </sheetView>
  </sheetViews>
  <sheetFormatPr defaultRowHeight="15.75" x14ac:dyDescent="0.25"/>
  <cols>
    <col min="1" max="1" width="6.7109375" style="198" customWidth="1"/>
    <col min="2" max="2" width="80.42578125" style="198" customWidth="1"/>
    <col min="3" max="3" width="17" style="201" customWidth="1"/>
    <col min="4" max="4" width="31.85546875" style="198" customWidth="1"/>
    <col min="5" max="5" width="27" style="201" customWidth="1"/>
    <col min="6" max="6" width="20.5703125" style="201" customWidth="1"/>
    <col min="7" max="7" width="19.140625" style="198" customWidth="1"/>
    <col min="8" max="8" width="20" style="201" customWidth="1"/>
    <col min="9" max="9" width="23" style="201" customWidth="1"/>
    <col min="10" max="16384" width="9.140625" style="198"/>
  </cols>
  <sheetData>
    <row r="1" spans="1:9" ht="31.5" x14ac:dyDescent="0.25">
      <c r="A1" s="202" t="s">
        <v>403</v>
      </c>
      <c r="B1" s="202" t="s">
        <v>405</v>
      </c>
      <c r="C1" s="203" t="s">
        <v>404</v>
      </c>
      <c r="D1" s="202" t="s">
        <v>406</v>
      </c>
      <c r="E1" s="203" t="s">
        <v>411</v>
      </c>
      <c r="H1" s="203" t="s">
        <v>681</v>
      </c>
      <c r="I1" s="203" t="s">
        <v>682</v>
      </c>
    </row>
    <row r="2" spans="1:9" ht="21" customHeight="1" x14ac:dyDescent="0.25">
      <c r="A2" s="192"/>
      <c r="B2" s="191" t="s">
        <v>341</v>
      </c>
      <c r="C2" s="204"/>
      <c r="D2" s="192"/>
      <c r="E2" s="204"/>
      <c r="G2" s="201"/>
      <c r="I2" s="481"/>
    </row>
    <row r="3" spans="1:9" ht="21" customHeight="1" x14ac:dyDescent="0.25">
      <c r="A3" s="192"/>
      <c r="B3" s="193" t="s">
        <v>342</v>
      </c>
      <c r="C3" s="204">
        <v>342871.72</v>
      </c>
      <c r="D3" s="192"/>
      <c r="E3" s="300">
        <v>342871.72</v>
      </c>
      <c r="I3" s="481">
        <v>342871.72</v>
      </c>
    </row>
    <row r="4" spans="1:9" ht="21" customHeight="1" x14ac:dyDescent="0.25">
      <c r="A4" s="192"/>
      <c r="B4" s="193" t="s">
        <v>343</v>
      </c>
      <c r="C4" s="204">
        <v>216052.24</v>
      </c>
      <c r="D4" s="192"/>
      <c r="E4" s="300">
        <v>216052.24</v>
      </c>
      <c r="I4" s="481">
        <v>216052.24</v>
      </c>
    </row>
    <row r="5" spans="1:9" ht="21" customHeight="1" x14ac:dyDescent="0.25">
      <c r="A5" s="192"/>
      <c r="B5" s="193" t="s">
        <v>344</v>
      </c>
      <c r="C5" s="204">
        <v>660347.46</v>
      </c>
      <c r="D5" s="192"/>
      <c r="E5" s="300">
        <v>660347.46</v>
      </c>
      <c r="I5" s="481">
        <v>660347.46</v>
      </c>
    </row>
    <row r="6" spans="1:9" ht="21" customHeight="1" x14ac:dyDescent="0.25">
      <c r="A6" s="192"/>
      <c r="B6" s="193" t="s">
        <v>345</v>
      </c>
      <c r="C6" s="204">
        <v>602224.80999999994</v>
      </c>
      <c r="D6" s="192"/>
      <c r="E6" s="300">
        <v>602224.80999999994</v>
      </c>
      <c r="I6" s="481">
        <v>602224.80999999994</v>
      </c>
    </row>
    <row r="7" spans="1:9" ht="21" customHeight="1" x14ac:dyDescent="0.25">
      <c r="A7" s="195"/>
      <c r="B7" s="195" t="s">
        <v>346</v>
      </c>
      <c r="C7" s="205">
        <v>109388.96</v>
      </c>
      <c r="D7" s="192" t="s">
        <v>407</v>
      </c>
      <c r="E7" s="300">
        <v>109388.96</v>
      </c>
      <c r="I7" s="481">
        <v>109388.96</v>
      </c>
    </row>
    <row r="8" spans="1:9" ht="21" customHeight="1" x14ac:dyDescent="0.25">
      <c r="A8" s="192"/>
      <c r="B8" s="193" t="s">
        <v>347</v>
      </c>
      <c r="C8" s="204">
        <v>9333025.6699999999</v>
      </c>
      <c r="D8" s="192"/>
      <c r="E8" s="300">
        <v>9333025.6699999999</v>
      </c>
      <c r="I8" s="481">
        <v>9333025.6699999999</v>
      </c>
    </row>
    <row r="9" spans="1:9" ht="21" customHeight="1" x14ac:dyDescent="0.25">
      <c r="A9" s="192"/>
      <c r="B9" s="193" t="s">
        <v>348</v>
      </c>
      <c r="C9" s="204">
        <v>942395.16999999993</v>
      </c>
      <c r="D9" s="192"/>
      <c r="E9" s="300">
        <v>942395.16999999993</v>
      </c>
      <c r="I9" s="481">
        <v>942395.16999999993</v>
      </c>
    </row>
    <row r="10" spans="1:9" ht="21" customHeight="1" x14ac:dyDescent="0.25">
      <c r="A10" s="195"/>
      <c r="B10" s="199" t="s">
        <v>349</v>
      </c>
      <c r="C10" s="205">
        <v>89859.26</v>
      </c>
      <c r="D10" s="192" t="s">
        <v>407</v>
      </c>
      <c r="E10" s="300">
        <v>89859.26</v>
      </c>
      <c r="I10" s="481">
        <v>89859.26</v>
      </c>
    </row>
    <row r="11" spans="1:9" ht="21" customHeight="1" x14ac:dyDescent="0.25">
      <c r="A11" s="192"/>
      <c r="B11" s="200" t="s">
        <v>350</v>
      </c>
      <c r="C11" s="204">
        <v>5215041.9000000013</v>
      </c>
      <c r="D11" s="192"/>
      <c r="E11" s="300">
        <v>5215041.9000000013</v>
      </c>
      <c r="I11" s="481">
        <v>5215041.9000000013</v>
      </c>
    </row>
    <row r="12" spans="1:9" ht="21" customHeight="1" x14ac:dyDescent="0.25">
      <c r="A12" s="195"/>
      <c r="B12" s="199" t="s">
        <v>351</v>
      </c>
      <c r="C12" s="205">
        <v>32659.200000000001</v>
      </c>
      <c r="D12" s="192" t="s">
        <v>410</v>
      </c>
      <c r="E12" s="300">
        <v>32659.200000000001</v>
      </c>
      <c r="I12" s="481">
        <v>32659.200000000001</v>
      </c>
    </row>
    <row r="13" spans="1:9" ht="21" customHeight="1" x14ac:dyDescent="0.25">
      <c r="A13" s="195"/>
      <c r="B13" s="199" t="s">
        <v>352</v>
      </c>
      <c r="C13" s="205">
        <v>8429543.8499999996</v>
      </c>
      <c r="D13" s="192" t="s">
        <v>408</v>
      </c>
      <c r="E13" s="300">
        <v>8429543.8499999996</v>
      </c>
      <c r="I13" s="481">
        <v>8429543.8499999996</v>
      </c>
    </row>
    <row r="14" spans="1:9" ht="21" customHeight="1" x14ac:dyDescent="0.25">
      <c r="A14" s="192"/>
      <c r="B14" s="200" t="s">
        <v>353</v>
      </c>
      <c r="C14" s="204">
        <v>630049.56999999995</v>
      </c>
      <c r="D14" s="192"/>
      <c r="E14" s="300">
        <v>630049.56999999995</v>
      </c>
      <c r="I14" s="481">
        <v>630049.56999999995</v>
      </c>
    </row>
    <row r="15" spans="1:9" ht="21" customHeight="1" x14ac:dyDescent="0.25">
      <c r="A15" s="192"/>
      <c r="B15" s="200" t="s">
        <v>354</v>
      </c>
      <c r="C15" s="204">
        <v>1468420.67</v>
      </c>
      <c r="D15" s="192"/>
      <c r="E15" s="300">
        <v>1468420.67</v>
      </c>
      <c r="I15" s="481">
        <v>1468420.67</v>
      </c>
    </row>
    <row r="16" spans="1:9" ht="21" customHeight="1" x14ac:dyDescent="0.25">
      <c r="A16" s="192"/>
      <c r="B16" s="608" t="s">
        <v>355</v>
      </c>
      <c r="C16" s="204"/>
      <c r="D16" s="192"/>
      <c r="E16" s="207"/>
      <c r="F16" s="201">
        <f>'вер-9.1'!N10</f>
        <v>19131216.340293571</v>
      </c>
      <c r="G16" s="201">
        <f>SUM(E17:E27)-F16</f>
        <v>29632.599706429988</v>
      </c>
      <c r="I16" s="481"/>
    </row>
    <row r="17" spans="1:9" ht="21" customHeight="1" x14ac:dyDescent="0.25">
      <c r="A17" s="195"/>
      <c r="B17" s="195" t="s">
        <v>356</v>
      </c>
      <c r="C17" s="205">
        <v>2084185.34</v>
      </c>
      <c r="D17" s="192" t="s">
        <v>408</v>
      </c>
      <c r="E17" s="300">
        <v>2084185.34</v>
      </c>
      <c r="I17" s="481">
        <v>2084185.34</v>
      </c>
    </row>
    <row r="18" spans="1:9" ht="21" customHeight="1" x14ac:dyDescent="0.25">
      <c r="A18" s="195"/>
      <c r="B18" s="195" t="s">
        <v>357</v>
      </c>
      <c r="C18" s="205">
        <v>2191939.0099999998</v>
      </c>
      <c r="D18" s="192" t="s">
        <v>408</v>
      </c>
      <c r="E18" s="300">
        <v>2191939.0099999998</v>
      </c>
      <c r="I18" s="481">
        <v>2191939.0099999998</v>
      </c>
    </row>
    <row r="19" spans="1:9" ht="21" customHeight="1" x14ac:dyDescent="0.25">
      <c r="A19" s="195"/>
      <c r="B19" s="195" t="s">
        <v>358</v>
      </c>
      <c r="C19" s="205">
        <v>922610.31</v>
      </c>
      <c r="D19" s="192" t="s">
        <v>408</v>
      </c>
      <c r="E19" s="300">
        <v>922610.31</v>
      </c>
      <c r="I19" s="481">
        <v>922610.31</v>
      </c>
    </row>
    <row r="20" spans="1:9" ht="21" customHeight="1" x14ac:dyDescent="0.25">
      <c r="A20" s="195"/>
      <c r="B20" s="195" t="s">
        <v>359</v>
      </c>
      <c r="C20" s="205">
        <v>629152.39</v>
      </c>
      <c r="D20" s="192" t="s">
        <v>408</v>
      </c>
      <c r="E20" s="300">
        <v>629152.39</v>
      </c>
      <c r="I20" s="481">
        <v>629152.39</v>
      </c>
    </row>
    <row r="21" spans="1:9" ht="21" customHeight="1" x14ac:dyDescent="0.25">
      <c r="A21" s="195"/>
      <c r="B21" s="195" t="s">
        <v>360</v>
      </c>
      <c r="C21" s="205">
        <v>3722901.26</v>
      </c>
      <c r="D21" s="192" t="s">
        <v>408</v>
      </c>
      <c r="E21" s="300">
        <v>3722901.26</v>
      </c>
      <c r="I21" s="481">
        <v>3722901.26</v>
      </c>
    </row>
    <row r="22" spans="1:9" ht="21" customHeight="1" x14ac:dyDescent="0.25">
      <c r="A22" s="195"/>
      <c r="B22" s="196" t="s">
        <v>361</v>
      </c>
      <c r="C22" s="205">
        <v>3068660.82</v>
      </c>
      <c r="D22" s="192" t="s">
        <v>408</v>
      </c>
      <c r="E22" s="300">
        <v>3068660.82</v>
      </c>
      <c r="I22" s="481">
        <v>3068660.82</v>
      </c>
    </row>
    <row r="23" spans="1:9" ht="21" customHeight="1" x14ac:dyDescent="0.25">
      <c r="A23" s="195"/>
      <c r="B23" s="196" t="s">
        <v>362</v>
      </c>
      <c r="C23" s="205">
        <v>2335008.5499999998</v>
      </c>
      <c r="D23" s="192" t="s">
        <v>408</v>
      </c>
      <c r="E23" s="300">
        <v>2335008.5499999998</v>
      </c>
      <c r="I23" s="481">
        <v>2335008.5499999998</v>
      </c>
    </row>
    <row r="24" spans="1:9" ht="21" customHeight="1" x14ac:dyDescent="0.25">
      <c r="A24" s="195"/>
      <c r="B24" s="196" t="s">
        <v>363</v>
      </c>
      <c r="C24" s="205">
        <v>1162257.3399999999</v>
      </c>
      <c r="D24" s="192" t="s">
        <v>408</v>
      </c>
      <c r="E24" s="300">
        <v>1162257.3399999999</v>
      </c>
      <c r="I24" s="481">
        <v>1162257.3399999999</v>
      </c>
    </row>
    <row r="25" spans="1:9" ht="21" customHeight="1" x14ac:dyDescent="0.25">
      <c r="A25" s="192"/>
      <c r="B25" s="193" t="s">
        <v>364</v>
      </c>
      <c r="C25" s="204">
        <v>158910.28999999998</v>
      </c>
      <c r="D25" s="192"/>
      <c r="E25" s="300">
        <v>158910.28999999998</v>
      </c>
      <c r="I25" s="481">
        <v>158910.28999999998</v>
      </c>
    </row>
    <row r="26" spans="1:9" ht="21" customHeight="1" x14ac:dyDescent="0.25">
      <c r="A26" s="195"/>
      <c r="B26" s="196" t="s">
        <v>365</v>
      </c>
      <c r="C26" s="205">
        <v>1862440.51</v>
      </c>
      <c r="D26" s="192" t="s">
        <v>408</v>
      </c>
      <c r="E26" s="300">
        <v>1862440.51</v>
      </c>
      <c r="I26" s="481">
        <v>1862440.51</v>
      </c>
    </row>
    <row r="27" spans="1:9" ht="21" customHeight="1" x14ac:dyDescent="0.25">
      <c r="A27" s="195"/>
      <c r="B27" s="195" t="s">
        <v>366</v>
      </c>
      <c r="C27" s="205">
        <v>1022783.12</v>
      </c>
      <c r="D27" s="192" t="s">
        <v>408</v>
      </c>
      <c r="E27" s="300">
        <v>1022783.12</v>
      </c>
      <c r="I27" s="481">
        <v>1022783.12</v>
      </c>
    </row>
    <row r="28" spans="1:9" ht="21" customHeight="1" x14ac:dyDescent="0.25">
      <c r="A28" s="192"/>
      <c r="B28" s="608" t="s">
        <v>367</v>
      </c>
      <c r="C28" s="204"/>
      <c r="D28" s="192"/>
      <c r="E28" s="207"/>
      <c r="I28" s="481"/>
    </row>
    <row r="29" spans="1:9" ht="21" customHeight="1" x14ac:dyDescent="0.25">
      <c r="A29" s="195"/>
      <c r="B29" s="195" t="s">
        <v>368</v>
      </c>
      <c r="C29" s="205">
        <v>1982384.9000000001</v>
      </c>
      <c r="D29" s="192" t="s">
        <v>408</v>
      </c>
      <c r="E29" s="300">
        <v>1982384.9000000001</v>
      </c>
      <c r="F29" s="201">
        <f>'вер-9.1'!N22</f>
        <v>2819894.7165271998</v>
      </c>
      <c r="G29" s="333">
        <f>SUM(E29:E32)-F29</f>
        <v>70264.63347280072</v>
      </c>
      <c r="H29" s="201">
        <f>'К10-К10А VS'!Z39</f>
        <v>-46438.99</v>
      </c>
      <c r="I29" s="480">
        <f>C29+H29</f>
        <v>1935945.9100000001</v>
      </c>
    </row>
    <row r="30" spans="1:9" ht="21" customHeight="1" x14ac:dyDescent="0.25">
      <c r="A30" s="195"/>
      <c r="B30" s="195" t="s">
        <v>369</v>
      </c>
      <c r="C30" s="205">
        <v>129434.34</v>
      </c>
      <c r="D30" s="192" t="s">
        <v>408</v>
      </c>
      <c r="E30" s="300">
        <v>129434.34</v>
      </c>
      <c r="I30" s="481">
        <v>129434.34</v>
      </c>
    </row>
    <row r="31" spans="1:9" ht="21" customHeight="1" x14ac:dyDescent="0.25">
      <c r="A31" s="195"/>
      <c r="B31" s="195" t="s">
        <v>370</v>
      </c>
      <c r="C31" s="205">
        <v>316312.41000000003</v>
      </c>
      <c r="D31" s="192" t="s">
        <v>408</v>
      </c>
      <c r="E31" s="300">
        <v>316312.41000000003</v>
      </c>
      <c r="I31" s="481">
        <v>316312.41000000003</v>
      </c>
    </row>
    <row r="32" spans="1:9" ht="21" customHeight="1" x14ac:dyDescent="0.25">
      <c r="A32" s="195"/>
      <c r="B32" s="195" t="s">
        <v>371</v>
      </c>
      <c r="C32" s="205">
        <v>462027.69999999995</v>
      </c>
      <c r="D32" s="192" t="s">
        <v>408</v>
      </c>
      <c r="E32" s="300">
        <v>462027.69999999995</v>
      </c>
      <c r="I32" s="481">
        <v>462027.69999999995</v>
      </c>
    </row>
    <row r="33" spans="1:9" ht="21" customHeight="1" x14ac:dyDescent="0.25">
      <c r="A33" s="192"/>
      <c r="B33" s="608" t="s">
        <v>372</v>
      </c>
      <c r="C33" s="204"/>
      <c r="D33" s="192"/>
      <c r="E33" s="207"/>
      <c r="F33" s="201">
        <f>'вер-9.1'!N11</f>
        <v>5661185.0752488002</v>
      </c>
      <c r="G33" s="201">
        <f>SUM(E34:E37)-F33</f>
        <v>13899.074751199223</v>
      </c>
      <c r="I33" s="481"/>
    </row>
    <row r="34" spans="1:9" ht="21" customHeight="1" x14ac:dyDescent="0.25">
      <c r="A34" s="195"/>
      <c r="B34" s="195" t="s">
        <v>373</v>
      </c>
      <c r="C34" s="205">
        <v>1533023.56</v>
      </c>
      <c r="D34" s="192" t="s">
        <v>408</v>
      </c>
      <c r="E34" s="300">
        <v>1533023.56</v>
      </c>
      <c r="I34" s="481">
        <v>1533023.56</v>
      </c>
    </row>
    <row r="35" spans="1:9" ht="21" customHeight="1" x14ac:dyDescent="0.25">
      <c r="A35" s="195"/>
      <c r="B35" s="195" t="s">
        <v>374</v>
      </c>
      <c r="C35" s="205">
        <v>2486926.1799999997</v>
      </c>
      <c r="D35" s="192" t="s">
        <v>408</v>
      </c>
      <c r="E35" s="300">
        <v>2486926.1799999997</v>
      </c>
      <c r="I35" s="481">
        <v>2486926.1799999997</v>
      </c>
    </row>
    <row r="36" spans="1:9" ht="21" customHeight="1" x14ac:dyDescent="0.25">
      <c r="A36" s="192"/>
      <c r="B36" s="192" t="s">
        <v>375</v>
      </c>
      <c r="C36" s="204">
        <v>527744.57999999996</v>
      </c>
      <c r="D36" s="192"/>
      <c r="E36" s="300">
        <v>527744.57999999996</v>
      </c>
      <c r="I36" s="481">
        <v>527744.57999999996</v>
      </c>
    </row>
    <row r="37" spans="1:9" ht="21" customHeight="1" x14ac:dyDescent="0.25">
      <c r="A37" s="192"/>
      <c r="B37" s="193" t="s">
        <v>376</v>
      </c>
      <c r="C37" s="204">
        <v>1127389.83</v>
      </c>
      <c r="D37" s="192"/>
      <c r="E37" s="300">
        <v>1127389.83</v>
      </c>
      <c r="I37" s="481">
        <v>1127389.83</v>
      </c>
    </row>
    <row r="38" spans="1:9" ht="21" customHeight="1" x14ac:dyDescent="0.25">
      <c r="A38" s="195"/>
      <c r="B38" s="609" t="s">
        <v>377</v>
      </c>
      <c r="C38" s="205">
        <v>67504674.280000001</v>
      </c>
      <c r="D38" s="192" t="s">
        <v>408</v>
      </c>
      <c r="E38" s="205">
        <v>67504674.280000001</v>
      </c>
      <c r="F38" s="201">
        <f>'вер-9.1'!N12</f>
        <v>308.73600000000005</v>
      </c>
      <c r="G38" s="333">
        <f>E38-F38</f>
        <v>67504365.544</v>
      </c>
      <c r="H38" s="201">
        <f>ПЖ!Z116</f>
        <v>-618385.16480000014</v>
      </c>
      <c r="I38" s="480">
        <f>C38+H38</f>
        <v>66886289.115199998</v>
      </c>
    </row>
    <row r="39" spans="1:9" ht="21" customHeight="1" x14ac:dyDescent="0.25">
      <c r="A39" s="192"/>
      <c r="B39" s="191" t="s">
        <v>378</v>
      </c>
      <c r="C39" s="204"/>
      <c r="D39" s="192"/>
      <c r="E39" s="207"/>
      <c r="I39" s="481"/>
    </row>
    <row r="40" spans="1:9" ht="21" customHeight="1" x14ac:dyDescent="0.25">
      <c r="A40" s="195"/>
      <c r="B40" s="609" t="s">
        <v>379</v>
      </c>
      <c r="C40" s="205">
        <v>19754091.0557064</v>
      </c>
      <c r="D40" s="192" t="s">
        <v>408</v>
      </c>
      <c r="E40" s="205">
        <v>19754091.0557064</v>
      </c>
      <c r="F40" s="201">
        <f>'вер-9.1'!N19</f>
        <v>20395444.025616959</v>
      </c>
      <c r="G40" s="333">
        <f>E40+E41-F40</f>
        <v>612373.35008944198</v>
      </c>
      <c r="H40" s="201">
        <f>ГП1!Z50</f>
        <v>-628761.8415000001</v>
      </c>
      <c r="I40" s="480">
        <f>C40+H40</f>
        <v>19125329.214206401</v>
      </c>
    </row>
    <row r="41" spans="1:9" ht="29.25" customHeight="1" x14ac:dyDescent="0.25">
      <c r="A41" s="195"/>
      <c r="B41" s="197" t="s">
        <v>380</v>
      </c>
      <c r="C41" s="205">
        <v>1253726.32</v>
      </c>
      <c r="D41" s="192" t="s">
        <v>408</v>
      </c>
      <c r="E41" s="300">
        <v>1253726.32</v>
      </c>
      <c r="I41" s="481">
        <v>1253726.32</v>
      </c>
    </row>
    <row r="42" spans="1:9" ht="30" customHeight="1" x14ac:dyDescent="0.25">
      <c r="A42" s="192"/>
      <c r="B42" s="200" t="s">
        <v>381</v>
      </c>
      <c r="C42" s="204">
        <v>2140860.2799999998</v>
      </c>
      <c r="D42" s="192"/>
      <c r="E42" s="300">
        <v>2140860.2799999998</v>
      </c>
      <c r="I42" s="481">
        <v>2140860.2799999998</v>
      </c>
    </row>
    <row r="43" spans="1:9" ht="21" customHeight="1" x14ac:dyDescent="0.25">
      <c r="A43" s="195"/>
      <c r="B43" s="199" t="s">
        <v>382</v>
      </c>
      <c r="C43" s="205">
        <v>65485288.092941381</v>
      </c>
      <c r="D43" s="192" t="s">
        <v>408</v>
      </c>
      <c r="E43" s="300">
        <v>65485288.092941381</v>
      </c>
      <c r="I43" s="481">
        <v>65485288.092941381</v>
      </c>
    </row>
    <row r="44" spans="1:9" ht="21" customHeight="1" x14ac:dyDescent="0.25">
      <c r="A44" s="192"/>
      <c r="B44" s="200" t="s">
        <v>383</v>
      </c>
      <c r="C44" s="204">
        <v>912139.03</v>
      </c>
      <c r="D44" s="192"/>
      <c r="E44" s="300">
        <v>912139.03</v>
      </c>
      <c r="I44" s="481">
        <v>912139.03</v>
      </c>
    </row>
    <row r="45" spans="1:9" ht="21" customHeight="1" x14ac:dyDescent="0.25">
      <c r="A45" s="192"/>
      <c r="B45" s="200" t="s">
        <v>384</v>
      </c>
      <c r="C45" s="204"/>
      <c r="D45" s="192"/>
      <c r="E45" s="207"/>
      <c r="I45" s="481"/>
    </row>
    <row r="46" spans="1:9" ht="21" customHeight="1" x14ac:dyDescent="0.25">
      <c r="A46" s="195"/>
      <c r="B46" s="610" t="s">
        <v>385</v>
      </c>
      <c r="C46" s="205">
        <v>1177989.2</v>
      </c>
      <c r="D46" s="192" t="s">
        <v>408</v>
      </c>
      <c r="E46" s="300">
        <v>1177989.2</v>
      </c>
      <c r="F46" s="201">
        <f>'вер-9.1'!N17</f>
        <v>5358956.2465784</v>
      </c>
      <c r="G46" s="333">
        <f>SUM(E46:E50)-F46</f>
        <v>179814.36342159938</v>
      </c>
      <c r="H46" s="201">
        <f>'ЭС2-1-2; 7-8'!Z44</f>
        <v>-201392.4</v>
      </c>
      <c r="I46" s="480">
        <f>C46+H46</f>
        <v>976596.79999999993</v>
      </c>
    </row>
    <row r="47" spans="1:9" ht="21" customHeight="1" x14ac:dyDescent="0.25">
      <c r="A47" s="195"/>
      <c r="B47" s="195" t="s">
        <v>386</v>
      </c>
      <c r="C47" s="205">
        <v>760787.04</v>
      </c>
      <c r="D47" s="192" t="s">
        <v>408</v>
      </c>
      <c r="E47" s="300">
        <v>760787.04</v>
      </c>
      <c r="I47" s="481">
        <v>760787.04</v>
      </c>
    </row>
    <row r="48" spans="1:9" ht="21" customHeight="1" x14ac:dyDescent="0.25">
      <c r="A48" s="195"/>
      <c r="B48" s="195" t="s">
        <v>387</v>
      </c>
      <c r="C48" s="205">
        <v>1812058.1400000001</v>
      </c>
      <c r="D48" s="192" t="s">
        <v>408</v>
      </c>
      <c r="E48" s="300">
        <v>1812058.1400000001</v>
      </c>
      <c r="I48" s="481">
        <v>1812058.1400000001</v>
      </c>
    </row>
    <row r="49" spans="1:9" ht="21" customHeight="1" x14ac:dyDescent="0.25">
      <c r="A49" s="195"/>
      <c r="B49" s="195" t="s">
        <v>388</v>
      </c>
      <c r="C49" s="205">
        <v>1374346.68</v>
      </c>
      <c r="D49" s="192" t="s">
        <v>407</v>
      </c>
      <c r="E49" s="300">
        <v>1374346.68</v>
      </c>
      <c r="I49" s="481">
        <v>1374346.68</v>
      </c>
    </row>
    <row r="50" spans="1:9" ht="21" customHeight="1" x14ac:dyDescent="0.25">
      <c r="A50" s="195"/>
      <c r="B50" s="195" t="s">
        <v>389</v>
      </c>
      <c r="C50" s="205">
        <v>413589.55000000005</v>
      </c>
      <c r="D50" s="192" t="s">
        <v>407</v>
      </c>
      <c r="E50" s="300">
        <v>413589.55000000005</v>
      </c>
      <c r="I50" s="481">
        <v>413589.55000000005</v>
      </c>
    </row>
    <row r="51" spans="1:9" ht="21" customHeight="1" x14ac:dyDescent="0.25">
      <c r="A51" s="192"/>
      <c r="B51" s="200" t="s">
        <v>390</v>
      </c>
      <c r="C51" s="204"/>
      <c r="D51" s="192"/>
      <c r="E51" s="207"/>
      <c r="I51" s="481"/>
    </row>
    <row r="52" spans="1:9" ht="21" customHeight="1" x14ac:dyDescent="0.25">
      <c r="A52" s="192"/>
      <c r="B52" s="193" t="s">
        <v>391</v>
      </c>
      <c r="C52" s="204">
        <v>1513846.08</v>
      </c>
      <c r="D52" s="192"/>
      <c r="E52" s="300">
        <v>1513846.08</v>
      </c>
      <c r="I52" s="481">
        <v>1513846.08</v>
      </c>
    </row>
    <row r="53" spans="1:9" ht="21" customHeight="1" x14ac:dyDescent="0.25">
      <c r="A53" s="195"/>
      <c r="B53" s="195" t="s">
        <v>392</v>
      </c>
      <c r="C53" s="205">
        <v>205626.28</v>
      </c>
      <c r="D53" s="192" t="s">
        <v>407</v>
      </c>
      <c r="E53" s="300">
        <v>205626.28</v>
      </c>
      <c r="I53" s="481">
        <v>205626.28</v>
      </c>
    </row>
    <row r="54" spans="1:9" ht="21" customHeight="1" x14ac:dyDescent="0.25">
      <c r="A54" s="195"/>
      <c r="B54" s="195" t="s">
        <v>393</v>
      </c>
      <c r="C54" s="205">
        <v>174538.53</v>
      </c>
      <c r="D54" s="192" t="s">
        <v>407</v>
      </c>
      <c r="E54" s="300">
        <v>174538.53</v>
      </c>
      <c r="I54" s="481">
        <v>174538.53</v>
      </c>
    </row>
    <row r="55" spans="1:9" ht="21" customHeight="1" x14ac:dyDescent="0.25">
      <c r="A55" s="195"/>
      <c r="B55" s="199" t="s">
        <v>394</v>
      </c>
      <c r="C55" s="205">
        <v>148688.69</v>
      </c>
      <c r="D55" s="192" t="s">
        <v>409</v>
      </c>
      <c r="E55" s="300">
        <v>148688.69</v>
      </c>
      <c r="I55" s="481">
        <v>148688.69</v>
      </c>
    </row>
    <row r="56" spans="1:9" ht="21" customHeight="1" x14ac:dyDescent="0.25">
      <c r="A56" s="195"/>
      <c r="B56" s="199" t="s">
        <v>395</v>
      </c>
      <c r="C56" s="205">
        <v>554638.52</v>
      </c>
      <c r="D56" s="192" t="s">
        <v>407</v>
      </c>
      <c r="E56" s="300">
        <v>554638.52</v>
      </c>
      <c r="I56" s="481">
        <v>554638.52</v>
      </c>
    </row>
    <row r="57" spans="1:9" ht="21" customHeight="1" x14ac:dyDescent="0.25">
      <c r="A57" s="195"/>
      <c r="B57" s="199" t="s">
        <v>396</v>
      </c>
      <c r="C57" s="205">
        <v>557534.86</v>
      </c>
      <c r="D57" s="192" t="s">
        <v>407</v>
      </c>
      <c r="E57" s="300">
        <v>557534.86</v>
      </c>
      <c r="I57" s="481">
        <v>557534.86</v>
      </c>
    </row>
    <row r="58" spans="1:9" ht="21" customHeight="1" x14ac:dyDescent="0.25">
      <c r="A58" s="195"/>
      <c r="B58" s="199" t="s">
        <v>397</v>
      </c>
      <c r="C58" s="205">
        <v>771191.87</v>
      </c>
      <c r="D58" s="192" t="s">
        <v>407</v>
      </c>
      <c r="E58" s="300">
        <v>771191.87</v>
      </c>
      <c r="I58" s="481">
        <v>771191.87</v>
      </c>
    </row>
    <row r="59" spans="1:9" ht="21" customHeight="1" x14ac:dyDescent="0.25">
      <c r="A59" s="192"/>
      <c r="B59" s="200" t="s">
        <v>398</v>
      </c>
      <c r="C59" s="194">
        <v>6284604.5089599993</v>
      </c>
      <c r="D59" s="192"/>
      <c r="E59" s="301">
        <v>6284604.5089599993</v>
      </c>
      <c r="I59" s="482">
        <v>6284604.5089599993</v>
      </c>
    </row>
    <row r="60" spans="1:9" ht="21" customHeight="1" x14ac:dyDescent="0.25">
      <c r="A60" s="192"/>
      <c r="B60" s="200" t="s">
        <v>399</v>
      </c>
      <c r="C60" s="204">
        <v>3337014.399999999</v>
      </c>
      <c r="D60" s="192"/>
      <c r="E60" s="300">
        <v>3337014.399999999</v>
      </c>
      <c r="I60" s="481">
        <v>3337014.399999999</v>
      </c>
    </row>
    <row r="61" spans="1:9" ht="21" customHeight="1" x14ac:dyDescent="0.25">
      <c r="A61" s="195"/>
      <c r="B61" s="199" t="s">
        <v>400</v>
      </c>
      <c r="C61" s="205">
        <v>5360061.5600000033</v>
      </c>
      <c r="D61" s="192" t="s">
        <v>408</v>
      </c>
      <c r="E61" s="300">
        <v>5360061.5600000033</v>
      </c>
      <c r="I61" s="481">
        <v>5360061.5600000033</v>
      </c>
    </row>
    <row r="62" spans="1:9" ht="21" customHeight="1" x14ac:dyDescent="0.25">
      <c r="A62" s="195"/>
      <c r="B62" s="609" t="s">
        <v>401</v>
      </c>
      <c r="C62" s="205">
        <v>6829177.2800000003</v>
      </c>
      <c r="D62" s="192" t="s">
        <v>408</v>
      </c>
      <c r="E62" s="205">
        <v>6829177.2800000003</v>
      </c>
      <c r="F62" s="201">
        <f>'вер-9.1'!N21</f>
        <v>6601017.4999399986</v>
      </c>
      <c r="G62" s="333">
        <f>E62-F62</f>
        <v>228159.78006000165</v>
      </c>
      <c r="H62" s="201">
        <f>АС4!Z61</f>
        <v>-228159.7680000001</v>
      </c>
      <c r="I62" s="480">
        <f>C62+H62</f>
        <v>6601017.5120000001</v>
      </c>
    </row>
    <row r="63" spans="1:9" ht="21" customHeight="1" x14ac:dyDescent="0.25">
      <c r="A63" s="192"/>
      <c r="B63" s="191" t="s">
        <v>402</v>
      </c>
      <c r="C63" s="206">
        <f>SUM(C3:C62)</f>
        <v>244124445.16760781</v>
      </c>
      <c r="D63" s="192"/>
      <c r="E63" s="206">
        <f>SUM(E3:E62)</f>
        <v>244124445.16760781</v>
      </c>
      <c r="I63" s="206">
        <f>SUM(I3:I62)</f>
        <v>242401307.00330782</v>
      </c>
    </row>
    <row r="66" spans="7:9" x14ac:dyDescent="0.25">
      <c r="G66" s="201"/>
      <c r="I66" s="201">
        <f>'вер-9.1'!N33</f>
        <v>175486438.57266015</v>
      </c>
    </row>
    <row r="67" spans="7:9" x14ac:dyDescent="0.25">
      <c r="I67" s="201">
        <f>I66-I63</f>
        <v>-66914868.430647671</v>
      </c>
    </row>
    <row r="72" spans="7:9" x14ac:dyDescent="0.25">
      <c r="G72" s="201"/>
    </row>
  </sheetData>
  <phoneticPr fontId="5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CB33-ADAC-4607-9E78-9AD45C6F1283}">
  <sheetPr>
    <tabColor rgb="FFFFFF00"/>
  </sheetPr>
  <dimension ref="A1:CN121"/>
  <sheetViews>
    <sheetView topLeftCell="E95" zoomScale="55" zoomScaleNormal="55" zoomScaleSheetLayoutView="100" workbookViewId="0">
      <selection activeCell="Z116" sqref="Z116"/>
    </sheetView>
  </sheetViews>
  <sheetFormatPr defaultColWidth="8.85546875" defaultRowHeight="15" x14ac:dyDescent="0.25"/>
  <cols>
    <col min="1" max="1" width="8.85546875" style="66"/>
    <col min="2" max="2" width="65.140625" style="66" customWidth="1"/>
    <col min="3" max="3" width="9.28515625" style="66" customWidth="1"/>
    <col min="4" max="4" width="13.28515625" style="66" customWidth="1"/>
    <col min="5" max="5" width="15.140625" style="66" customWidth="1"/>
    <col min="6" max="6" width="17.85546875" style="66" customWidth="1"/>
    <col min="7" max="7" width="17.140625" style="316" customWidth="1"/>
    <col min="8" max="8" width="16.140625" style="316" customWidth="1"/>
    <col min="9" max="9" width="18.42578125" style="66" customWidth="1"/>
    <col min="10" max="11" width="17.7109375" style="66" customWidth="1"/>
    <col min="12" max="12" width="18.140625" style="66" customWidth="1"/>
    <col min="13" max="16" width="0" style="66" hidden="1" customWidth="1"/>
    <col min="17" max="17" width="13.28515625" style="467" customWidth="1"/>
    <col min="18" max="18" width="15.140625" style="467" customWidth="1"/>
    <col min="19" max="19" width="17.85546875" style="467" customWidth="1"/>
    <col min="20" max="20" width="17.140625" style="473" customWidth="1"/>
    <col min="21" max="21" width="16.140625" style="473" customWidth="1"/>
    <col min="22" max="22" width="18.42578125" style="467" customWidth="1"/>
    <col min="23" max="24" width="17.7109375" style="467" customWidth="1"/>
    <col min="25" max="25" width="18.140625" style="467" customWidth="1"/>
    <col min="26" max="26" width="18" style="215" customWidth="1"/>
    <col min="27" max="27" width="26.5703125" style="377" customWidth="1"/>
    <col min="28" max="16384" width="8.85546875" style="66"/>
  </cols>
  <sheetData>
    <row r="1" spans="1:26" ht="14.45" customHeight="1" x14ac:dyDescent="0.25">
      <c r="A1" s="628" t="s">
        <v>0</v>
      </c>
      <c r="B1" s="631" t="s">
        <v>1</v>
      </c>
      <c r="C1" s="634" t="s">
        <v>2</v>
      </c>
      <c r="D1" s="634" t="s">
        <v>3</v>
      </c>
      <c r="E1" s="635" t="s">
        <v>4</v>
      </c>
      <c r="F1" s="636"/>
      <c r="G1" s="636"/>
      <c r="H1" s="636"/>
      <c r="I1" s="636"/>
      <c r="J1" s="636"/>
      <c r="K1" s="636"/>
      <c r="L1" s="636"/>
      <c r="Q1" s="323" t="s">
        <v>3</v>
      </c>
      <c r="R1" s="370" t="s">
        <v>514</v>
      </c>
      <c r="S1" s="371"/>
      <c r="T1" s="371"/>
      <c r="U1" s="371"/>
      <c r="V1" s="371"/>
      <c r="W1" s="371"/>
      <c r="X1" s="371"/>
      <c r="Y1" s="371"/>
    </row>
    <row r="2" spans="1:26" ht="14.45" customHeight="1" x14ac:dyDescent="0.25">
      <c r="A2" s="629"/>
      <c r="B2" s="632"/>
      <c r="C2" s="634"/>
      <c r="D2" s="634"/>
      <c r="E2" s="637"/>
      <c r="F2" s="638"/>
      <c r="G2" s="638"/>
      <c r="H2" s="638"/>
      <c r="I2" s="638"/>
      <c r="J2" s="638"/>
      <c r="K2" s="638"/>
      <c r="L2" s="638"/>
      <c r="Q2" s="372"/>
      <c r="R2" s="373"/>
      <c r="S2" s="374"/>
      <c r="T2" s="374"/>
      <c r="U2" s="374"/>
      <c r="V2" s="374"/>
      <c r="W2" s="374"/>
      <c r="X2" s="374"/>
      <c r="Y2" s="374"/>
      <c r="Z2" s="223"/>
    </row>
    <row r="3" spans="1:26" ht="27.75" customHeight="1" x14ac:dyDescent="0.25">
      <c r="A3" s="629"/>
      <c r="B3" s="632"/>
      <c r="C3" s="634"/>
      <c r="D3" s="634"/>
      <c r="E3" s="634" t="s">
        <v>5</v>
      </c>
      <c r="F3" s="634"/>
      <c r="G3" s="634"/>
      <c r="H3" s="634" t="s">
        <v>6</v>
      </c>
      <c r="I3" s="634"/>
      <c r="J3" s="634"/>
      <c r="K3" s="639" t="s">
        <v>7</v>
      </c>
      <c r="L3" s="639"/>
      <c r="Q3" s="372"/>
      <c r="R3" s="372" t="s">
        <v>5</v>
      </c>
      <c r="S3" s="372"/>
      <c r="T3" s="372"/>
      <c r="U3" s="372" t="s">
        <v>6</v>
      </c>
      <c r="V3" s="372"/>
      <c r="W3" s="372"/>
      <c r="X3" s="375" t="s">
        <v>7</v>
      </c>
      <c r="Y3" s="375"/>
      <c r="Z3" s="233"/>
    </row>
    <row r="4" spans="1:26" ht="56.1" customHeight="1" x14ac:dyDescent="0.25">
      <c r="A4" s="630"/>
      <c r="B4" s="633"/>
      <c r="C4" s="634"/>
      <c r="D4" s="634"/>
      <c r="E4" s="410" t="s">
        <v>8</v>
      </c>
      <c r="F4" s="410" t="s">
        <v>9</v>
      </c>
      <c r="G4" s="302" t="s">
        <v>10</v>
      </c>
      <c r="H4" s="410" t="s">
        <v>8</v>
      </c>
      <c r="I4" s="410" t="s">
        <v>9</v>
      </c>
      <c r="J4" s="302" t="s">
        <v>10</v>
      </c>
      <c r="K4" s="410" t="s">
        <v>11</v>
      </c>
      <c r="L4" s="410" t="s">
        <v>12</v>
      </c>
      <c r="Q4" s="372"/>
      <c r="R4" s="323" t="s">
        <v>8</v>
      </c>
      <c r="S4" s="323" t="s">
        <v>9</v>
      </c>
      <c r="T4" s="367" t="s">
        <v>10</v>
      </c>
      <c r="U4" s="323" t="s">
        <v>8</v>
      </c>
      <c r="V4" s="323" t="s">
        <v>9</v>
      </c>
      <c r="W4" s="367" t="s">
        <v>10</v>
      </c>
      <c r="X4" s="323" t="s">
        <v>11</v>
      </c>
      <c r="Y4" s="323" t="s">
        <v>12</v>
      </c>
      <c r="Z4" s="233"/>
    </row>
    <row r="5" spans="1:26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6"/>
      <c r="Q5" s="326">
        <v>4</v>
      </c>
      <c r="R5" s="326">
        <v>5</v>
      </c>
      <c r="S5" s="326">
        <v>6</v>
      </c>
      <c r="T5" s="326">
        <v>7</v>
      </c>
      <c r="U5" s="467"/>
      <c r="Z5" s="233"/>
    </row>
    <row r="6" spans="1:26" ht="20.25" customHeight="1" x14ac:dyDescent="0.25">
      <c r="A6" s="6"/>
      <c r="B6" s="617" t="s">
        <v>515</v>
      </c>
      <c r="C6" s="618"/>
      <c r="D6" s="618"/>
      <c r="E6" s="7"/>
      <c r="F6" s="8"/>
      <c r="G6" s="9"/>
      <c r="H6" s="9"/>
      <c r="I6" s="9"/>
      <c r="J6" s="9"/>
      <c r="K6" s="9"/>
      <c r="L6" s="9"/>
      <c r="Q6" s="327"/>
      <c r="R6" s="327"/>
      <c r="S6" s="327"/>
      <c r="T6" s="318"/>
      <c r="U6" s="318"/>
      <c r="V6" s="318"/>
      <c r="W6" s="318"/>
      <c r="X6" s="318"/>
      <c r="Y6" s="318"/>
      <c r="Z6" s="233"/>
    </row>
    <row r="7" spans="1:26" ht="18" customHeight="1" x14ac:dyDescent="0.25">
      <c r="A7" s="88"/>
      <c r="B7" s="334" t="s">
        <v>516</v>
      </c>
      <c r="C7" s="468"/>
      <c r="D7" s="468"/>
      <c r="E7" s="18"/>
      <c r="F7" s="126"/>
      <c r="G7" s="126"/>
      <c r="H7" s="15"/>
      <c r="I7" s="91"/>
      <c r="J7" s="91"/>
      <c r="K7" s="18"/>
      <c r="L7" s="126"/>
      <c r="Q7" s="469"/>
      <c r="R7" s="319"/>
      <c r="S7" s="320"/>
      <c r="T7" s="320"/>
      <c r="U7" s="321"/>
      <c r="V7" s="320"/>
      <c r="W7" s="320"/>
      <c r="X7" s="319"/>
      <c r="Y7" s="320"/>
      <c r="Z7" s="233"/>
    </row>
    <row r="8" spans="1:26" ht="18" customHeight="1" x14ac:dyDescent="0.25">
      <c r="A8" s="88"/>
      <c r="B8" s="334" t="s">
        <v>59</v>
      </c>
      <c r="C8" s="468"/>
      <c r="D8" s="468"/>
      <c r="E8" s="18"/>
      <c r="F8" s="126"/>
      <c r="G8" s="126"/>
      <c r="H8" s="15"/>
      <c r="I8" s="91"/>
      <c r="J8" s="91"/>
      <c r="K8" s="18"/>
      <c r="L8" s="126"/>
      <c r="Q8" s="469"/>
      <c r="R8" s="319"/>
      <c r="S8" s="320"/>
      <c r="T8" s="320"/>
      <c r="U8" s="321"/>
      <c r="V8" s="320"/>
      <c r="W8" s="320"/>
      <c r="X8" s="319"/>
      <c r="Y8" s="320"/>
      <c r="Z8" s="233"/>
    </row>
    <row r="9" spans="1:26" ht="24" customHeight="1" x14ac:dyDescent="0.25">
      <c r="A9" s="172">
        <v>1</v>
      </c>
      <c r="B9" s="335" t="s">
        <v>517</v>
      </c>
      <c r="C9" s="336" t="s">
        <v>13</v>
      </c>
      <c r="D9" s="337">
        <v>8747.7900000000009</v>
      </c>
      <c r="E9" s="338">
        <v>325</v>
      </c>
      <c r="F9" s="179">
        <f t="shared" ref="F9:F16" si="0">ROUND(E9*D9,2)</f>
        <v>2843031.75</v>
      </c>
      <c r="G9" s="179">
        <f t="shared" ref="G9:G16" si="1">ROUND(F9*1.2,2)</f>
        <v>3411638.1</v>
      </c>
      <c r="H9" s="463"/>
      <c r="I9" s="179"/>
      <c r="J9" s="179"/>
      <c r="K9" s="174">
        <f t="shared" ref="K9:L16" si="2">F9+I9</f>
        <v>2843031.75</v>
      </c>
      <c r="L9" s="179">
        <f t="shared" si="2"/>
        <v>3411638.1</v>
      </c>
      <c r="Q9" s="319">
        <f>D9</f>
        <v>8747.7900000000009</v>
      </c>
      <c r="R9" s="320">
        <f>E9</f>
        <v>325</v>
      </c>
      <c r="S9" s="320">
        <f>Q9*R9</f>
        <v>2843031.7500000005</v>
      </c>
      <c r="T9" s="320">
        <f>S9*1.2</f>
        <v>3411638.1000000006</v>
      </c>
      <c r="U9" s="320">
        <f>H9</f>
        <v>0</v>
      </c>
      <c r="V9" s="320">
        <f>Q9*U9</f>
        <v>0</v>
      </c>
      <c r="W9" s="320">
        <f>V9*1.2</f>
        <v>0</v>
      </c>
      <c r="X9" s="319">
        <f>S9+V9</f>
        <v>2843031.7500000005</v>
      </c>
      <c r="Y9" s="320">
        <f>T9+W9</f>
        <v>3411638.1000000006</v>
      </c>
      <c r="Z9" s="233"/>
    </row>
    <row r="10" spans="1:26" ht="24" customHeight="1" x14ac:dyDescent="0.25">
      <c r="A10" s="183">
        <f>A9+1</f>
        <v>2</v>
      </c>
      <c r="B10" s="178" t="s">
        <v>518</v>
      </c>
      <c r="C10" s="183" t="s">
        <v>13</v>
      </c>
      <c r="D10" s="187">
        <v>449.45</v>
      </c>
      <c r="E10" s="176">
        <v>1688.1499999999999</v>
      </c>
      <c r="F10" s="182">
        <f t="shared" si="0"/>
        <v>758739.02</v>
      </c>
      <c r="G10" s="182">
        <f t="shared" si="1"/>
        <v>910486.82</v>
      </c>
      <c r="H10" s="462"/>
      <c r="I10" s="182"/>
      <c r="J10" s="182"/>
      <c r="K10" s="176">
        <f t="shared" si="2"/>
        <v>758739.02</v>
      </c>
      <c r="L10" s="182">
        <f t="shared" si="2"/>
        <v>910486.82</v>
      </c>
      <c r="Q10" s="319">
        <f t="shared" ref="Q10:Q73" si="3">D10</f>
        <v>449.45</v>
      </c>
      <c r="R10" s="320">
        <f t="shared" ref="R10:R73" si="4">E10</f>
        <v>1688.1499999999999</v>
      </c>
      <c r="S10" s="320">
        <f t="shared" ref="S10:S73" si="5">Q10*R10</f>
        <v>758739.01749999996</v>
      </c>
      <c r="T10" s="320">
        <f t="shared" ref="T10:T73" si="6">S10*1.2</f>
        <v>910486.82099999988</v>
      </c>
      <c r="U10" s="320">
        <f t="shared" ref="U10:U73" si="7">H10</f>
        <v>0</v>
      </c>
      <c r="V10" s="320">
        <f t="shared" ref="V10:V73" si="8">Q10*U10</f>
        <v>0</v>
      </c>
      <c r="W10" s="320">
        <f t="shared" ref="W10:W73" si="9">V10*1.2</f>
        <v>0</v>
      </c>
      <c r="X10" s="319">
        <f t="shared" ref="X10:Y73" si="10">S10+V10</f>
        <v>758739.01749999996</v>
      </c>
      <c r="Y10" s="320">
        <f t="shared" si="10"/>
        <v>910486.82099999988</v>
      </c>
      <c r="Z10" s="233"/>
    </row>
    <row r="11" spans="1:26" ht="24" customHeight="1" x14ac:dyDescent="0.25">
      <c r="A11" s="183">
        <f t="shared" ref="A11:A16" si="11">A10+1</f>
        <v>3</v>
      </c>
      <c r="B11" s="186" t="s">
        <v>16</v>
      </c>
      <c r="C11" s="339" t="s">
        <v>17</v>
      </c>
      <c r="D11" s="187">
        <f>449.45*1.9</f>
        <v>853.95499999999993</v>
      </c>
      <c r="E11" s="340">
        <v>308.75</v>
      </c>
      <c r="F11" s="182">
        <f t="shared" si="0"/>
        <v>263658.61</v>
      </c>
      <c r="G11" s="182">
        <f t="shared" si="1"/>
        <v>316390.33</v>
      </c>
      <c r="H11" s="462"/>
      <c r="I11" s="182"/>
      <c r="J11" s="182"/>
      <c r="K11" s="176">
        <f t="shared" si="2"/>
        <v>263658.61</v>
      </c>
      <c r="L11" s="182">
        <f t="shared" si="2"/>
        <v>316390.33</v>
      </c>
      <c r="Q11" s="319">
        <f t="shared" si="3"/>
        <v>853.95499999999993</v>
      </c>
      <c r="R11" s="320">
        <f t="shared" si="4"/>
        <v>308.75</v>
      </c>
      <c r="S11" s="320">
        <f t="shared" si="5"/>
        <v>263658.60624999995</v>
      </c>
      <c r="T11" s="320">
        <f t="shared" si="6"/>
        <v>316390.32749999996</v>
      </c>
      <c r="U11" s="320">
        <f t="shared" si="7"/>
        <v>0</v>
      </c>
      <c r="V11" s="320">
        <f t="shared" si="8"/>
        <v>0</v>
      </c>
      <c r="W11" s="320">
        <f t="shared" si="9"/>
        <v>0</v>
      </c>
      <c r="X11" s="319">
        <f t="shared" si="10"/>
        <v>263658.60624999995</v>
      </c>
      <c r="Y11" s="320">
        <f t="shared" si="10"/>
        <v>316390.32749999996</v>
      </c>
      <c r="Z11" s="233"/>
    </row>
    <row r="12" spans="1:26" ht="24" customHeight="1" x14ac:dyDescent="0.25">
      <c r="A12" s="183">
        <f t="shared" si="11"/>
        <v>4</v>
      </c>
      <c r="B12" s="178" t="s">
        <v>519</v>
      </c>
      <c r="C12" s="183" t="s">
        <v>13</v>
      </c>
      <c r="D12" s="187">
        <f>313.854/1.9</f>
        <v>165.1863157894737</v>
      </c>
      <c r="E12" s="176">
        <v>237.5</v>
      </c>
      <c r="F12" s="182">
        <f t="shared" si="0"/>
        <v>39231.75</v>
      </c>
      <c r="G12" s="182">
        <f t="shared" si="1"/>
        <v>47078.1</v>
      </c>
      <c r="H12" s="462"/>
      <c r="I12" s="182"/>
      <c r="J12" s="182"/>
      <c r="K12" s="176">
        <f t="shared" si="2"/>
        <v>39231.75</v>
      </c>
      <c r="L12" s="182">
        <f t="shared" si="2"/>
        <v>47078.1</v>
      </c>
      <c r="Q12" s="319">
        <f t="shared" si="3"/>
        <v>165.1863157894737</v>
      </c>
      <c r="R12" s="320">
        <f t="shared" si="4"/>
        <v>237.5</v>
      </c>
      <c r="S12" s="320">
        <f t="shared" si="5"/>
        <v>39231.75</v>
      </c>
      <c r="T12" s="320">
        <f t="shared" si="6"/>
        <v>47078.1</v>
      </c>
      <c r="U12" s="320">
        <f t="shared" si="7"/>
        <v>0</v>
      </c>
      <c r="V12" s="320">
        <f t="shared" si="8"/>
        <v>0</v>
      </c>
      <c r="W12" s="320">
        <f t="shared" si="9"/>
        <v>0</v>
      </c>
      <c r="X12" s="319">
        <f t="shared" si="10"/>
        <v>39231.75</v>
      </c>
      <c r="Y12" s="320">
        <f t="shared" si="10"/>
        <v>47078.1</v>
      </c>
      <c r="Z12" s="233"/>
    </row>
    <row r="13" spans="1:26" ht="24" customHeight="1" x14ac:dyDescent="0.25">
      <c r="A13" s="183">
        <f t="shared" si="11"/>
        <v>5</v>
      </c>
      <c r="B13" s="186" t="s">
        <v>520</v>
      </c>
      <c r="C13" s="339" t="s">
        <v>41</v>
      </c>
      <c r="D13" s="340">
        <v>2911.44</v>
      </c>
      <c r="E13" s="176">
        <v>277.875</v>
      </c>
      <c r="F13" s="182">
        <f t="shared" si="0"/>
        <v>809016.39</v>
      </c>
      <c r="G13" s="182">
        <f t="shared" si="1"/>
        <v>970819.67</v>
      </c>
      <c r="H13" s="462"/>
      <c r="I13" s="182"/>
      <c r="J13" s="182"/>
      <c r="K13" s="176">
        <f t="shared" si="2"/>
        <v>809016.39</v>
      </c>
      <c r="L13" s="182">
        <f t="shared" si="2"/>
        <v>970819.67</v>
      </c>
      <c r="Q13" s="319">
        <f t="shared" si="3"/>
        <v>2911.44</v>
      </c>
      <c r="R13" s="320">
        <f t="shared" si="4"/>
        <v>277.875</v>
      </c>
      <c r="S13" s="320">
        <f t="shared" si="5"/>
        <v>809016.39</v>
      </c>
      <c r="T13" s="320">
        <f t="shared" si="6"/>
        <v>970819.66799999995</v>
      </c>
      <c r="U13" s="320">
        <f t="shared" si="7"/>
        <v>0</v>
      </c>
      <c r="V13" s="320">
        <f t="shared" si="8"/>
        <v>0</v>
      </c>
      <c r="W13" s="320">
        <f t="shared" si="9"/>
        <v>0</v>
      </c>
      <c r="X13" s="319">
        <f t="shared" si="10"/>
        <v>809016.39</v>
      </c>
      <c r="Y13" s="320">
        <f>L13</f>
        <v>970819.67</v>
      </c>
      <c r="Z13" s="233"/>
    </row>
    <row r="14" spans="1:26" ht="24" customHeight="1" x14ac:dyDescent="0.25">
      <c r="A14" s="183">
        <f t="shared" si="11"/>
        <v>6</v>
      </c>
      <c r="B14" s="186" t="s">
        <v>521</v>
      </c>
      <c r="C14" s="339" t="s">
        <v>41</v>
      </c>
      <c r="D14" s="340">
        <v>0</v>
      </c>
      <c r="E14" s="176">
        <v>277.875</v>
      </c>
      <c r="F14" s="182">
        <f t="shared" si="0"/>
        <v>0</v>
      </c>
      <c r="G14" s="182">
        <f t="shared" si="1"/>
        <v>0</v>
      </c>
      <c r="H14" s="462"/>
      <c r="I14" s="182"/>
      <c r="J14" s="182"/>
      <c r="K14" s="176">
        <f t="shared" si="2"/>
        <v>0</v>
      </c>
      <c r="L14" s="182">
        <f t="shared" si="2"/>
        <v>0</v>
      </c>
      <c r="Q14" s="319">
        <f t="shared" si="3"/>
        <v>0</v>
      </c>
      <c r="R14" s="320">
        <f t="shared" si="4"/>
        <v>277.875</v>
      </c>
      <c r="S14" s="320">
        <f t="shared" si="5"/>
        <v>0</v>
      </c>
      <c r="T14" s="320">
        <f t="shared" si="6"/>
        <v>0</v>
      </c>
      <c r="U14" s="320">
        <f t="shared" si="7"/>
        <v>0</v>
      </c>
      <c r="V14" s="320">
        <f t="shared" si="8"/>
        <v>0</v>
      </c>
      <c r="W14" s="320">
        <f t="shared" si="9"/>
        <v>0</v>
      </c>
      <c r="X14" s="319">
        <f t="shared" si="10"/>
        <v>0</v>
      </c>
      <c r="Y14" s="320">
        <f t="shared" si="10"/>
        <v>0</v>
      </c>
      <c r="Z14" s="233"/>
    </row>
    <row r="15" spans="1:26" ht="24" customHeight="1" x14ac:dyDescent="0.25">
      <c r="A15" s="183">
        <f t="shared" si="11"/>
        <v>7</v>
      </c>
      <c r="B15" s="186" t="s">
        <v>522</v>
      </c>
      <c r="C15" s="339" t="s">
        <v>41</v>
      </c>
      <c r="D15" s="340">
        <v>1483.2</v>
      </c>
      <c r="E15" s="176">
        <v>277.875</v>
      </c>
      <c r="F15" s="182">
        <f t="shared" si="0"/>
        <v>412144.2</v>
      </c>
      <c r="G15" s="182">
        <f t="shared" si="1"/>
        <v>494573.04</v>
      </c>
      <c r="H15" s="462"/>
      <c r="I15" s="182"/>
      <c r="J15" s="182"/>
      <c r="K15" s="176">
        <f t="shared" si="2"/>
        <v>412144.2</v>
      </c>
      <c r="L15" s="182">
        <f t="shared" si="2"/>
        <v>494573.04</v>
      </c>
      <c r="Q15" s="319">
        <f t="shared" si="3"/>
        <v>1483.2</v>
      </c>
      <c r="R15" s="320">
        <f t="shared" si="4"/>
        <v>277.875</v>
      </c>
      <c r="S15" s="320">
        <f t="shared" si="5"/>
        <v>412144.2</v>
      </c>
      <c r="T15" s="320">
        <f t="shared" si="6"/>
        <v>494573.04</v>
      </c>
      <c r="U15" s="320">
        <f t="shared" si="7"/>
        <v>0</v>
      </c>
      <c r="V15" s="320">
        <f t="shared" si="8"/>
        <v>0</v>
      </c>
      <c r="W15" s="320">
        <f t="shared" si="9"/>
        <v>0</v>
      </c>
      <c r="X15" s="319">
        <f t="shared" si="10"/>
        <v>412144.2</v>
      </c>
      <c r="Y15" s="320">
        <f>L15</f>
        <v>494573.04</v>
      </c>
      <c r="Z15" s="233"/>
    </row>
    <row r="16" spans="1:26" ht="24" customHeight="1" x14ac:dyDescent="0.25">
      <c r="A16" s="183">
        <f t="shared" si="11"/>
        <v>8</v>
      </c>
      <c r="B16" s="186" t="s">
        <v>521</v>
      </c>
      <c r="C16" s="339" t="s">
        <v>41</v>
      </c>
      <c r="D16" s="340">
        <v>0</v>
      </c>
      <c r="E16" s="176">
        <v>277.875</v>
      </c>
      <c r="F16" s="182">
        <f t="shared" si="0"/>
        <v>0</v>
      </c>
      <c r="G16" s="182">
        <f t="shared" si="1"/>
        <v>0</v>
      </c>
      <c r="H16" s="462"/>
      <c r="I16" s="182"/>
      <c r="J16" s="182"/>
      <c r="K16" s="176">
        <f t="shared" si="2"/>
        <v>0</v>
      </c>
      <c r="L16" s="182">
        <f t="shared" si="2"/>
        <v>0</v>
      </c>
      <c r="Q16" s="319">
        <f t="shared" si="3"/>
        <v>0</v>
      </c>
      <c r="R16" s="320">
        <f t="shared" si="4"/>
        <v>277.875</v>
      </c>
      <c r="S16" s="320">
        <f t="shared" si="5"/>
        <v>0</v>
      </c>
      <c r="T16" s="320">
        <f t="shared" si="6"/>
        <v>0</v>
      </c>
      <c r="U16" s="320">
        <f t="shared" si="7"/>
        <v>0</v>
      </c>
      <c r="V16" s="320">
        <f t="shared" si="8"/>
        <v>0</v>
      </c>
      <c r="W16" s="320">
        <f t="shared" si="9"/>
        <v>0</v>
      </c>
      <c r="X16" s="319">
        <f t="shared" si="10"/>
        <v>0</v>
      </c>
      <c r="Y16" s="320">
        <f t="shared" si="10"/>
        <v>0</v>
      </c>
      <c r="Z16" s="233"/>
    </row>
    <row r="17" spans="1:26" ht="21.75" customHeight="1" x14ac:dyDescent="0.25">
      <c r="A17" s="88"/>
      <c r="B17" s="334" t="s">
        <v>523</v>
      </c>
      <c r="C17" s="341"/>
      <c r="D17" s="96"/>
      <c r="E17" s="342"/>
      <c r="F17" s="126"/>
      <c r="G17" s="126"/>
      <c r="H17" s="461"/>
      <c r="I17" s="91"/>
      <c r="J17" s="91"/>
      <c r="K17" s="18"/>
      <c r="L17" s="91"/>
      <c r="Q17" s="319">
        <f t="shared" si="3"/>
        <v>0</v>
      </c>
      <c r="R17" s="320">
        <f t="shared" si="4"/>
        <v>0</v>
      </c>
      <c r="S17" s="320">
        <f t="shared" si="5"/>
        <v>0</v>
      </c>
      <c r="T17" s="320">
        <f t="shared" si="6"/>
        <v>0</v>
      </c>
      <c r="U17" s="320">
        <f t="shared" si="7"/>
        <v>0</v>
      </c>
      <c r="V17" s="320">
        <f t="shared" si="8"/>
        <v>0</v>
      </c>
      <c r="W17" s="320">
        <f t="shared" si="9"/>
        <v>0</v>
      </c>
      <c r="X17" s="319">
        <f t="shared" si="10"/>
        <v>0</v>
      </c>
      <c r="Y17" s="320">
        <f t="shared" si="10"/>
        <v>0</v>
      </c>
      <c r="Z17" s="233"/>
    </row>
    <row r="18" spans="1:26" ht="34.5" customHeight="1" x14ac:dyDescent="0.25">
      <c r="A18" s="172">
        <f>A16+1</f>
        <v>9</v>
      </c>
      <c r="B18" s="335" t="s">
        <v>524</v>
      </c>
      <c r="C18" s="336" t="s">
        <v>41</v>
      </c>
      <c r="D18" s="337">
        <v>5924.94</v>
      </c>
      <c r="E18" s="338">
        <v>77.5</v>
      </c>
      <c r="F18" s="179">
        <f t="shared" ref="F18" si="12">ROUND(E18*D18,2)</f>
        <v>459182.85</v>
      </c>
      <c r="G18" s="179">
        <f t="shared" ref="G18" si="13">ROUND(F18*1.2,2)</f>
        <v>551019.42000000004</v>
      </c>
      <c r="H18" s="463"/>
      <c r="I18" s="179"/>
      <c r="J18" s="179"/>
      <c r="K18" s="174">
        <f t="shared" ref="K18:L26" si="14">F18+I18</f>
        <v>459182.85</v>
      </c>
      <c r="L18" s="179">
        <f t="shared" si="14"/>
        <v>551019.42000000004</v>
      </c>
      <c r="Q18" s="319">
        <f t="shared" si="3"/>
        <v>5924.94</v>
      </c>
      <c r="R18" s="320">
        <f t="shared" si="4"/>
        <v>77.5</v>
      </c>
      <c r="S18" s="320">
        <f t="shared" si="5"/>
        <v>459182.85</v>
      </c>
      <c r="T18" s="320">
        <f t="shared" si="6"/>
        <v>551019.41999999993</v>
      </c>
      <c r="U18" s="320">
        <f t="shared" si="7"/>
        <v>0</v>
      </c>
      <c r="V18" s="320">
        <f t="shared" si="8"/>
        <v>0</v>
      </c>
      <c r="W18" s="320">
        <f t="shared" si="9"/>
        <v>0</v>
      </c>
      <c r="X18" s="319">
        <f t="shared" si="10"/>
        <v>459182.85</v>
      </c>
      <c r="Y18" s="320">
        <f t="shared" si="10"/>
        <v>551019.41999999993</v>
      </c>
      <c r="Z18" s="233"/>
    </row>
    <row r="19" spans="1:26" ht="20.25" customHeight="1" x14ac:dyDescent="0.25">
      <c r="A19" s="113" t="s">
        <v>70</v>
      </c>
      <c r="B19" s="19" t="s">
        <v>525</v>
      </c>
      <c r="C19" s="20" t="s">
        <v>41</v>
      </c>
      <c r="D19" s="343">
        <f>D18*1.1</f>
        <v>6517.4340000000002</v>
      </c>
      <c r="E19" s="21"/>
      <c r="F19" s="134"/>
      <c r="G19" s="134"/>
      <c r="H19" s="134">
        <v>145.66</v>
      </c>
      <c r="I19" s="134">
        <f>ROUND(H19*D19,2)</f>
        <v>949329.44</v>
      </c>
      <c r="J19" s="134">
        <f>ROUND(I19*1.2,2)</f>
        <v>1139195.33</v>
      </c>
      <c r="K19" s="28">
        <f t="shared" si="14"/>
        <v>949329.44</v>
      </c>
      <c r="L19" s="134">
        <f t="shared" si="14"/>
        <v>1139195.33</v>
      </c>
      <c r="Q19" s="319">
        <f t="shared" si="3"/>
        <v>6517.4340000000002</v>
      </c>
      <c r="R19" s="320">
        <f t="shared" si="4"/>
        <v>0</v>
      </c>
      <c r="S19" s="320">
        <f t="shared" si="5"/>
        <v>0</v>
      </c>
      <c r="T19" s="320">
        <f t="shared" si="6"/>
        <v>0</v>
      </c>
      <c r="U19" s="320">
        <f t="shared" si="7"/>
        <v>145.66</v>
      </c>
      <c r="V19" s="320">
        <f t="shared" si="8"/>
        <v>949329.43643999996</v>
      </c>
      <c r="W19" s="320">
        <f t="shared" si="9"/>
        <v>1139195.3237279998</v>
      </c>
      <c r="X19" s="319">
        <f t="shared" si="10"/>
        <v>949329.43643999996</v>
      </c>
      <c r="Y19" s="320">
        <f t="shared" si="10"/>
        <v>1139195.3237279998</v>
      </c>
      <c r="Z19" s="233"/>
    </row>
    <row r="20" spans="1:26" ht="31.5" customHeight="1" x14ac:dyDescent="0.25">
      <c r="A20" s="183">
        <f>A18+1</f>
        <v>10</v>
      </c>
      <c r="B20" s="186" t="s">
        <v>526</v>
      </c>
      <c r="C20" s="339" t="s">
        <v>13</v>
      </c>
      <c r="D20" s="340">
        <v>1805.95</v>
      </c>
      <c r="E20" s="176">
        <v>1179.8999999999999</v>
      </c>
      <c r="F20" s="182">
        <f t="shared" ref="F20" si="15">ROUND(E20*D20,2)</f>
        <v>2130840.41</v>
      </c>
      <c r="G20" s="182">
        <f t="shared" ref="G20" si="16">ROUND(F20*1.2,2)</f>
        <v>2557008.4900000002</v>
      </c>
      <c r="H20" s="462"/>
      <c r="I20" s="182"/>
      <c r="J20" s="182"/>
      <c r="K20" s="176">
        <f t="shared" si="14"/>
        <v>2130840.41</v>
      </c>
      <c r="L20" s="182">
        <f t="shared" si="14"/>
        <v>2557008.4900000002</v>
      </c>
      <c r="Q20" s="319">
        <f t="shared" si="3"/>
        <v>1805.95</v>
      </c>
      <c r="R20" s="320">
        <f t="shared" si="4"/>
        <v>1179.8999999999999</v>
      </c>
      <c r="S20" s="320">
        <f t="shared" si="5"/>
        <v>2130840.4049999998</v>
      </c>
      <c r="T20" s="320">
        <f t="shared" si="6"/>
        <v>2557008.4859999996</v>
      </c>
      <c r="U20" s="320">
        <f t="shared" si="7"/>
        <v>0</v>
      </c>
      <c r="V20" s="320">
        <f t="shared" si="8"/>
        <v>0</v>
      </c>
      <c r="W20" s="320">
        <f t="shared" si="9"/>
        <v>0</v>
      </c>
      <c r="X20" s="319">
        <f t="shared" si="10"/>
        <v>2130840.4049999998</v>
      </c>
      <c r="Y20" s="320">
        <f t="shared" si="10"/>
        <v>2557008.4859999996</v>
      </c>
      <c r="Z20" s="233"/>
    </row>
    <row r="21" spans="1:26" ht="20.25" customHeight="1" x14ac:dyDescent="0.25">
      <c r="A21" s="113" t="s">
        <v>18</v>
      </c>
      <c r="B21" s="19" t="s">
        <v>527</v>
      </c>
      <c r="C21" s="20" t="s">
        <v>13</v>
      </c>
      <c r="D21" s="343">
        <v>1986.55</v>
      </c>
      <c r="E21" s="21"/>
      <c r="F21" s="134"/>
      <c r="G21" s="134"/>
      <c r="H21" s="134">
        <v>1029.1600000000001</v>
      </c>
      <c r="I21" s="134">
        <f>ROUND(H21*D21,2)</f>
        <v>2044477.8</v>
      </c>
      <c r="J21" s="134">
        <f>ROUND(I21*1.2,2)</f>
        <v>2453373.36</v>
      </c>
      <c r="K21" s="28">
        <f t="shared" si="14"/>
        <v>2044477.8</v>
      </c>
      <c r="L21" s="134">
        <f t="shared" si="14"/>
        <v>2453373.36</v>
      </c>
      <c r="Q21" s="319">
        <f t="shared" si="3"/>
        <v>1986.55</v>
      </c>
      <c r="R21" s="320">
        <f t="shared" si="4"/>
        <v>0</v>
      </c>
      <c r="S21" s="320">
        <f t="shared" si="5"/>
        <v>0</v>
      </c>
      <c r="T21" s="320">
        <f t="shared" si="6"/>
        <v>0</v>
      </c>
      <c r="U21" s="320">
        <f t="shared" si="7"/>
        <v>1029.1600000000001</v>
      </c>
      <c r="V21" s="320">
        <f t="shared" si="8"/>
        <v>2044477.7980000002</v>
      </c>
      <c r="W21" s="320">
        <f t="shared" si="9"/>
        <v>2453373.3576000002</v>
      </c>
      <c r="X21" s="319">
        <f t="shared" si="10"/>
        <v>2044477.7980000002</v>
      </c>
      <c r="Y21" s="320">
        <f t="shared" si="10"/>
        <v>2453373.3576000002</v>
      </c>
      <c r="Z21" s="233"/>
    </row>
    <row r="22" spans="1:26" ht="31.5" customHeight="1" x14ac:dyDescent="0.25">
      <c r="A22" s="183">
        <f>A20+1</f>
        <v>11</v>
      </c>
      <c r="B22" s="186" t="s">
        <v>528</v>
      </c>
      <c r="C22" s="339" t="s">
        <v>13</v>
      </c>
      <c r="D22" s="340">
        <v>2858.58</v>
      </c>
      <c r="E22" s="176">
        <v>1421.01</v>
      </c>
      <c r="F22" s="182">
        <f t="shared" ref="F22" si="17">ROUND(E22*D22,2)</f>
        <v>4062070.77</v>
      </c>
      <c r="G22" s="182">
        <f t="shared" ref="G22" si="18">ROUND(F22*1.2,2)</f>
        <v>4874484.92</v>
      </c>
      <c r="H22" s="462"/>
      <c r="I22" s="182"/>
      <c r="J22" s="182"/>
      <c r="K22" s="176">
        <f t="shared" si="14"/>
        <v>4062070.77</v>
      </c>
      <c r="L22" s="182">
        <f t="shared" si="14"/>
        <v>4874484.92</v>
      </c>
      <c r="Q22" s="319">
        <f t="shared" si="3"/>
        <v>2858.58</v>
      </c>
      <c r="R22" s="320">
        <f t="shared" si="4"/>
        <v>1421.01</v>
      </c>
      <c r="S22" s="320">
        <f t="shared" si="5"/>
        <v>4062070.7657999997</v>
      </c>
      <c r="T22" s="320">
        <f t="shared" si="6"/>
        <v>4874484.9189599995</v>
      </c>
      <c r="U22" s="320">
        <f t="shared" si="7"/>
        <v>0</v>
      </c>
      <c r="V22" s="320">
        <f t="shared" si="8"/>
        <v>0</v>
      </c>
      <c r="W22" s="320">
        <f t="shared" si="9"/>
        <v>0</v>
      </c>
      <c r="X22" s="319">
        <f t="shared" si="10"/>
        <v>4062070.7657999997</v>
      </c>
      <c r="Y22" s="320">
        <f t="shared" si="10"/>
        <v>4874484.9189599995</v>
      </c>
      <c r="Z22" s="233"/>
    </row>
    <row r="23" spans="1:26" ht="20.25" customHeight="1" x14ac:dyDescent="0.25">
      <c r="A23" s="113" t="s">
        <v>71</v>
      </c>
      <c r="B23" s="19" t="s">
        <v>529</v>
      </c>
      <c r="C23" s="20" t="s">
        <v>13</v>
      </c>
      <c r="D23" s="343">
        <f>D22*1.26</f>
        <v>3601.8107999999997</v>
      </c>
      <c r="E23" s="21"/>
      <c r="F23" s="134"/>
      <c r="G23" s="134"/>
      <c r="H23" s="134">
        <v>4195.84</v>
      </c>
      <c r="I23" s="134">
        <f>ROUND(H23*D23,2)</f>
        <v>15112621.83</v>
      </c>
      <c r="J23" s="134">
        <f>ROUND(I23*1.2,2)</f>
        <v>18135146.199999999</v>
      </c>
      <c r="K23" s="28">
        <f t="shared" si="14"/>
        <v>15112621.83</v>
      </c>
      <c r="L23" s="134">
        <f t="shared" si="14"/>
        <v>18135146.199999999</v>
      </c>
      <c r="Q23" s="319">
        <f t="shared" si="3"/>
        <v>3601.8107999999997</v>
      </c>
      <c r="R23" s="320">
        <f t="shared" si="4"/>
        <v>0</v>
      </c>
      <c r="S23" s="320">
        <f t="shared" si="5"/>
        <v>0</v>
      </c>
      <c r="T23" s="320">
        <f t="shared" si="6"/>
        <v>0</v>
      </c>
      <c r="U23" s="320">
        <f t="shared" si="7"/>
        <v>4195.84</v>
      </c>
      <c r="V23" s="320">
        <f t="shared" si="8"/>
        <v>15112621.827072</v>
      </c>
      <c r="W23" s="320">
        <f t="shared" si="9"/>
        <v>18135146.192486398</v>
      </c>
      <c r="X23" s="319">
        <f t="shared" si="10"/>
        <v>15112621.827072</v>
      </c>
      <c r="Y23" s="320">
        <f t="shared" si="10"/>
        <v>18135146.192486398</v>
      </c>
      <c r="Z23" s="233"/>
    </row>
    <row r="24" spans="1:26" ht="24.75" customHeight="1" x14ac:dyDescent="0.25">
      <c r="A24" s="183">
        <f>A22+1</f>
        <v>12</v>
      </c>
      <c r="B24" s="186" t="s">
        <v>530</v>
      </c>
      <c r="C24" s="339" t="s">
        <v>13</v>
      </c>
      <c r="D24" s="344">
        <v>43</v>
      </c>
      <c r="E24" s="176">
        <v>1421.01</v>
      </c>
      <c r="F24" s="182">
        <f t="shared" ref="F24:F25" si="19">ROUND(E24*D24,2)</f>
        <v>61103.43</v>
      </c>
      <c r="G24" s="182">
        <f t="shared" ref="G24:G25" si="20">ROUND(F24*1.2,2)</f>
        <v>73324.12</v>
      </c>
      <c r="H24" s="462"/>
      <c r="I24" s="182"/>
      <c r="J24" s="182"/>
      <c r="K24" s="176">
        <f t="shared" si="14"/>
        <v>61103.43</v>
      </c>
      <c r="L24" s="182">
        <f t="shared" si="14"/>
        <v>73324.12</v>
      </c>
      <c r="Q24" s="319">
        <f t="shared" si="3"/>
        <v>43</v>
      </c>
      <c r="R24" s="320">
        <f t="shared" si="4"/>
        <v>1421.01</v>
      </c>
      <c r="S24" s="320">
        <f t="shared" si="5"/>
        <v>61103.43</v>
      </c>
      <c r="T24" s="320">
        <f t="shared" si="6"/>
        <v>73324.115999999995</v>
      </c>
      <c r="U24" s="320">
        <f t="shared" si="7"/>
        <v>0</v>
      </c>
      <c r="V24" s="320">
        <f t="shared" si="8"/>
        <v>0</v>
      </c>
      <c r="W24" s="320">
        <f t="shared" si="9"/>
        <v>0</v>
      </c>
      <c r="X24" s="319">
        <f t="shared" si="10"/>
        <v>61103.43</v>
      </c>
      <c r="Y24" s="320">
        <f t="shared" si="10"/>
        <v>73324.115999999995</v>
      </c>
      <c r="Z24" s="233"/>
    </row>
    <row r="25" spans="1:26" ht="24.75" customHeight="1" x14ac:dyDescent="0.25">
      <c r="A25" s="183">
        <f>A24+1</f>
        <v>13</v>
      </c>
      <c r="B25" s="186" t="s">
        <v>531</v>
      </c>
      <c r="C25" s="339" t="s">
        <v>13</v>
      </c>
      <c r="D25" s="344">
        <v>43</v>
      </c>
      <c r="E25" s="176">
        <v>1421.01</v>
      </c>
      <c r="F25" s="182">
        <f t="shared" si="19"/>
        <v>61103.43</v>
      </c>
      <c r="G25" s="182">
        <f t="shared" si="20"/>
        <v>73324.12</v>
      </c>
      <c r="H25" s="462"/>
      <c r="I25" s="182"/>
      <c r="J25" s="182"/>
      <c r="K25" s="176">
        <f t="shared" si="14"/>
        <v>61103.43</v>
      </c>
      <c r="L25" s="182">
        <f t="shared" si="14"/>
        <v>73324.12</v>
      </c>
      <c r="Q25" s="319">
        <f t="shared" si="3"/>
        <v>43</v>
      </c>
      <c r="R25" s="320">
        <f t="shared" si="4"/>
        <v>1421.01</v>
      </c>
      <c r="S25" s="320">
        <f t="shared" si="5"/>
        <v>61103.43</v>
      </c>
      <c r="T25" s="320">
        <f t="shared" si="6"/>
        <v>73324.115999999995</v>
      </c>
      <c r="U25" s="320">
        <f t="shared" si="7"/>
        <v>0</v>
      </c>
      <c r="V25" s="320">
        <f t="shared" si="8"/>
        <v>0</v>
      </c>
      <c r="W25" s="320">
        <f t="shared" si="9"/>
        <v>0</v>
      </c>
      <c r="X25" s="319">
        <f t="shared" si="10"/>
        <v>61103.43</v>
      </c>
      <c r="Y25" s="320">
        <f t="shared" si="10"/>
        <v>73324.115999999995</v>
      </c>
      <c r="Z25" s="233"/>
    </row>
    <row r="26" spans="1:26" ht="20.25" customHeight="1" x14ac:dyDescent="0.25">
      <c r="A26" s="113" t="s">
        <v>73</v>
      </c>
      <c r="B26" s="19" t="s">
        <v>529</v>
      </c>
      <c r="C26" s="20" t="s">
        <v>13</v>
      </c>
      <c r="D26" s="343">
        <f>D25*1.17</f>
        <v>50.309999999999995</v>
      </c>
      <c r="E26" s="21"/>
      <c r="F26" s="134"/>
      <c r="G26" s="134"/>
      <c r="H26" s="134">
        <v>4195.84</v>
      </c>
      <c r="I26" s="134">
        <f>ROUND(H26*D26,2)</f>
        <v>211092.71</v>
      </c>
      <c r="J26" s="134">
        <f>ROUND(I26*1.2,2)</f>
        <v>253311.25</v>
      </c>
      <c r="K26" s="28">
        <f t="shared" si="14"/>
        <v>211092.71</v>
      </c>
      <c r="L26" s="134">
        <f t="shared" si="14"/>
        <v>253311.25</v>
      </c>
      <c r="Q26" s="319">
        <f t="shared" si="3"/>
        <v>50.309999999999995</v>
      </c>
      <c r="R26" s="320">
        <f t="shared" si="4"/>
        <v>0</v>
      </c>
      <c r="S26" s="320">
        <f t="shared" si="5"/>
        <v>0</v>
      </c>
      <c r="T26" s="320">
        <f t="shared" si="6"/>
        <v>0</v>
      </c>
      <c r="U26" s="320">
        <f t="shared" si="7"/>
        <v>4195.84</v>
      </c>
      <c r="V26" s="320">
        <f t="shared" si="8"/>
        <v>211092.71039999998</v>
      </c>
      <c r="W26" s="320">
        <f t="shared" si="9"/>
        <v>253311.25247999997</v>
      </c>
      <c r="X26" s="319">
        <f t="shared" si="10"/>
        <v>211092.71039999998</v>
      </c>
      <c r="Y26" s="320">
        <f t="shared" si="10"/>
        <v>253311.25247999997</v>
      </c>
      <c r="Z26" s="233"/>
    </row>
    <row r="27" spans="1:26" ht="24.75" customHeight="1" x14ac:dyDescent="0.25">
      <c r="A27" s="88"/>
      <c r="B27" s="334" t="s">
        <v>223</v>
      </c>
      <c r="C27" s="341"/>
      <c r="D27" s="345"/>
      <c r="E27" s="18"/>
      <c r="F27" s="126"/>
      <c r="G27" s="126"/>
      <c r="H27" s="461"/>
      <c r="I27" s="91"/>
      <c r="J27" s="91"/>
      <c r="K27" s="18"/>
      <c r="L27" s="91"/>
      <c r="Q27" s="319">
        <f t="shared" si="3"/>
        <v>0</v>
      </c>
      <c r="R27" s="320">
        <f t="shared" si="4"/>
        <v>0</v>
      </c>
      <c r="S27" s="320"/>
      <c r="T27" s="320"/>
      <c r="U27" s="320">
        <f t="shared" si="7"/>
        <v>0</v>
      </c>
      <c r="V27" s="320"/>
      <c r="W27" s="320"/>
      <c r="X27" s="319"/>
      <c r="Y27" s="320"/>
      <c r="Z27" s="233"/>
    </row>
    <row r="28" spans="1:26" ht="24.75" customHeight="1" x14ac:dyDescent="0.25">
      <c r="A28" s="183">
        <f>A25+1</f>
        <v>14</v>
      </c>
      <c r="B28" s="186" t="s">
        <v>532</v>
      </c>
      <c r="C28" s="339" t="s">
        <v>533</v>
      </c>
      <c r="D28" s="346">
        <v>2</v>
      </c>
      <c r="E28" s="176">
        <v>104093.4</v>
      </c>
      <c r="F28" s="182">
        <f t="shared" ref="F28:F31" si="21">ROUND(E28*D28,2)</f>
        <v>208186.8</v>
      </c>
      <c r="G28" s="182">
        <f t="shared" ref="G28:G31" si="22">ROUND(F28*1.2,2)</f>
        <v>249824.16</v>
      </c>
      <c r="H28" s="462"/>
      <c r="I28" s="182"/>
      <c r="J28" s="182"/>
      <c r="K28" s="176">
        <f t="shared" ref="K28:L31" si="23">F28+I28</f>
        <v>208186.8</v>
      </c>
      <c r="L28" s="182">
        <f t="shared" si="23"/>
        <v>249824.16</v>
      </c>
      <c r="Q28" s="319">
        <f t="shared" si="3"/>
        <v>2</v>
      </c>
      <c r="R28" s="320">
        <f t="shared" si="4"/>
        <v>104093.4</v>
      </c>
      <c r="S28" s="320">
        <f t="shared" si="5"/>
        <v>208186.8</v>
      </c>
      <c r="T28" s="320">
        <f t="shared" si="6"/>
        <v>249824.15999999997</v>
      </c>
      <c r="U28" s="320">
        <f t="shared" si="7"/>
        <v>0</v>
      </c>
      <c r="V28" s="320">
        <f t="shared" si="8"/>
        <v>0</v>
      </c>
      <c r="W28" s="320">
        <f t="shared" si="9"/>
        <v>0</v>
      </c>
      <c r="X28" s="319">
        <f t="shared" si="10"/>
        <v>208186.8</v>
      </c>
      <c r="Y28" s="320">
        <f t="shared" si="10"/>
        <v>249824.15999999997</v>
      </c>
      <c r="Z28" s="233"/>
    </row>
    <row r="29" spans="1:26" ht="24.75" customHeight="1" x14ac:dyDescent="0.25">
      <c r="A29" s="183">
        <f t="shared" ref="A29:A31" si="24">A28+1</f>
        <v>15</v>
      </c>
      <c r="B29" s="186" t="s">
        <v>534</v>
      </c>
      <c r="C29" s="339" t="s">
        <v>533</v>
      </c>
      <c r="D29" s="346">
        <v>4</v>
      </c>
      <c r="E29" s="176">
        <v>82507.5</v>
      </c>
      <c r="F29" s="182">
        <f t="shared" si="21"/>
        <v>330030</v>
      </c>
      <c r="G29" s="182">
        <f t="shared" si="22"/>
        <v>396036</v>
      </c>
      <c r="H29" s="462"/>
      <c r="I29" s="182"/>
      <c r="J29" s="182"/>
      <c r="K29" s="176">
        <f t="shared" si="23"/>
        <v>330030</v>
      </c>
      <c r="L29" s="182">
        <f t="shared" si="23"/>
        <v>396036</v>
      </c>
      <c r="Q29" s="319">
        <f t="shared" si="3"/>
        <v>4</v>
      </c>
      <c r="R29" s="320">
        <f t="shared" si="4"/>
        <v>82507.5</v>
      </c>
      <c r="S29" s="320">
        <f t="shared" si="5"/>
        <v>330030</v>
      </c>
      <c r="T29" s="320">
        <f t="shared" si="6"/>
        <v>396036</v>
      </c>
      <c r="U29" s="320">
        <f t="shared" si="7"/>
        <v>0</v>
      </c>
      <c r="V29" s="320">
        <f t="shared" si="8"/>
        <v>0</v>
      </c>
      <c r="W29" s="320">
        <f t="shared" si="9"/>
        <v>0</v>
      </c>
      <c r="X29" s="319">
        <f t="shared" si="10"/>
        <v>330030</v>
      </c>
      <c r="Y29" s="320">
        <f t="shared" si="10"/>
        <v>396036</v>
      </c>
      <c r="Z29" s="233"/>
    </row>
    <row r="30" spans="1:26" ht="24.75" customHeight="1" x14ac:dyDescent="0.25">
      <c r="A30" s="183">
        <f t="shared" si="24"/>
        <v>16</v>
      </c>
      <c r="B30" s="186" t="s">
        <v>535</v>
      </c>
      <c r="C30" s="339" t="s">
        <v>15</v>
      </c>
      <c r="D30" s="344">
        <v>725.52</v>
      </c>
      <c r="E30" s="176">
        <v>1880.81</v>
      </c>
      <c r="F30" s="182">
        <f t="shared" si="21"/>
        <v>1364565.27</v>
      </c>
      <c r="G30" s="182">
        <f t="shared" si="22"/>
        <v>1637478.32</v>
      </c>
      <c r="H30" s="462"/>
      <c r="I30" s="182"/>
      <c r="J30" s="182"/>
      <c r="K30" s="176">
        <f t="shared" si="23"/>
        <v>1364565.27</v>
      </c>
      <c r="L30" s="182">
        <f t="shared" si="23"/>
        <v>1637478.32</v>
      </c>
      <c r="Q30" s="319">
        <f t="shared" si="3"/>
        <v>725.52</v>
      </c>
      <c r="R30" s="320">
        <f t="shared" si="4"/>
        <v>1880.81</v>
      </c>
      <c r="S30" s="320">
        <f t="shared" si="5"/>
        <v>1364565.2711999998</v>
      </c>
      <c r="T30" s="320">
        <f t="shared" si="6"/>
        <v>1637478.3254399998</v>
      </c>
      <c r="U30" s="320">
        <f t="shared" si="7"/>
        <v>0</v>
      </c>
      <c r="V30" s="320">
        <f t="shared" si="8"/>
        <v>0</v>
      </c>
      <c r="W30" s="320">
        <f t="shared" si="9"/>
        <v>0</v>
      </c>
      <c r="X30" s="319">
        <f t="shared" si="10"/>
        <v>1364565.2711999998</v>
      </c>
      <c r="Y30" s="320">
        <f t="shared" si="10"/>
        <v>1637478.3254399998</v>
      </c>
      <c r="Z30" s="233"/>
    </row>
    <row r="31" spans="1:26" ht="24.75" customHeight="1" x14ac:dyDescent="0.25">
      <c r="A31" s="183">
        <f t="shared" si="24"/>
        <v>17</v>
      </c>
      <c r="B31" s="186" t="s">
        <v>536</v>
      </c>
      <c r="C31" s="339" t="s">
        <v>15</v>
      </c>
      <c r="D31" s="346">
        <v>80</v>
      </c>
      <c r="E31" s="176">
        <v>1979.8</v>
      </c>
      <c r="F31" s="182">
        <f t="shared" si="21"/>
        <v>158384</v>
      </c>
      <c r="G31" s="182">
        <f t="shared" si="22"/>
        <v>190060.79999999999</v>
      </c>
      <c r="H31" s="462"/>
      <c r="I31" s="182"/>
      <c r="J31" s="182"/>
      <c r="K31" s="176">
        <f t="shared" si="23"/>
        <v>158384</v>
      </c>
      <c r="L31" s="182">
        <f t="shared" si="23"/>
        <v>190060.79999999999</v>
      </c>
      <c r="Q31" s="319">
        <f t="shared" si="3"/>
        <v>80</v>
      </c>
      <c r="R31" s="320">
        <f t="shared" si="4"/>
        <v>1979.8</v>
      </c>
      <c r="S31" s="320">
        <f t="shared" si="5"/>
        <v>158384</v>
      </c>
      <c r="T31" s="320">
        <f t="shared" si="6"/>
        <v>190060.79999999999</v>
      </c>
      <c r="U31" s="320">
        <f t="shared" si="7"/>
        <v>0</v>
      </c>
      <c r="V31" s="320">
        <f t="shared" si="8"/>
        <v>0</v>
      </c>
      <c r="W31" s="320">
        <f t="shared" si="9"/>
        <v>0</v>
      </c>
      <c r="X31" s="319">
        <f t="shared" si="10"/>
        <v>158384</v>
      </c>
      <c r="Y31" s="320">
        <f t="shared" si="10"/>
        <v>190060.79999999999</v>
      </c>
      <c r="Z31" s="233"/>
    </row>
    <row r="32" spans="1:26" ht="21.75" customHeight="1" x14ac:dyDescent="0.25">
      <c r="A32" s="88"/>
      <c r="B32" s="347" t="s">
        <v>164</v>
      </c>
      <c r="C32" s="341"/>
      <c r="D32" s="348"/>
      <c r="E32" s="18"/>
      <c r="F32" s="126"/>
      <c r="G32" s="126"/>
      <c r="H32" s="461"/>
      <c r="I32" s="91"/>
      <c r="J32" s="91"/>
      <c r="K32" s="18"/>
      <c r="L32" s="91"/>
      <c r="Q32" s="319">
        <f t="shared" si="3"/>
        <v>0</v>
      </c>
      <c r="R32" s="320">
        <f t="shared" si="4"/>
        <v>0</v>
      </c>
      <c r="S32" s="320">
        <f t="shared" si="5"/>
        <v>0</v>
      </c>
      <c r="T32" s="320">
        <f t="shared" si="6"/>
        <v>0</v>
      </c>
      <c r="U32" s="320">
        <f t="shared" si="7"/>
        <v>0</v>
      </c>
      <c r="V32" s="320">
        <f t="shared" si="8"/>
        <v>0</v>
      </c>
      <c r="W32" s="320">
        <f t="shared" si="9"/>
        <v>0</v>
      </c>
      <c r="X32" s="319">
        <f t="shared" si="10"/>
        <v>0</v>
      </c>
      <c r="Y32" s="320">
        <f t="shared" si="10"/>
        <v>0</v>
      </c>
      <c r="Z32" s="233"/>
    </row>
    <row r="33" spans="1:26" ht="24.75" customHeight="1" x14ac:dyDescent="0.25">
      <c r="A33" s="183">
        <f>A31+1</f>
        <v>18</v>
      </c>
      <c r="B33" s="178" t="s">
        <v>537</v>
      </c>
      <c r="C33" s="339" t="s">
        <v>17</v>
      </c>
      <c r="D33" s="344">
        <f>48.36+7.81+26.34</f>
        <v>82.51</v>
      </c>
      <c r="E33" s="176">
        <v>335</v>
      </c>
      <c r="F33" s="182">
        <f t="shared" ref="F33:F35" si="25">ROUND(E33*D33,2)</f>
        <v>27640.85</v>
      </c>
      <c r="G33" s="182">
        <f t="shared" ref="G33:G35" si="26">ROUND(F33*1.2,2)</f>
        <v>33169.019999999997</v>
      </c>
      <c r="H33" s="462"/>
      <c r="I33" s="182"/>
      <c r="J33" s="182"/>
      <c r="K33" s="176">
        <f t="shared" ref="K33:L35" si="27">F33+I33</f>
        <v>27640.85</v>
      </c>
      <c r="L33" s="182">
        <f t="shared" si="27"/>
        <v>33169.019999999997</v>
      </c>
      <c r="Q33" s="319">
        <f t="shared" si="3"/>
        <v>82.51</v>
      </c>
      <c r="R33" s="320">
        <f t="shared" si="4"/>
        <v>335</v>
      </c>
      <c r="S33" s="320">
        <f t="shared" si="5"/>
        <v>27640.850000000002</v>
      </c>
      <c r="T33" s="320">
        <f t="shared" si="6"/>
        <v>33169.020000000004</v>
      </c>
      <c r="U33" s="320">
        <f t="shared" si="7"/>
        <v>0</v>
      </c>
      <c r="V33" s="320">
        <f t="shared" si="8"/>
        <v>0</v>
      </c>
      <c r="W33" s="320">
        <f t="shared" si="9"/>
        <v>0</v>
      </c>
      <c r="X33" s="319">
        <f t="shared" si="10"/>
        <v>27640.850000000002</v>
      </c>
      <c r="Y33" s="320">
        <f t="shared" si="10"/>
        <v>33169.020000000004</v>
      </c>
      <c r="Z33" s="233"/>
    </row>
    <row r="34" spans="1:26" ht="24.75" customHeight="1" x14ac:dyDescent="0.25">
      <c r="A34" s="172">
        <f>A33+1</f>
        <v>19</v>
      </c>
      <c r="B34" s="171" t="s">
        <v>538</v>
      </c>
      <c r="C34" s="336" t="s">
        <v>17</v>
      </c>
      <c r="D34" s="349">
        <v>56.17</v>
      </c>
      <c r="E34" s="174">
        <v>308.75</v>
      </c>
      <c r="F34" s="179">
        <f t="shared" si="25"/>
        <v>17342.490000000002</v>
      </c>
      <c r="G34" s="179">
        <f t="shared" si="26"/>
        <v>20810.990000000002</v>
      </c>
      <c r="H34" s="463"/>
      <c r="I34" s="179"/>
      <c r="J34" s="179"/>
      <c r="K34" s="174">
        <f t="shared" si="27"/>
        <v>17342.490000000002</v>
      </c>
      <c r="L34" s="179">
        <f t="shared" si="27"/>
        <v>20810.990000000002</v>
      </c>
      <c r="Q34" s="319">
        <f t="shared" si="3"/>
        <v>56.17</v>
      </c>
      <c r="R34" s="320">
        <f t="shared" si="4"/>
        <v>308.75</v>
      </c>
      <c r="S34" s="320">
        <f t="shared" si="5"/>
        <v>17342.487499999999</v>
      </c>
      <c r="T34" s="320">
        <f t="shared" si="6"/>
        <v>20810.984999999997</v>
      </c>
      <c r="U34" s="320">
        <f t="shared" si="7"/>
        <v>0</v>
      </c>
      <c r="V34" s="320">
        <f t="shared" si="8"/>
        <v>0</v>
      </c>
      <c r="W34" s="320">
        <f t="shared" si="9"/>
        <v>0</v>
      </c>
      <c r="X34" s="319">
        <f t="shared" si="10"/>
        <v>17342.487499999999</v>
      </c>
      <c r="Y34" s="320">
        <f t="shared" si="10"/>
        <v>20810.984999999997</v>
      </c>
      <c r="Z34" s="233"/>
    </row>
    <row r="35" spans="1:26" ht="24.75" customHeight="1" x14ac:dyDescent="0.25">
      <c r="A35" s="183">
        <f>A34+1</f>
        <v>20</v>
      </c>
      <c r="B35" s="178" t="s">
        <v>539</v>
      </c>
      <c r="C35" s="339" t="s">
        <v>17</v>
      </c>
      <c r="D35" s="344">
        <f>48.36+7.81</f>
        <v>56.17</v>
      </c>
      <c r="E35" s="176">
        <v>335</v>
      </c>
      <c r="F35" s="182">
        <f t="shared" si="25"/>
        <v>18816.95</v>
      </c>
      <c r="G35" s="182">
        <f t="shared" si="26"/>
        <v>22580.34</v>
      </c>
      <c r="H35" s="462"/>
      <c r="I35" s="182"/>
      <c r="J35" s="182"/>
      <c r="K35" s="176">
        <f t="shared" si="27"/>
        <v>18816.95</v>
      </c>
      <c r="L35" s="182">
        <f t="shared" si="27"/>
        <v>22580.34</v>
      </c>
      <c r="Q35" s="319">
        <f t="shared" si="3"/>
        <v>56.17</v>
      </c>
      <c r="R35" s="320">
        <f t="shared" si="4"/>
        <v>335</v>
      </c>
      <c r="S35" s="320">
        <f t="shared" si="5"/>
        <v>18816.95</v>
      </c>
      <c r="T35" s="320">
        <f t="shared" si="6"/>
        <v>22580.34</v>
      </c>
      <c r="U35" s="320">
        <f t="shared" si="7"/>
        <v>0</v>
      </c>
      <c r="V35" s="320">
        <f t="shared" si="8"/>
        <v>0</v>
      </c>
      <c r="W35" s="320">
        <f t="shared" si="9"/>
        <v>0</v>
      </c>
      <c r="X35" s="319">
        <f t="shared" si="10"/>
        <v>18816.95</v>
      </c>
      <c r="Y35" s="320">
        <f t="shared" si="10"/>
        <v>22580.34</v>
      </c>
      <c r="Z35" s="233"/>
    </row>
    <row r="36" spans="1:26" ht="24.75" customHeight="1" x14ac:dyDescent="0.25">
      <c r="A36" s="88"/>
      <c r="B36" s="334" t="s">
        <v>540</v>
      </c>
      <c r="C36" s="341"/>
      <c r="D36" s="348"/>
      <c r="E36" s="18"/>
      <c r="F36" s="126"/>
      <c r="G36" s="126"/>
      <c r="H36" s="461"/>
      <c r="I36" s="91"/>
      <c r="J36" s="91"/>
      <c r="K36" s="18"/>
      <c r="L36" s="91"/>
      <c r="Q36" s="319">
        <f t="shared" si="3"/>
        <v>0</v>
      </c>
      <c r="R36" s="320">
        <f t="shared" si="4"/>
        <v>0</v>
      </c>
      <c r="S36" s="320">
        <f t="shared" si="5"/>
        <v>0</v>
      </c>
      <c r="T36" s="320">
        <f t="shared" si="6"/>
        <v>0</v>
      </c>
      <c r="U36" s="320">
        <f t="shared" si="7"/>
        <v>0</v>
      </c>
      <c r="V36" s="320">
        <f t="shared" si="8"/>
        <v>0</v>
      </c>
      <c r="W36" s="320">
        <f t="shared" si="9"/>
        <v>0</v>
      </c>
      <c r="X36" s="319">
        <f t="shared" si="10"/>
        <v>0</v>
      </c>
      <c r="Y36" s="320">
        <f t="shared" si="10"/>
        <v>0</v>
      </c>
      <c r="Z36" s="233"/>
    </row>
    <row r="37" spans="1:26" ht="45" x14ac:dyDescent="0.25">
      <c r="A37" s="183">
        <f>A35+1</f>
        <v>21</v>
      </c>
      <c r="B37" s="186" t="s">
        <v>541</v>
      </c>
      <c r="C37" s="339" t="s">
        <v>15</v>
      </c>
      <c r="D37" s="340">
        <v>1220.27</v>
      </c>
      <c r="E37" s="176">
        <v>2230.6</v>
      </c>
      <c r="F37" s="182">
        <f t="shared" ref="F37" si="28">ROUND(E37*D37,2)</f>
        <v>2721934.26</v>
      </c>
      <c r="G37" s="182">
        <f t="shared" ref="G37" si="29">ROUND(F37*1.2,2)</f>
        <v>3266321.11</v>
      </c>
      <c r="H37" s="462"/>
      <c r="I37" s="182"/>
      <c r="J37" s="182"/>
      <c r="K37" s="176">
        <f t="shared" ref="K37:L39" si="30">F37+I37</f>
        <v>2721934.26</v>
      </c>
      <c r="L37" s="182">
        <f t="shared" si="30"/>
        <v>3266321.11</v>
      </c>
      <c r="Q37" s="319">
        <f t="shared" si="3"/>
        <v>1220.27</v>
      </c>
      <c r="R37" s="320">
        <f t="shared" si="4"/>
        <v>2230.6</v>
      </c>
      <c r="S37" s="320">
        <f t="shared" si="5"/>
        <v>2721934.2619999996</v>
      </c>
      <c r="T37" s="320">
        <f t="shared" si="6"/>
        <v>3266321.1143999994</v>
      </c>
      <c r="U37" s="320">
        <f t="shared" si="7"/>
        <v>0</v>
      </c>
      <c r="V37" s="320">
        <f t="shared" si="8"/>
        <v>0</v>
      </c>
      <c r="W37" s="320">
        <f t="shared" si="9"/>
        <v>0</v>
      </c>
      <c r="X37" s="319">
        <f t="shared" si="10"/>
        <v>2721934.2619999996</v>
      </c>
      <c r="Y37" s="320">
        <f t="shared" si="10"/>
        <v>3266321.1143999994</v>
      </c>
      <c r="Z37" s="233"/>
    </row>
    <row r="38" spans="1:26" ht="22.5" customHeight="1" x14ac:dyDescent="0.25">
      <c r="A38" s="113" t="s">
        <v>140</v>
      </c>
      <c r="B38" s="19" t="s">
        <v>542</v>
      </c>
      <c r="C38" s="20" t="s">
        <v>533</v>
      </c>
      <c r="D38" s="170">
        <v>1320</v>
      </c>
      <c r="E38" s="21"/>
      <c r="F38" s="134"/>
      <c r="G38" s="134"/>
      <c r="H38" s="134">
        <v>158.3365</v>
      </c>
      <c r="I38" s="134">
        <f>ROUND(H38*D38,2)</f>
        <v>209004.18</v>
      </c>
      <c r="J38" s="134">
        <f>ROUND(I38*1.2,2)</f>
        <v>250805.02</v>
      </c>
      <c r="K38" s="28">
        <f t="shared" si="30"/>
        <v>209004.18</v>
      </c>
      <c r="L38" s="134">
        <f t="shared" si="30"/>
        <v>250805.02</v>
      </c>
      <c r="Q38" s="319">
        <f t="shared" si="3"/>
        <v>1320</v>
      </c>
      <c r="R38" s="320">
        <f t="shared" si="4"/>
        <v>0</v>
      </c>
      <c r="S38" s="320">
        <f t="shared" si="5"/>
        <v>0</v>
      </c>
      <c r="T38" s="320">
        <f t="shared" si="6"/>
        <v>0</v>
      </c>
      <c r="U38" s="320">
        <f t="shared" si="7"/>
        <v>158.3365</v>
      </c>
      <c r="V38" s="320">
        <f t="shared" si="8"/>
        <v>209004.18</v>
      </c>
      <c r="W38" s="320">
        <f t="shared" si="9"/>
        <v>250805.01599999997</v>
      </c>
      <c r="X38" s="319">
        <f t="shared" si="10"/>
        <v>209004.18</v>
      </c>
      <c r="Y38" s="320">
        <f t="shared" si="10"/>
        <v>250805.01599999997</v>
      </c>
      <c r="Z38" s="233"/>
    </row>
    <row r="39" spans="1:26" ht="45" x14ac:dyDescent="0.25">
      <c r="A39" s="183">
        <f>A37+1</f>
        <v>22</v>
      </c>
      <c r="B39" s="186" t="s">
        <v>543</v>
      </c>
      <c r="C39" s="339" t="s">
        <v>15</v>
      </c>
      <c r="D39" s="346">
        <v>688</v>
      </c>
      <c r="E39" s="176">
        <v>1507.6499999999999</v>
      </c>
      <c r="F39" s="182">
        <f t="shared" ref="F39" si="31">ROUND(E39*D39,2)</f>
        <v>1037263.2</v>
      </c>
      <c r="G39" s="182">
        <f t="shared" ref="G39" si="32">ROUND(F39*1.2,2)</f>
        <v>1244715.8400000001</v>
      </c>
      <c r="H39" s="462"/>
      <c r="I39" s="182"/>
      <c r="J39" s="182"/>
      <c r="K39" s="176">
        <f t="shared" si="30"/>
        <v>1037263.2</v>
      </c>
      <c r="L39" s="182">
        <f t="shared" si="30"/>
        <v>1244715.8400000001</v>
      </c>
      <c r="Q39" s="319">
        <f t="shared" si="3"/>
        <v>688</v>
      </c>
      <c r="R39" s="320">
        <f t="shared" si="4"/>
        <v>1507.6499999999999</v>
      </c>
      <c r="S39" s="320">
        <f t="shared" si="5"/>
        <v>1037263.2</v>
      </c>
      <c r="T39" s="320">
        <f t="shared" si="6"/>
        <v>1244715.8399999999</v>
      </c>
      <c r="U39" s="320">
        <f t="shared" si="7"/>
        <v>0</v>
      </c>
      <c r="V39" s="320">
        <f t="shared" si="8"/>
        <v>0</v>
      </c>
      <c r="W39" s="320">
        <f t="shared" si="9"/>
        <v>0</v>
      </c>
      <c r="X39" s="319">
        <f t="shared" si="10"/>
        <v>1037263.2</v>
      </c>
      <c r="Y39" s="320">
        <f t="shared" si="10"/>
        <v>1244715.8399999999</v>
      </c>
      <c r="Z39" s="233"/>
    </row>
    <row r="40" spans="1:26" ht="24.75" customHeight="1" x14ac:dyDescent="0.25">
      <c r="A40" s="88"/>
      <c r="B40" s="334" t="s">
        <v>544</v>
      </c>
      <c r="C40" s="341"/>
      <c r="D40" s="348"/>
      <c r="E40" s="18"/>
      <c r="F40" s="126"/>
      <c r="G40" s="126"/>
      <c r="H40" s="461"/>
      <c r="I40" s="91"/>
      <c r="J40" s="91"/>
      <c r="K40" s="18"/>
      <c r="L40" s="91"/>
      <c r="Q40" s="319">
        <f t="shared" si="3"/>
        <v>0</v>
      </c>
      <c r="R40" s="320">
        <f t="shared" si="4"/>
        <v>0</v>
      </c>
      <c r="S40" s="320">
        <f t="shared" si="5"/>
        <v>0</v>
      </c>
      <c r="T40" s="320">
        <f t="shared" si="6"/>
        <v>0</v>
      </c>
      <c r="U40" s="320">
        <f t="shared" si="7"/>
        <v>0</v>
      </c>
      <c r="V40" s="320">
        <f t="shared" si="8"/>
        <v>0</v>
      </c>
      <c r="W40" s="320">
        <f t="shared" si="9"/>
        <v>0</v>
      </c>
      <c r="X40" s="319">
        <f t="shared" si="10"/>
        <v>0</v>
      </c>
      <c r="Y40" s="320">
        <f t="shared" si="10"/>
        <v>0</v>
      </c>
      <c r="Z40" s="233"/>
    </row>
    <row r="41" spans="1:26" ht="30" x14ac:dyDescent="0.25">
      <c r="A41" s="183">
        <f>A39+1</f>
        <v>23</v>
      </c>
      <c r="B41" s="186" t="s">
        <v>545</v>
      </c>
      <c r="C41" s="339" t="s">
        <v>15</v>
      </c>
      <c r="D41" s="350">
        <v>37.200000000000003</v>
      </c>
      <c r="E41" s="176">
        <v>1507.6499999999999</v>
      </c>
      <c r="F41" s="182">
        <f t="shared" ref="F41" si="33">ROUND(E41*D41,2)</f>
        <v>56084.58</v>
      </c>
      <c r="G41" s="182">
        <f t="shared" ref="G41" si="34">ROUND(F41*1.2,2)</f>
        <v>67301.5</v>
      </c>
      <c r="H41" s="462"/>
      <c r="I41" s="182"/>
      <c r="J41" s="182"/>
      <c r="K41" s="176">
        <f t="shared" ref="K41:L41" si="35">F41+I41</f>
        <v>56084.58</v>
      </c>
      <c r="L41" s="182">
        <f t="shared" si="35"/>
        <v>67301.5</v>
      </c>
      <c r="Q41" s="319">
        <f t="shared" si="3"/>
        <v>37.200000000000003</v>
      </c>
      <c r="R41" s="320">
        <f t="shared" si="4"/>
        <v>1507.6499999999999</v>
      </c>
      <c r="S41" s="320">
        <f t="shared" si="5"/>
        <v>56084.58</v>
      </c>
      <c r="T41" s="320">
        <f t="shared" si="6"/>
        <v>67301.495999999999</v>
      </c>
      <c r="U41" s="320">
        <f t="shared" si="7"/>
        <v>0</v>
      </c>
      <c r="V41" s="320">
        <f t="shared" si="8"/>
        <v>0</v>
      </c>
      <c r="W41" s="320">
        <f t="shared" si="9"/>
        <v>0</v>
      </c>
      <c r="X41" s="319">
        <f t="shared" si="10"/>
        <v>56084.58</v>
      </c>
      <c r="Y41" s="320">
        <f t="shared" si="10"/>
        <v>67301.495999999999</v>
      </c>
      <c r="Z41" s="233"/>
    </row>
    <row r="42" spans="1:26" ht="24.75" customHeight="1" x14ac:dyDescent="0.25">
      <c r="A42" s="88"/>
      <c r="B42" s="334" t="s">
        <v>546</v>
      </c>
      <c r="C42" s="341"/>
      <c r="D42" s="348"/>
      <c r="E42" s="18"/>
      <c r="F42" s="126"/>
      <c r="G42" s="126"/>
      <c r="H42" s="461"/>
      <c r="I42" s="91"/>
      <c r="J42" s="91"/>
      <c r="K42" s="18"/>
      <c r="L42" s="91"/>
      <c r="Q42" s="319">
        <f t="shared" si="3"/>
        <v>0</v>
      </c>
      <c r="R42" s="320">
        <f t="shared" si="4"/>
        <v>0</v>
      </c>
      <c r="S42" s="320">
        <f t="shared" si="5"/>
        <v>0</v>
      </c>
      <c r="T42" s="320">
        <f t="shared" si="6"/>
        <v>0</v>
      </c>
      <c r="U42" s="320">
        <f t="shared" si="7"/>
        <v>0</v>
      </c>
      <c r="V42" s="320">
        <f t="shared" si="8"/>
        <v>0</v>
      </c>
      <c r="W42" s="320">
        <f t="shared" si="9"/>
        <v>0</v>
      </c>
      <c r="X42" s="319">
        <f t="shared" si="10"/>
        <v>0</v>
      </c>
      <c r="Y42" s="320">
        <f t="shared" si="10"/>
        <v>0</v>
      </c>
      <c r="Z42" s="233"/>
    </row>
    <row r="43" spans="1:26" ht="35.25" customHeight="1" x14ac:dyDescent="0.25">
      <c r="A43" s="183">
        <f>A41+1</f>
        <v>24</v>
      </c>
      <c r="B43" s="186" t="s">
        <v>547</v>
      </c>
      <c r="C43" s="339" t="s">
        <v>548</v>
      </c>
      <c r="D43" s="346">
        <v>1</v>
      </c>
      <c r="E43" s="176">
        <v>179977.5</v>
      </c>
      <c r="F43" s="182">
        <f t="shared" ref="F43" si="36">ROUND(E43*D43,2)</f>
        <v>179977.5</v>
      </c>
      <c r="G43" s="182">
        <f t="shared" ref="G43" si="37">ROUND(F43*1.2,2)</f>
        <v>215973</v>
      </c>
      <c r="H43" s="462"/>
      <c r="I43" s="182"/>
      <c r="J43" s="182"/>
      <c r="K43" s="176">
        <f t="shared" ref="K43:L43" si="38">F43+I43</f>
        <v>179977.5</v>
      </c>
      <c r="L43" s="182">
        <f t="shared" si="38"/>
        <v>215973</v>
      </c>
      <c r="Q43" s="319">
        <f t="shared" si="3"/>
        <v>1</v>
      </c>
      <c r="R43" s="320">
        <f t="shared" si="4"/>
        <v>179977.5</v>
      </c>
      <c r="S43" s="320">
        <f t="shared" si="5"/>
        <v>179977.5</v>
      </c>
      <c r="T43" s="320">
        <f t="shared" si="6"/>
        <v>215973</v>
      </c>
      <c r="U43" s="320">
        <f t="shared" si="7"/>
        <v>0</v>
      </c>
      <c r="V43" s="320">
        <f t="shared" si="8"/>
        <v>0</v>
      </c>
      <c r="W43" s="320">
        <f t="shared" si="9"/>
        <v>0</v>
      </c>
      <c r="X43" s="319">
        <f t="shared" si="10"/>
        <v>179977.5</v>
      </c>
      <c r="Y43" s="320">
        <f t="shared" si="10"/>
        <v>215973</v>
      </c>
      <c r="Z43" s="233"/>
    </row>
    <row r="44" spans="1:26" ht="24.75" customHeight="1" x14ac:dyDescent="0.25">
      <c r="A44" s="88"/>
      <c r="B44" s="334" t="s">
        <v>549</v>
      </c>
      <c r="C44" s="341"/>
      <c r="D44" s="348"/>
      <c r="E44" s="18"/>
      <c r="F44" s="126"/>
      <c r="G44" s="126"/>
      <c r="H44" s="461"/>
      <c r="I44" s="91"/>
      <c r="J44" s="91"/>
      <c r="K44" s="18"/>
      <c r="L44" s="91"/>
      <c r="Q44" s="319">
        <f t="shared" si="3"/>
        <v>0</v>
      </c>
      <c r="R44" s="320">
        <f t="shared" si="4"/>
        <v>0</v>
      </c>
      <c r="S44" s="320">
        <f t="shared" si="5"/>
        <v>0</v>
      </c>
      <c r="T44" s="320">
        <f t="shared" si="6"/>
        <v>0</v>
      </c>
      <c r="U44" s="320">
        <f t="shared" si="7"/>
        <v>0</v>
      </c>
      <c r="V44" s="320">
        <f t="shared" si="8"/>
        <v>0</v>
      </c>
      <c r="W44" s="320">
        <f t="shared" si="9"/>
        <v>0</v>
      </c>
      <c r="X44" s="319">
        <f t="shared" si="10"/>
        <v>0</v>
      </c>
      <c r="Y44" s="320">
        <f t="shared" si="10"/>
        <v>0</v>
      </c>
      <c r="Z44" s="233"/>
    </row>
    <row r="45" spans="1:26" ht="30" x14ac:dyDescent="0.25">
      <c r="A45" s="183">
        <f>A43+1</f>
        <v>25</v>
      </c>
      <c r="B45" s="186" t="s">
        <v>550</v>
      </c>
      <c r="C45" s="339" t="s">
        <v>548</v>
      </c>
      <c r="D45" s="346">
        <v>3</v>
      </c>
      <c r="E45" s="176">
        <v>205200</v>
      </c>
      <c r="F45" s="182">
        <f t="shared" ref="F45:F49" si="39">ROUND(E45*D45,2)</f>
        <v>615600</v>
      </c>
      <c r="G45" s="182">
        <f t="shared" ref="G45:G49" si="40">ROUND(F45*1.2,2)</f>
        <v>738720</v>
      </c>
      <c r="H45" s="462"/>
      <c r="I45" s="182"/>
      <c r="J45" s="182"/>
      <c r="K45" s="176">
        <f t="shared" ref="K45:L49" si="41">F45+I45</f>
        <v>615600</v>
      </c>
      <c r="L45" s="182">
        <f t="shared" si="41"/>
        <v>738720</v>
      </c>
      <c r="Q45" s="319">
        <f t="shared" si="3"/>
        <v>3</v>
      </c>
      <c r="R45" s="320">
        <f t="shared" si="4"/>
        <v>205200</v>
      </c>
      <c r="S45" s="320">
        <f t="shared" si="5"/>
        <v>615600</v>
      </c>
      <c r="T45" s="320">
        <f t="shared" si="6"/>
        <v>738720</v>
      </c>
      <c r="U45" s="320">
        <f t="shared" si="7"/>
        <v>0</v>
      </c>
      <c r="V45" s="320">
        <f t="shared" si="8"/>
        <v>0</v>
      </c>
      <c r="W45" s="320">
        <f t="shared" si="9"/>
        <v>0</v>
      </c>
      <c r="X45" s="319">
        <f t="shared" si="10"/>
        <v>615600</v>
      </c>
      <c r="Y45" s="320">
        <f t="shared" si="10"/>
        <v>738720</v>
      </c>
      <c r="Z45" s="233"/>
    </row>
    <row r="46" spans="1:26" ht="30" x14ac:dyDescent="0.25">
      <c r="A46" s="183">
        <f>A45+1</f>
        <v>26</v>
      </c>
      <c r="B46" s="186" t="s">
        <v>551</v>
      </c>
      <c r="C46" s="339" t="s">
        <v>548</v>
      </c>
      <c r="D46" s="346">
        <v>2</v>
      </c>
      <c r="E46" s="176">
        <v>165056.79999999999</v>
      </c>
      <c r="F46" s="182">
        <f t="shared" si="39"/>
        <v>330113.59999999998</v>
      </c>
      <c r="G46" s="182">
        <f t="shared" si="40"/>
        <v>396136.32</v>
      </c>
      <c r="H46" s="462"/>
      <c r="I46" s="182"/>
      <c r="J46" s="182"/>
      <c r="K46" s="176">
        <f t="shared" si="41"/>
        <v>330113.59999999998</v>
      </c>
      <c r="L46" s="182">
        <f t="shared" si="41"/>
        <v>396136.32</v>
      </c>
      <c r="Q46" s="319">
        <f t="shared" si="3"/>
        <v>2</v>
      </c>
      <c r="R46" s="320">
        <f t="shared" si="4"/>
        <v>165056.79999999999</v>
      </c>
      <c r="S46" s="320">
        <f t="shared" si="5"/>
        <v>330113.59999999998</v>
      </c>
      <c r="T46" s="320">
        <f t="shared" si="6"/>
        <v>396136.31999999995</v>
      </c>
      <c r="U46" s="320">
        <f t="shared" si="7"/>
        <v>0</v>
      </c>
      <c r="V46" s="320">
        <f t="shared" si="8"/>
        <v>0</v>
      </c>
      <c r="W46" s="320">
        <f t="shared" si="9"/>
        <v>0</v>
      </c>
      <c r="X46" s="319">
        <f t="shared" si="10"/>
        <v>330113.59999999998</v>
      </c>
      <c r="Y46" s="320">
        <f t="shared" si="10"/>
        <v>396136.31999999995</v>
      </c>
      <c r="Z46" s="233"/>
    </row>
    <row r="47" spans="1:26" ht="24" customHeight="1" x14ac:dyDescent="0.25">
      <c r="A47" s="183">
        <f>A46+1</f>
        <v>27</v>
      </c>
      <c r="B47" s="186" t="s">
        <v>552</v>
      </c>
      <c r="C47" s="339" t="s">
        <v>548</v>
      </c>
      <c r="D47" s="346">
        <v>1</v>
      </c>
      <c r="E47" s="176">
        <v>165056.79999999999</v>
      </c>
      <c r="F47" s="182">
        <f t="shared" si="39"/>
        <v>165056.79999999999</v>
      </c>
      <c r="G47" s="182">
        <f t="shared" si="40"/>
        <v>198068.16</v>
      </c>
      <c r="H47" s="462"/>
      <c r="I47" s="182"/>
      <c r="J47" s="182"/>
      <c r="K47" s="176">
        <f t="shared" si="41"/>
        <v>165056.79999999999</v>
      </c>
      <c r="L47" s="182">
        <f t="shared" si="41"/>
        <v>198068.16</v>
      </c>
      <c r="Q47" s="319">
        <f t="shared" si="3"/>
        <v>1</v>
      </c>
      <c r="R47" s="320">
        <f t="shared" si="4"/>
        <v>165056.79999999999</v>
      </c>
      <c r="S47" s="320">
        <f t="shared" si="5"/>
        <v>165056.79999999999</v>
      </c>
      <c r="T47" s="320">
        <f t="shared" si="6"/>
        <v>198068.15999999997</v>
      </c>
      <c r="U47" s="320">
        <f t="shared" si="7"/>
        <v>0</v>
      </c>
      <c r="V47" s="320">
        <f t="shared" si="8"/>
        <v>0</v>
      </c>
      <c r="W47" s="320">
        <f t="shared" si="9"/>
        <v>0</v>
      </c>
      <c r="X47" s="319">
        <f t="shared" si="10"/>
        <v>165056.79999999999</v>
      </c>
      <c r="Y47" s="320">
        <f t="shared" si="10"/>
        <v>198068.15999999997</v>
      </c>
      <c r="Z47" s="233"/>
    </row>
    <row r="48" spans="1:26" ht="30" x14ac:dyDescent="0.25">
      <c r="A48" s="183">
        <f>A47+1</f>
        <v>28</v>
      </c>
      <c r="B48" s="186" t="s">
        <v>553</v>
      </c>
      <c r="C48" s="339" t="s">
        <v>548</v>
      </c>
      <c r="D48" s="346">
        <v>3</v>
      </c>
      <c r="E48" s="176">
        <v>165056.79999999999</v>
      </c>
      <c r="F48" s="182">
        <f t="shared" si="39"/>
        <v>495170.4</v>
      </c>
      <c r="G48" s="182">
        <f t="shared" si="40"/>
        <v>594204.48</v>
      </c>
      <c r="H48" s="462"/>
      <c r="I48" s="182"/>
      <c r="J48" s="182"/>
      <c r="K48" s="176">
        <f t="shared" si="41"/>
        <v>495170.4</v>
      </c>
      <c r="L48" s="182">
        <f t="shared" si="41"/>
        <v>594204.48</v>
      </c>
      <c r="Q48" s="319">
        <f t="shared" si="3"/>
        <v>3</v>
      </c>
      <c r="R48" s="320">
        <f t="shared" si="4"/>
        <v>165056.79999999999</v>
      </c>
      <c r="S48" s="320">
        <f t="shared" si="5"/>
        <v>495170.39999999997</v>
      </c>
      <c r="T48" s="320">
        <f t="shared" si="6"/>
        <v>594204.48</v>
      </c>
      <c r="U48" s="320">
        <f t="shared" si="7"/>
        <v>0</v>
      </c>
      <c r="V48" s="320">
        <f t="shared" si="8"/>
        <v>0</v>
      </c>
      <c r="W48" s="320">
        <f t="shared" si="9"/>
        <v>0</v>
      </c>
      <c r="X48" s="319">
        <f t="shared" si="10"/>
        <v>495170.39999999997</v>
      </c>
      <c r="Y48" s="320">
        <f t="shared" si="10"/>
        <v>594204.48</v>
      </c>
      <c r="Z48" s="233"/>
    </row>
    <row r="49" spans="1:26" ht="24" customHeight="1" x14ac:dyDescent="0.25">
      <c r="A49" s="183">
        <f>A48+1</f>
        <v>29</v>
      </c>
      <c r="B49" s="186" t="s">
        <v>554</v>
      </c>
      <c r="C49" s="339" t="s">
        <v>548</v>
      </c>
      <c r="D49" s="346">
        <v>2</v>
      </c>
      <c r="E49" s="176">
        <v>165056.79999999999</v>
      </c>
      <c r="F49" s="182">
        <f t="shared" si="39"/>
        <v>330113.59999999998</v>
      </c>
      <c r="G49" s="182">
        <f t="shared" si="40"/>
        <v>396136.32</v>
      </c>
      <c r="H49" s="462"/>
      <c r="I49" s="182"/>
      <c r="J49" s="182"/>
      <c r="K49" s="176">
        <f t="shared" si="41"/>
        <v>330113.59999999998</v>
      </c>
      <c r="L49" s="182">
        <f t="shared" si="41"/>
        <v>396136.32</v>
      </c>
      <c r="Q49" s="319">
        <f t="shared" si="3"/>
        <v>2</v>
      </c>
      <c r="R49" s="320">
        <f t="shared" si="4"/>
        <v>165056.79999999999</v>
      </c>
      <c r="S49" s="320">
        <f t="shared" si="5"/>
        <v>330113.59999999998</v>
      </c>
      <c r="T49" s="320">
        <f t="shared" si="6"/>
        <v>396136.31999999995</v>
      </c>
      <c r="U49" s="320">
        <f t="shared" si="7"/>
        <v>0</v>
      </c>
      <c r="V49" s="320">
        <f t="shared" si="8"/>
        <v>0</v>
      </c>
      <c r="W49" s="320">
        <f t="shared" si="9"/>
        <v>0</v>
      </c>
      <c r="X49" s="319">
        <f t="shared" si="10"/>
        <v>330113.59999999998</v>
      </c>
      <c r="Y49" s="320">
        <f t="shared" si="10"/>
        <v>396136.31999999995</v>
      </c>
      <c r="Z49" s="233"/>
    </row>
    <row r="50" spans="1:26" ht="21" customHeight="1" x14ac:dyDescent="0.25">
      <c r="A50" s="88"/>
      <c r="B50" s="347" t="s">
        <v>555</v>
      </c>
      <c r="C50" s="341"/>
      <c r="D50" s="348"/>
      <c r="E50" s="18"/>
      <c r="F50" s="126"/>
      <c r="G50" s="126"/>
      <c r="H50" s="461"/>
      <c r="I50" s="91"/>
      <c r="J50" s="91"/>
      <c r="K50" s="18"/>
      <c r="L50" s="91"/>
      <c r="Q50" s="319">
        <f t="shared" si="3"/>
        <v>0</v>
      </c>
      <c r="R50" s="320">
        <f t="shared" si="4"/>
        <v>0</v>
      </c>
      <c r="S50" s="320">
        <f t="shared" si="5"/>
        <v>0</v>
      </c>
      <c r="T50" s="320">
        <f t="shared" si="6"/>
        <v>0</v>
      </c>
      <c r="U50" s="320">
        <f t="shared" si="7"/>
        <v>0</v>
      </c>
      <c r="V50" s="320">
        <f t="shared" si="8"/>
        <v>0</v>
      </c>
      <c r="W50" s="320">
        <f t="shared" si="9"/>
        <v>0</v>
      </c>
      <c r="X50" s="319">
        <f t="shared" si="10"/>
        <v>0</v>
      </c>
      <c r="Y50" s="320">
        <f t="shared" si="10"/>
        <v>0</v>
      </c>
      <c r="Z50" s="233"/>
    </row>
    <row r="51" spans="1:26" ht="24.75" customHeight="1" x14ac:dyDescent="0.25">
      <c r="A51" s="183">
        <f>A49+1</f>
        <v>30</v>
      </c>
      <c r="B51" s="186" t="s">
        <v>556</v>
      </c>
      <c r="C51" s="339" t="s">
        <v>533</v>
      </c>
      <c r="D51" s="346">
        <v>3.15</v>
      </c>
      <c r="E51" s="176">
        <v>76000</v>
      </c>
      <c r="F51" s="182">
        <f t="shared" ref="F51:F52" si="42">ROUND(E51*D51,2)</f>
        <v>239400</v>
      </c>
      <c r="G51" s="182">
        <f t="shared" ref="G51:G52" si="43">ROUND(F51*1.2,2)</f>
        <v>287280</v>
      </c>
      <c r="H51" s="462"/>
      <c r="I51" s="182"/>
      <c r="J51" s="182"/>
      <c r="K51" s="176">
        <f t="shared" ref="K51:L62" si="44">F51+I51</f>
        <v>239400</v>
      </c>
      <c r="L51" s="182">
        <f t="shared" si="44"/>
        <v>287280</v>
      </c>
      <c r="Q51" s="319">
        <f t="shared" si="3"/>
        <v>3.15</v>
      </c>
      <c r="R51" s="320">
        <f t="shared" si="4"/>
        <v>76000</v>
      </c>
      <c r="S51" s="320">
        <f t="shared" si="5"/>
        <v>239400</v>
      </c>
      <c r="T51" s="320">
        <f t="shared" si="6"/>
        <v>287280</v>
      </c>
      <c r="U51" s="320">
        <f t="shared" si="7"/>
        <v>0</v>
      </c>
      <c r="V51" s="320">
        <f t="shared" si="8"/>
        <v>0</v>
      </c>
      <c r="W51" s="320">
        <f t="shared" si="9"/>
        <v>0</v>
      </c>
      <c r="X51" s="319">
        <f t="shared" si="10"/>
        <v>239400</v>
      </c>
      <c r="Y51" s="320">
        <f t="shared" si="10"/>
        <v>287280</v>
      </c>
      <c r="Z51" s="233"/>
    </row>
    <row r="52" spans="1:26" ht="21" customHeight="1" x14ac:dyDescent="0.25">
      <c r="A52" s="172">
        <f>A51+1</f>
        <v>31</v>
      </c>
      <c r="B52" s="171" t="s">
        <v>557</v>
      </c>
      <c r="C52" s="336" t="s">
        <v>17</v>
      </c>
      <c r="D52" s="351">
        <v>5.28</v>
      </c>
      <c r="E52" s="174">
        <v>51920</v>
      </c>
      <c r="F52" s="179">
        <f t="shared" si="42"/>
        <v>274137.59999999998</v>
      </c>
      <c r="G52" s="179">
        <f t="shared" si="43"/>
        <v>328965.12</v>
      </c>
      <c r="H52" s="463"/>
      <c r="I52" s="179"/>
      <c r="J52" s="179"/>
      <c r="K52" s="174">
        <f t="shared" si="44"/>
        <v>274137.59999999998</v>
      </c>
      <c r="L52" s="179">
        <f t="shared" si="44"/>
        <v>328965.12</v>
      </c>
      <c r="Q52" s="319">
        <f t="shared" si="3"/>
        <v>5.28</v>
      </c>
      <c r="R52" s="320">
        <f t="shared" si="4"/>
        <v>51920</v>
      </c>
      <c r="S52" s="320">
        <f t="shared" si="5"/>
        <v>274137.60000000003</v>
      </c>
      <c r="T52" s="320">
        <f t="shared" si="6"/>
        <v>328965.12000000005</v>
      </c>
      <c r="U52" s="320">
        <f t="shared" si="7"/>
        <v>0</v>
      </c>
      <c r="V52" s="320">
        <f t="shared" si="8"/>
        <v>0</v>
      </c>
      <c r="W52" s="320">
        <f t="shared" si="9"/>
        <v>0</v>
      </c>
      <c r="X52" s="319">
        <f t="shared" si="10"/>
        <v>274137.60000000003</v>
      </c>
      <c r="Y52" s="320">
        <f t="shared" si="10"/>
        <v>328965.12000000005</v>
      </c>
      <c r="Z52" s="233"/>
    </row>
    <row r="53" spans="1:26" ht="21" customHeight="1" x14ac:dyDescent="0.25">
      <c r="A53" s="113" t="s">
        <v>333</v>
      </c>
      <c r="B53" s="19" t="s">
        <v>558</v>
      </c>
      <c r="C53" s="20" t="s">
        <v>58</v>
      </c>
      <c r="D53" s="352">
        <v>2998.1</v>
      </c>
      <c r="E53" s="21"/>
      <c r="F53" s="134"/>
      <c r="G53" s="134"/>
      <c r="H53" s="134">
        <v>89</v>
      </c>
      <c r="I53" s="134">
        <f>ROUND(H53*D53,2)</f>
        <v>266830.90000000002</v>
      </c>
      <c r="J53" s="134">
        <f>ROUND(I53*1.2,2)</f>
        <v>320197.08</v>
      </c>
      <c r="K53" s="28">
        <f t="shared" si="44"/>
        <v>266830.90000000002</v>
      </c>
      <c r="L53" s="134">
        <f t="shared" si="44"/>
        <v>320197.08</v>
      </c>
      <c r="Q53" s="319">
        <f t="shared" si="3"/>
        <v>2998.1</v>
      </c>
      <c r="R53" s="320">
        <f t="shared" si="4"/>
        <v>0</v>
      </c>
      <c r="S53" s="320">
        <f t="shared" si="5"/>
        <v>0</v>
      </c>
      <c r="T53" s="320">
        <f t="shared" si="6"/>
        <v>0</v>
      </c>
      <c r="U53" s="320">
        <f t="shared" si="7"/>
        <v>89</v>
      </c>
      <c r="V53" s="320">
        <f t="shared" si="8"/>
        <v>266830.89999999997</v>
      </c>
      <c r="W53" s="320">
        <f t="shared" si="9"/>
        <v>320197.07999999996</v>
      </c>
      <c r="X53" s="319">
        <f t="shared" si="10"/>
        <v>266830.89999999997</v>
      </c>
      <c r="Y53" s="320">
        <f t="shared" si="10"/>
        <v>320197.07999999996</v>
      </c>
      <c r="Z53" s="233"/>
    </row>
    <row r="54" spans="1:26" ht="21" customHeight="1" x14ac:dyDescent="0.25">
      <c r="A54" s="113" t="s">
        <v>559</v>
      </c>
      <c r="B54" s="19" t="s">
        <v>560</v>
      </c>
      <c r="C54" s="20" t="s">
        <v>58</v>
      </c>
      <c r="D54" s="170">
        <v>2282.89</v>
      </c>
      <c r="E54" s="21"/>
      <c r="F54" s="134"/>
      <c r="G54" s="134"/>
      <c r="H54" s="134">
        <v>75</v>
      </c>
      <c r="I54" s="134">
        <f>ROUND(H54*D54,2)</f>
        <v>171216.75</v>
      </c>
      <c r="J54" s="134">
        <f>ROUND(I54*1.2,2)</f>
        <v>205460.1</v>
      </c>
      <c r="K54" s="28">
        <f t="shared" si="44"/>
        <v>171216.75</v>
      </c>
      <c r="L54" s="134">
        <f t="shared" si="44"/>
        <v>205460.1</v>
      </c>
      <c r="Q54" s="319">
        <f t="shared" si="3"/>
        <v>2282.89</v>
      </c>
      <c r="R54" s="320">
        <f t="shared" si="4"/>
        <v>0</v>
      </c>
      <c r="S54" s="320">
        <f t="shared" si="5"/>
        <v>0</v>
      </c>
      <c r="T54" s="320">
        <f t="shared" si="6"/>
        <v>0</v>
      </c>
      <c r="U54" s="320">
        <f t="shared" si="7"/>
        <v>75</v>
      </c>
      <c r="V54" s="320">
        <f t="shared" si="8"/>
        <v>171216.75</v>
      </c>
      <c r="W54" s="320">
        <f t="shared" si="9"/>
        <v>205460.1</v>
      </c>
      <c r="X54" s="319">
        <f t="shared" si="10"/>
        <v>171216.75</v>
      </c>
      <c r="Y54" s="320">
        <f t="shared" si="10"/>
        <v>205460.1</v>
      </c>
      <c r="Z54" s="233"/>
    </row>
    <row r="55" spans="1:26" ht="23.25" customHeight="1" x14ac:dyDescent="0.25">
      <c r="A55" s="113"/>
      <c r="B55" s="347" t="s">
        <v>561</v>
      </c>
      <c r="C55" s="353"/>
      <c r="D55" s="106"/>
      <c r="E55" s="15"/>
      <c r="F55" s="91"/>
      <c r="G55" s="91"/>
      <c r="H55" s="91"/>
      <c r="I55" s="91"/>
      <c r="J55" s="91"/>
      <c r="K55" s="18"/>
      <c r="L55" s="91"/>
      <c r="Q55" s="319">
        <f t="shared" si="3"/>
        <v>0</v>
      </c>
      <c r="R55" s="320">
        <f t="shared" si="4"/>
        <v>0</v>
      </c>
      <c r="S55" s="320">
        <f t="shared" si="5"/>
        <v>0</v>
      </c>
      <c r="T55" s="320">
        <f t="shared" si="6"/>
        <v>0</v>
      </c>
      <c r="U55" s="320">
        <f t="shared" si="7"/>
        <v>0</v>
      </c>
      <c r="V55" s="320">
        <f t="shared" si="8"/>
        <v>0</v>
      </c>
      <c r="W55" s="320">
        <f t="shared" si="9"/>
        <v>0</v>
      </c>
      <c r="X55" s="319">
        <f t="shared" si="10"/>
        <v>0</v>
      </c>
      <c r="Y55" s="320">
        <f t="shared" si="10"/>
        <v>0</v>
      </c>
      <c r="Z55" s="233"/>
    </row>
    <row r="56" spans="1:26" ht="24.75" customHeight="1" x14ac:dyDescent="0.25">
      <c r="A56" s="183">
        <f>A52+1</f>
        <v>32</v>
      </c>
      <c r="B56" s="186" t="s">
        <v>562</v>
      </c>
      <c r="C56" s="339" t="s">
        <v>15</v>
      </c>
      <c r="D56" s="340">
        <v>2115.02</v>
      </c>
      <c r="E56" s="176">
        <v>1500</v>
      </c>
      <c r="F56" s="182">
        <f t="shared" ref="F56:F57" si="45">ROUND(E56*D56,2)</f>
        <v>3172530</v>
      </c>
      <c r="G56" s="182">
        <f t="shared" ref="G56:G57" si="46">ROUND(F56*1.2,2)</f>
        <v>3807036</v>
      </c>
      <c r="H56" s="462"/>
      <c r="I56" s="182"/>
      <c r="J56" s="182"/>
      <c r="K56" s="176">
        <f t="shared" ref="K56:L56" si="47">F56+I56</f>
        <v>3172530</v>
      </c>
      <c r="L56" s="182">
        <f t="shared" si="47"/>
        <v>3807036</v>
      </c>
      <c r="Q56" s="319">
        <f t="shared" si="3"/>
        <v>2115.02</v>
      </c>
      <c r="R56" s="320">
        <f t="shared" si="4"/>
        <v>1500</v>
      </c>
      <c r="S56" s="320">
        <f t="shared" si="5"/>
        <v>3172530</v>
      </c>
      <c r="T56" s="320">
        <f t="shared" si="6"/>
        <v>3807036</v>
      </c>
      <c r="U56" s="320">
        <f t="shared" si="7"/>
        <v>0</v>
      </c>
      <c r="V56" s="320">
        <f t="shared" si="8"/>
        <v>0</v>
      </c>
      <c r="W56" s="320">
        <f t="shared" si="9"/>
        <v>0</v>
      </c>
      <c r="X56" s="319">
        <f t="shared" si="10"/>
        <v>3172530</v>
      </c>
      <c r="Y56" s="320">
        <f t="shared" si="10"/>
        <v>3807036</v>
      </c>
      <c r="Z56" s="233"/>
    </row>
    <row r="57" spans="1:26" ht="24.75" customHeight="1" x14ac:dyDescent="0.25">
      <c r="A57" s="183">
        <f>A56+1</f>
        <v>33</v>
      </c>
      <c r="B57" s="186" t="s">
        <v>563</v>
      </c>
      <c r="C57" s="339" t="s">
        <v>13</v>
      </c>
      <c r="D57" s="340">
        <v>1080.69</v>
      </c>
      <c r="E57" s="176">
        <v>1421.01</v>
      </c>
      <c r="F57" s="182">
        <f t="shared" si="45"/>
        <v>1535671.3</v>
      </c>
      <c r="G57" s="182">
        <f t="shared" si="46"/>
        <v>1842805.56</v>
      </c>
      <c r="H57" s="462"/>
      <c r="I57" s="182"/>
      <c r="J57" s="182"/>
      <c r="K57" s="176">
        <f t="shared" si="44"/>
        <v>1535671.3</v>
      </c>
      <c r="L57" s="182">
        <f t="shared" si="44"/>
        <v>1842805.56</v>
      </c>
      <c r="Q57" s="319">
        <f t="shared" si="3"/>
        <v>1080.69</v>
      </c>
      <c r="R57" s="320">
        <f t="shared" si="4"/>
        <v>1421.01</v>
      </c>
      <c r="S57" s="320">
        <f t="shared" si="5"/>
        <v>1535671.2969</v>
      </c>
      <c r="T57" s="320">
        <f t="shared" si="6"/>
        <v>1842805.5562799999</v>
      </c>
      <c r="U57" s="320">
        <f t="shared" si="7"/>
        <v>0</v>
      </c>
      <c r="V57" s="320">
        <f t="shared" si="8"/>
        <v>0</v>
      </c>
      <c r="W57" s="320">
        <f t="shared" si="9"/>
        <v>0</v>
      </c>
      <c r="X57" s="319">
        <f t="shared" si="10"/>
        <v>1535671.2969</v>
      </c>
      <c r="Y57" s="320">
        <f t="shared" si="10"/>
        <v>1842805.5562799999</v>
      </c>
      <c r="Z57" s="233"/>
    </row>
    <row r="58" spans="1:26" ht="20.25" customHeight="1" x14ac:dyDescent="0.25">
      <c r="A58" s="113" t="s">
        <v>334</v>
      </c>
      <c r="B58" s="19" t="s">
        <v>529</v>
      </c>
      <c r="C58" s="20" t="s">
        <v>13</v>
      </c>
      <c r="D58" s="343">
        <f>D57*1.17</f>
        <v>1264.4073000000001</v>
      </c>
      <c r="E58" s="21"/>
      <c r="F58" s="134"/>
      <c r="G58" s="134"/>
      <c r="H58" s="134">
        <v>4195.84</v>
      </c>
      <c r="I58" s="134">
        <f>ROUND(H58*D58,2)</f>
        <v>5305250.7300000004</v>
      </c>
      <c r="J58" s="134">
        <f>ROUND(I58*1.2,2)</f>
        <v>6366300.8799999999</v>
      </c>
      <c r="K58" s="28">
        <f t="shared" si="44"/>
        <v>5305250.7300000004</v>
      </c>
      <c r="L58" s="134">
        <f t="shared" si="44"/>
        <v>6366300.8799999999</v>
      </c>
      <c r="Q58" s="319">
        <f t="shared" si="3"/>
        <v>1264.4073000000001</v>
      </c>
      <c r="R58" s="320">
        <f t="shared" si="4"/>
        <v>0</v>
      </c>
      <c r="S58" s="320">
        <f t="shared" si="5"/>
        <v>0</v>
      </c>
      <c r="T58" s="320">
        <f t="shared" si="6"/>
        <v>0</v>
      </c>
      <c r="U58" s="320">
        <f t="shared" si="7"/>
        <v>4195.84</v>
      </c>
      <c r="V58" s="320">
        <f t="shared" si="8"/>
        <v>5305250.7256320007</v>
      </c>
      <c r="W58" s="320">
        <f t="shared" si="9"/>
        <v>6366300.8707584003</v>
      </c>
      <c r="X58" s="319">
        <f t="shared" si="10"/>
        <v>5305250.7256320007</v>
      </c>
      <c r="Y58" s="320">
        <f t="shared" si="10"/>
        <v>6366300.8707584003</v>
      </c>
      <c r="Z58" s="233"/>
    </row>
    <row r="59" spans="1:26" ht="31.5" customHeight="1" x14ac:dyDescent="0.25">
      <c r="A59" s="172">
        <f>A57+1</f>
        <v>34</v>
      </c>
      <c r="B59" s="335" t="s">
        <v>564</v>
      </c>
      <c r="C59" s="336" t="s">
        <v>13</v>
      </c>
      <c r="D59" s="338">
        <v>125</v>
      </c>
      <c r="E59" s="174">
        <v>1421</v>
      </c>
      <c r="F59" s="179">
        <f t="shared" ref="F59" si="48">ROUND(E59*D59,2)</f>
        <v>177625</v>
      </c>
      <c r="G59" s="179">
        <f t="shared" ref="G59" si="49">ROUND(F59*1.2,2)</f>
        <v>213150</v>
      </c>
      <c r="H59" s="463"/>
      <c r="I59" s="179"/>
      <c r="J59" s="179"/>
      <c r="K59" s="174">
        <f t="shared" si="44"/>
        <v>177625</v>
      </c>
      <c r="L59" s="179">
        <f t="shared" si="44"/>
        <v>213150</v>
      </c>
      <c r="Q59" s="319">
        <f t="shared" si="3"/>
        <v>125</v>
      </c>
      <c r="R59" s="320">
        <f t="shared" si="4"/>
        <v>1421</v>
      </c>
      <c r="S59" s="320">
        <f t="shared" si="5"/>
        <v>177625</v>
      </c>
      <c r="T59" s="320">
        <f t="shared" si="6"/>
        <v>213150</v>
      </c>
      <c r="U59" s="320">
        <f t="shared" si="7"/>
        <v>0</v>
      </c>
      <c r="V59" s="320">
        <f t="shared" si="8"/>
        <v>0</v>
      </c>
      <c r="W59" s="320">
        <f t="shared" si="9"/>
        <v>0</v>
      </c>
      <c r="X59" s="319">
        <f t="shared" si="10"/>
        <v>177625</v>
      </c>
      <c r="Y59" s="320">
        <f t="shared" si="10"/>
        <v>213150</v>
      </c>
      <c r="Z59" s="233"/>
    </row>
    <row r="60" spans="1:26" ht="20.25" customHeight="1" x14ac:dyDescent="0.25">
      <c r="A60" s="113" t="s">
        <v>335</v>
      </c>
      <c r="B60" s="19" t="s">
        <v>529</v>
      </c>
      <c r="C60" s="20" t="s">
        <v>13</v>
      </c>
      <c r="D60" s="343">
        <f>D59*1.26</f>
        <v>157.5</v>
      </c>
      <c r="E60" s="21"/>
      <c r="F60" s="134"/>
      <c r="G60" s="134"/>
      <c r="H60" s="134">
        <v>4195.84</v>
      </c>
      <c r="I60" s="134">
        <f>ROUND(H60*D60,2)</f>
        <v>660844.80000000005</v>
      </c>
      <c r="J60" s="134">
        <f>ROUND(I60*1.2,2)</f>
        <v>793013.76000000001</v>
      </c>
      <c r="K60" s="28">
        <f t="shared" si="44"/>
        <v>660844.80000000005</v>
      </c>
      <c r="L60" s="134">
        <f t="shared" si="44"/>
        <v>793013.76000000001</v>
      </c>
      <c r="Q60" s="319">
        <f t="shared" si="3"/>
        <v>157.5</v>
      </c>
      <c r="R60" s="320">
        <f t="shared" si="4"/>
        <v>0</v>
      </c>
      <c r="S60" s="320">
        <f t="shared" si="5"/>
        <v>0</v>
      </c>
      <c r="T60" s="320">
        <f t="shared" si="6"/>
        <v>0</v>
      </c>
      <c r="U60" s="320">
        <f t="shared" si="7"/>
        <v>4195.84</v>
      </c>
      <c r="V60" s="320">
        <f t="shared" si="8"/>
        <v>660844.80000000005</v>
      </c>
      <c r="W60" s="320">
        <f t="shared" si="9"/>
        <v>793013.76000000001</v>
      </c>
      <c r="X60" s="319">
        <f t="shared" si="10"/>
        <v>660844.80000000005</v>
      </c>
      <c r="Y60" s="320">
        <f t="shared" si="10"/>
        <v>793013.76000000001</v>
      </c>
      <c r="Z60" s="233"/>
    </row>
    <row r="61" spans="1:26" ht="31.5" customHeight="1" x14ac:dyDescent="0.25">
      <c r="A61" s="172">
        <f>A59+1</f>
        <v>35</v>
      </c>
      <c r="B61" s="335" t="s">
        <v>565</v>
      </c>
      <c r="C61" s="336" t="s">
        <v>13</v>
      </c>
      <c r="D61" s="338">
        <v>100</v>
      </c>
      <c r="E61" s="174">
        <v>1179.8999999999999</v>
      </c>
      <c r="F61" s="179">
        <f t="shared" ref="F61" si="50">ROUND(E61*D61,2)</f>
        <v>117990</v>
      </c>
      <c r="G61" s="179">
        <f t="shared" ref="G61" si="51">ROUND(F61*1.2,2)</f>
        <v>141588</v>
      </c>
      <c r="H61" s="463"/>
      <c r="I61" s="179"/>
      <c r="J61" s="179"/>
      <c r="K61" s="174">
        <f t="shared" si="44"/>
        <v>117990</v>
      </c>
      <c r="L61" s="179">
        <f t="shared" si="44"/>
        <v>141588</v>
      </c>
      <c r="Q61" s="319">
        <f t="shared" si="3"/>
        <v>100</v>
      </c>
      <c r="R61" s="320">
        <f t="shared" si="4"/>
        <v>1179.8999999999999</v>
      </c>
      <c r="S61" s="320">
        <f t="shared" si="5"/>
        <v>117989.99999999999</v>
      </c>
      <c r="T61" s="320">
        <f t="shared" si="6"/>
        <v>141587.99999999997</v>
      </c>
      <c r="U61" s="320">
        <f t="shared" si="7"/>
        <v>0</v>
      </c>
      <c r="V61" s="320">
        <f t="shared" si="8"/>
        <v>0</v>
      </c>
      <c r="W61" s="320">
        <f t="shared" si="9"/>
        <v>0</v>
      </c>
      <c r="X61" s="319">
        <f t="shared" si="10"/>
        <v>117989.99999999999</v>
      </c>
      <c r="Y61" s="320">
        <f t="shared" si="10"/>
        <v>141587.99999999997</v>
      </c>
      <c r="Z61" s="233"/>
    </row>
    <row r="62" spans="1:26" ht="20.25" customHeight="1" x14ac:dyDescent="0.25">
      <c r="A62" s="113" t="s">
        <v>566</v>
      </c>
      <c r="B62" s="19" t="s">
        <v>527</v>
      </c>
      <c r="C62" s="20" t="s">
        <v>13</v>
      </c>
      <c r="D62" s="343">
        <v>110</v>
      </c>
      <c r="E62" s="21"/>
      <c r="F62" s="134"/>
      <c r="G62" s="134"/>
      <c r="H62" s="134">
        <v>1029.1600000000001</v>
      </c>
      <c r="I62" s="134">
        <f>ROUND(H62*D62,2)</f>
        <v>113207.6</v>
      </c>
      <c r="J62" s="134">
        <f>ROUND(I62*1.2,2)</f>
        <v>135849.12</v>
      </c>
      <c r="K62" s="28">
        <f t="shared" si="44"/>
        <v>113207.6</v>
      </c>
      <c r="L62" s="134">
        <f t="shared" si="44"/>
        <v>135849.12</v>
      </c>
      <c r="Q62" s="319">
        <f t="shared" si="3"/>
        <v>110</v>
      </c>
      <c r="R62" s="320">
        <f t="shared" si="4"/>
        <v>0</v>
      </c>
      <c r="S62" s="320">
        <f t="shared" si="5"/>
        <v>0</v>
      </c>
      <c r="T62" s="320">
        <f t="shared" si="6"/>
        <v>0</v>
      </c>
      <c r="U62" s="320">
        <f t="shared" si="7"/>
        <v>1029.1600000000001</v>
      </c>
      <c r="V62" s="320">
        <f t="shared" si="8"/>
        <v>113207.6</v>
      </c>
      <c r="W62" s="320">
        <f t="shared" si="9"/>
        <v>135849.12</v>
      </c>
      <c r="X62" s="319">
        <f t="shared" si="10"/>
        <v>113207.6</v>
      </c>
      <c r="Y62" s="320">
        <f t="shared" si="10"/>
        <v>135849.12</v>
      </c>
      <c r="Z62" s="233"/>
    </row>
    <row r="63" spans="1:26" ht="22.5" customHeight="1" x14ac:dyDescent="0.25">
      <c r="A63" s="88"/>
      <c r="B63" s="347" t="s">
        <v>567</v>
      </c>
      <c r="C63" s="341"/>
      <c r="D63" s="348"/>
      <c r="E63" s="18"/>
      <c r="F63" s="126"/>
      <c r="G63" s="126"/>
      <c r="H63" s="461"/>
      <c r="I63" s="91"/>
      <c r="J63" s="91"/>
      <c r="K63" s="18"/>
      <c r="L63" s="91"/>
      <c r="Q63" s="319">
        <f t="shared" si="3"/>
        <v>0</v>
      </c>
      <c r="R63" s="320">
        <f t="shared" si="4"/>
        <v>0</v>
      </c>
      <c r="S63" s="320"/>
      <c r="T63" s="320"/>
      <c r="U63" s="320">
        <f t="shared" si="7"/>
        <v>0</v>
      </c>
      <c r="V63" s="320"/>
      <c r="W63" s="320"/>
      <c r="X63" s="319"/>
      <c r="Y63" s="320"/>
      <c r="Z63" s="233"/>
    </row>
    <row r="64" spans="1:26" ht="36.75" customHeight="1" x14ac:dyDescent="0.25">
      <c r="A64" s="172">
        <f>A61+1</f>
        <v>36</v>
      </c>
      <c r="B64" s="354" t="s">
        <v>568</v>
      </c>
      <c r="C64" s="619" t="s">
        <v>35</v>
      </c>
      <c r="D64" s="622">
        <v>238</v>
      </c>
      <c r="E64" s="625">
        <v>1053.4000000000001</v>
      </c>
      <c r="F64" s="625">
        <f>ROUND(E64*D64,2)</f>
        <v>250709.2</v>
      </c>
      <c r="G64" s="625">
        <f t="shared" ref="G64:G66" si="52">ROUND(F64*1.2,2)</f>
        <v>300851.03999999998</v>
      </c>
      <c r="H64" s="625"/>
      <c r="I64" s="625"/>
      <c r="J64" s="625"/>
      <c r="K64" s="625">
        <f t="shared" ref="K64:L72" si="53">F64+I64</f>
        <v>250709.2</v>
      </c>
      <c r="L64" s="625">
        <f t="shared" si="53"/>
        <v>300851.03999999998</v>
      </c>
      <c r="Q64" s="319">
        <f t="shared" si="3"/>
        <v>238</v>
      </c>
      <c r="R64" s="320">
        <f t="shared" si="4"/>
        <v>1053.4000000000001</v>
      </c>
      <c r="S64" s="320">
        <f t="shared" si="5"/>
        <v>250709.2</v>
      </c>
      <c r="T64" s="320">
        <f t="shared" si="6"/>
        <v>300851.03999999998</v>
      </c>
      <c r="U64" s="320">
        <f t="shared" si="7"/>
        <v>0</v>
      </c>
      <c r="V64" s="320">
        <f t="shared" si="8"/>
        <v>0</v>
      </c>
      <c r="W64" s="320">
        <f t="shared" si="9"/>
        <v>0</v>
      </c>
      <c r="X64" s="319">
        <f t="shared" si="10"/>
        <v>250709.2</v>
      </c>
      <c r="Y64" s="320">
        <f t="shared" si="10"/>
        <v>300851.03999999998</v>
      </c>
      <c r="Z64" s="233"/>
    </row>
    <row r="65" spans="1:92" ht="24.75" customHeight="1" x14ac:dyDescent="0.25">
      <c r="A65" s="172">
        <f>A64+1</f>
        <v>37</v>
      </c>
      <c r="B65" s="354" t="s">
        <v>569</v>
      </c>
      <c r="C65" s="620"/>
      <c r="D65" s="623"/>
      <c r="E65" s="626"/>
      <c r="F65" s="626">
        <f t="shared" ref="F65:F66" si="54">ROUND(E65*D65,2)</f>
        <v>0</v>
      </c>
      <c r="G65" s="626">
        <f t="shared" si="52"/>
        <v>0</v>
      </c>
      <c r="H65" s="626"/>
      <c r="I65" s="626"/>
      <c r="J65" s="626"/>
      <c r="K65" s="626">
        <f t="shared" si="53"/>
        <v>0</v>
      </c>
      <c r="L65" s="626">
        <f t="shared" si="53"/>
        <v>0</v>
      </c>
      <c r="Q65" s="319">
        <f t="shared" si="3"/>
        <v>0</v>
      </c>
      <c r="R65" s="320">
        <f t="shared" si="4"/>
        <v>0</v>
      </c>
      <c r="S65" s="320">
        <f t="shared" si="5"/>
        <v>0</v>
      </c>
      <c r="T65" s="320">
        <f t="shared" si="6"/>
        <v>0</v>
      </c>
      <c r="U65" s="320">
        <f t="shared" si="7"/>
        <v>0</v>
      </c>
      <c r="V65" s="320">
        <f t="shared" si="8"/>
        <v>0</v>
      </c>
      <c r="W65" s="320">
        <f t="shared" si="9"/>
        <v>0</v>
      </c>
      <c r="X65" s="319">
        <f t="shared" si="10"/>
        <v>0</v>
      </c>
      <c r="Y65" s="320">
        <f t="shared" si="10"/>
        <v>0</v>
      </c>
      <c r="Z65" s="233"/>
    </row>
    <row r="66" spans="1:92" ht="24.75" customHeight="1" x14ac:dyDescent="0.25">
      <c r="A66" s="172">
        <f>A65+1</f>
        <v>38</v>
      </c>
      <c r="B66" s="354" t="s">
        <v>570</v>
      </c>
      <c r="C66" s="621"/>
      <c r="D66" s="624"/>
      <c r="E66" s="627"/>
      <c r="F66" s="627">
        <f t="shared" si="54"/>
        <v>0</v>
      </c>
      <c r="G66" s="627">
        <f t="shared" si="52"/>
        <v>0</v>
      </c>
      <c r="H66" s="627"/>
      <c r="I66" s="627"/>
      <c r="J66" s="627"/>
      <c r="K66" s="627">
        <f t="shared" si="53"/>
        <v>0</v>
      </c>
      <c r="L66" s="627">
        <f t="shared" si="53"/>
        <v>0</v>
      </c>
      <c r="Q66" s="319">
        <f t="shared" si="3"/>
        <v>0</v>
      </c>
      <c r="R66" s="320">
        <f t="shared" si="4"/>
        <v>0</v>
      </c>
      <c r="S66" s="320">
        <f t="shared" si="5"/>
        <v>0</v>
      </c>
      <c r="T66" s="320">
        <f t="shared" si="6"/>
        <v>0</v>
      </c>
      <c r="U66" s="320">
        <f t="shared" si="7"/>
        <v>0</v>
      </c>
      <c r="V66" s="320">
        <f t="shared" si="8"/>
        <v>0</v>
      </c>
      <c r="W66" s="320">
        <f t="shared" si="9"/>
        <v>0</v>
      </c>
      <c r="X66" s="319">
        <f t="shared" si="10"/>
        <v>0</v>
      </c>
      <c r="Y66" s="320">
        <f t="shared" si="10"/>
        <v>0</v>
      </c>
      <c r="Z66" s="233"/>
    </row>
    <row r="67" spans="1:92" ht="24.75" customHeight="1" x14ac:dyDescent="0.25">
      <c r="A67" s="113" t="s">
        <v>336</v>
      </c>
      <c r="B67" s="355" t="s">
        <v>571</v>
      </c>
      <c r="C67" s="20" t="s">
        <v>35</v>
      </c>
      <c r="D67" s="356">
        <v>238</v>
      </c>
      <c r="E67" s="21"/>
      <c r="F67" s="134"/>
      <c r="G67" s="134"/>
      <c r="H67" s="361">
        <v>79.319999999999993</v>
      </c>
      <c r="I67" s="134">
        <f>ROUND(H67*D67,2)</f>
        <v>18878.16</v>
      </c>
      <c r="J67" s="134">
        <f t="shared" ref="J67:J70" si="55">ROUND(I67*1.2,2)</f>
        <v>22653.79</v>
      </c>
      <c r="K67" s="28">
        <f t="shared" si="53"/>
        <v>18878.16</v>
      </c>
      <c r="L67" s="312">
        <f t="shared" si="53"/>
        <v>22653.79</v>
      </c>
      <c r="Q67" s="319">
        <f t="shared" si="3"/>
        <v>238</v>
      </c>
      <c r="R67" s="320">
        <f t="shared" si="4"/>
        <v>0</v>
      </c>
      <c r="S67" s="320">
        <f t="shared" si="5"/>
        <v>0</v>
      </c>
      <c r="T67" s="320">
        <f t="shared" si="6"/>
        <v>0</v>
      </c>
      <c r="U67" s="320">
        <f t="shared" si="7"/>
        <v>79.319999999999993</v>
      </c>
      <c r="V67" s="320">
        <f t="shared" si="8"/>
        <v>18878.16</v>
      </c>
      <c r="W67" s="320">
        <f t="shared" si="9"/>
        <v>22653.791999999998</v>
      </c>
      <c r="X67" s="319">
        <f t="shared" si="10"/>
        <v>18878.16</v>
      </c>
      <c r="Y67" s="320">
        <f t="shared" si="10"/>
        <v>22653.791999999998</v>
      </c>
      <c r="Z67" s="233"/>
    </row>
    <row r="68" spans="1:92" ht="24.75" customHeight="1" x14ac:dyDescent="0.25">
      <c r="A68" s="113" t="s">
        <v>337</v>
      </c>
      <c r="B68" s="19" t="s">
        <v>572</v>
      </c>
      <c r="C68" s="20" t="s">
        <v>533</v>
      </c>
      <c r="D68" s="356">
        <v>238</v>
      </c>
      <c r="E68" s="21"/>
      <c r="F68" s="134"/>
      <c r="G68" s="134"/>
      <c r="H68" s="28">
        <v>17.53</v>
      </c>
      <c r="I68" s="134">
        <f t="shared" ref="I68:I70" si="56">ROUND(H68*D68,2)</f>
        <v>4172.1400000000003</v>
      </c>
      <c r="J68" s="134">
        <f t="shared" si="55"/>
        <v>5006.57</v>
      </c>
      <c r="K68" s="28">
        <f t="shared" si="53"/>
        <v>4172.1400000000003</v>
      </c>
      <c r="L68" s="312">
        <f t="shared" si="53"/>
        <v>5006.57</v>
      </c>
      <c r="Q68" s="319">
        <f t="shared" si="3"/>
        <v>238</v>
      </c>
      <c r="R68" s="320">
        <f t="shared" si="4"/>
        <v>0</v>
      </c>
      <c r="S68" s="320">
        <f t="shared" si="5"/>
        <v>0</v>
      </c>
      <c r="T68" s="320">
        <f t="shared" si="6"/>
        <v>0</v>
      </c>
      <c r="U68" s="320">
        <f t="shared" si="7"/>
        <v>17.53</v>
      </c>
      <c r="V68" s="320">
        <f t="shared" si="8"/>
        <v>4172.1400000000003</v>
      </c>
      <c r="W68" s="320">
        <f t="shared" si="9"/>
        <v>5006.5680000000002</v>
      </c>
      <c r="X68" s="319">
        <f t="shared" si="10"/>
        <v>4172.1400000000003</v>
      </c>
      <c r="Y68" s="320">
        <f t="shared" si="10"/>
        <v>5006.5680000000002</v>
      </c>
      <c r="Z68" s="233"/>
    </row>
    <row r="69" spans="1:92" ht="24.75" customHeight="1" x14ac:dyDescent="0.25">
      <c r="A69" s="113" t="s">
        <v>573</v>
      </c>
      <c r="B69" s="357" t="s">
        <v>574</v>
      </c>
      <c r="C69" s="20" t="s">
        <v>533</v>
      </c>
      <c r="D69" s="356">
        <f>D68*2</f>
        <v>476</v>
      </c>
      <c r="E69" s="21"/>
      <c r="F69" s="134"/>
      <c r="G69" s="134"/>
      <c r="H69" s="361">
        <v>4.79</v>
      </c>
      <c r="I69" s="134">
        <f t="shared" si="56"/>
        <v>2280.04</v>
      </c>
      <c r="J69" s="134">
        <f t="shared" si="55"/>
        <v>2736.05</v>
      </c>
      <c r="K69" s="28">
        <f t="shared" si="53"/>
        <v>2280.04</v>
      </c>
      <c r="L69" s="312">
        <f t="shared" si="53"/>
        <v>2736.05</v>
      </c>
      <c r="Q69" s="368">
        <v>238</v>
      </c>
      <c r="R69" s="320">
        <f t="shared" si="4"/>
        <v>0</v>
      </c>
      <c r="S69" s="320">
        <f t="shared" si="5"/>
        <v>0</v>
      </c>
      <c r="T69" s="320">
        <f t="shared" si="6"/>
        <v>0</v>
      </c>
      <c r="U69" s="320">
        <f t="shared" si="7"/>
        <v>4.79</v>
      </c>
      <c r="V69" s="320">
        <f t="shared" si="8"/>
        <v>1140.02</v>
      </c>
      <c r="W69" s="320">
        <f t="shared" si="9"/>
        <v>1368.0239999999999</v>
      </c>
      <c r="X69" s="319">
        <f t="shared" si="10"/>
        <v>1140.02</v>
      </c>
      <c r="Y69" s="332">
        <f t="shared" si="10"/>
        <v>1368.0239999999999</v>
      </c>
      <c r="Z69" s="233">
        <f t="shared" ref="Z69:Z72" si="57">Y69-L69</f>
        <v>-1368.0260000000003</v>
      </c>
      <c r="AA69" s="376" t="s">
        <v>605</v>
      </c>
    </row>
    <row r="70" spans="1:92" ht="24.75" customHeight="1" x14ac:dyDescent="0.25">
      <c r="A70" s="113" t="s">
        <v>575</v>
      </c>
      <c r="B70" s="357" t="s">
        <v>576</v>
      </c>
      <c r="C70" s="20" t="s">
        <v>533</v>
      </c>
      <c r="D70" s="356">
        <v>476</v>
      </c>
      <c r="E70" s="21"/>
      <c r="F70" s="134"/>
      <c r="G70" s="134"/>
      <c r="H70" s="361">
        <v>0.96</v>
      </c>
      <c r="I70" s="134">
        <f t="shared" si="56"/>
        <v>456.96</v>
      </c>
      <c r="J70" s="134">
        <f t="shared" si="55"/>
        <v>548.35</v>
      </c>
      <c r="K70" s="28">
        <f t="shared" si="53"/>
        <v>456.96</v>
      </c>
      <c r="L70" s="312">
        <f t="shared" si="53"/>
        <v>548.35</v>
      </c>
      <c r="Q70" s="368">
        <v>238</v>
      </c>
      <c r="R70" s="320">
        <f t="shared" si="4"/>
        <v>0</v>
      </c>
      <c r="S70" s="320">
        <f t="shared" si="5"/>
        <v>0</v>
      </c>
      <c r="T70" s="320">
        <f t="shared" si="6"/>
        <v>0</v>
      </c>
      <c r="U70" s="320">
        <f t="shared" si="7"/>
        <v>0.96</v>
      </c>
      <c r="V70" s="320">
        <f t="shared" si="8"/>
        <v>228.48</v>
      </c>
      <c r="W70" s="320">
        <f t="shared" si="9"/>
        <v>274.17599999999999</v>
      </c>
      <c r="X70" s="319">
        <f t="shared" si="10"/>
        <v>228.48</v>
      </c>
      <c r="Y70" s="332">
        <f t="shared" si="10"/>
        <v>274.17599999999999</v>
      </c>
      <c r="Z70" s="233">
        <f t="shared" si="57"/>
        <v>-274.17400000000004</v>
      </c>
    </row>
    <row r="71" spans="1:92" ht="18.75" customHeight="1" x14ac:dyDescent="0.25">
      <c r="A71" s="172">
        <f>A66+1</f>
        <v>39</v>
      </c>
      <c r="B71" s="358" t="s">
        <v>577</v>
      </c>
      <c r="C71" s="172" t="s">
        <v>15</v>
      </c>
      <c r="D71" s="359">
        <v>936</v>
      </c>
      <c r="E71" s="174">
        <f>1.35*667</f>
        <v>900.45</v>
      </c>
      <c r="F71" s="179">
        <f t="shared" ref="F71" si="58">ROUND(E71*D71,2)</f>
        <v>842821.2</v>
      </c>
      <c r="G71" s="179">
        <f t="shared" ref="G71" si="59">ROUND(F71*1.2,2)</f>
        <v>1011385.44</v>
      </c>
      <c r="H71" s="180"/>
      <c r="I71" s="179"/>
      <c r="J71" s="179"/>
      <c r="K71" s="174">
        <f t="shared" si="53"/>
        <v>842821.2</v>
      </c>
      <c r="L71" s="360">
        <f t="shared" si="53"/>
        <v>1011385.44</v>
      </c>
      <c r="Q71" s="368">
        <v>561.79999999999995</v>
      </c>
      <c r="R71" s="320">
        <f t="shared" si="4"/>
        <v>900.45</v>
      </c>
      <c r="S71" s="320">
        <f t="shared" si="5"/>
        <v>505872.81</v>
      </c>
      <c r="T71" s="320">
        <f t="shared" si="6"/>
        <v>607047.37199999997</v>
      </c>
      <c r="U71" s="320">
        <f t="shared" si="7"/>
        <v>0</v>
      </c>
      <c r="V71" s="320">
        <f t="shared" si="8"/>
        <v>0</v>
      </c>
      <c r="W71" s="320">
        <f t="shared" si="9"/>
        <v>0</v>
      </c>
      <c r="X71" s="319">
        <f t="shared" si="10"/>
        <v>505872.81</v>
      </c>
      <c r="Y71" s="332">
        <f t="shared" si="10"/>
        <v>607047.37199999997</v>
      </c>
      <c r="Z71" s="233">
        <f t="shared" si="57"/>
        <v>-404338.06799999997</v>
      </c>
    </row>
    <row r="72" spans="1:92" s="148" customFormat="1" ht="18.75" customHeight="1" x14ac:dyDescent="0.25">
      <c r="A72" s="113" t="s">
        <v>338</v>
      </c>
      <c r="B72" s="355" t="s">
        <v>578</v>
      </c>
      <c r="C72" s="20" t="s">
        <v>15</v>
      </c>
      <c r="D72" s="356">
        <v>936</v>
      </c>
      <c r="E72" s="21"/>
      <c r="F72" s="134"/>
      <c r="G72" s="134"/>
      <c r="H72" s="361">
        <v>473.02</v>
      </c>
      <c r="I72" s="134">
        <f>ROUND(H72*D72,2)</f>
        <v>442746.72</v>
      </c>
      <c r="J72" s="134">
        <f t="shared" ref="J72" si="60">ROUND(I72*1.2,2)</f>
        <v>531296.06000000006</v>
      </c>
      <c r="K72" s="28">
        <f t="shared" si="53"/>
        <v>442746.72</v>
      </c>
      <c r="L72" s="312">
        <f t="shared" si="53"/>
        <v>531296.06000000006</v>
      </c>
      <c r="M72" s="66"/>
      <c r="N72" s="66"/>
      <c r="O72" s="66"/>
      <c r="P72" s="66"/>
      <c r="Q72" s="368">
        <v>561.79999999999995</v>
      </c>
      <c r="R72" s="320">
        <f t="shared" si="4"/>
        <v>0</v>
      </c>
      <c r="S72" s="320">
        <f t="shared" si="5"/>
        <v>0</v>
      </c>
      <c r="T72" s="320">
        <f t="shared" si="6"/>
        <v>0</v>
      </c>
      <c r="U72" s="320">
        <f t="shared" si="7"/>
        <v>473.02</v>
      </c>
      <c r="V72" s="320">
        <f t="shared" si="8"/>
        <v>265742.63599999994</v>
      </c>
      <c r="W72" s="320">
        <f t="shared" si="9"/>
        <v>318891.16319999989</v>
      </c>
      <c r="X72" s="319">
        <f t="shared" si="10"/>
        <v>265742.63599999994</v>
      </c>
      <c r="Y72" s="332">
        <f t="shared" si="10"/>
        <v>318891.16319999989</v>
      </c>
      <c r="Z72" s="233">
        <f t="shared" si="57"/>
        <v>-212404.89680000016</v>
      </c>
      <c r="AA72" s="377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</row>
    <row r="73" spans="1:92" ht="24.75" customHeight="1" x14ac:dyDescent="0.25">
      <c r="A73" s="88"/>
      <c r="B73" s="362" t="s">
        <v>579</v>
      </c>
      <c r="C73" s="341"/>
      <c r="D73" s="348"/>
      <c r="E73" s="18"/>
      <c r="F73" s="126"/>
      <c r="G73" s="126"/>
      <c r="H73" s="461"/>
      <c r="I73" s="91"/>
      <c r="J73" s="91"/>
      <c r="K73" s="18"/>
      <c r="L73" s="91"/>
      <c r="Q73" s="319">
        <f t="shared" si="3"/>
        <v>0</v>
      </c>
      <c r="R73" s="320">
        <f t="shared" si="4"/>
        <v>0</v>
      </c>
      <c r="S73" s="320">
        <f t="shared" si="5"/>
        <v>0</v>
      </c>
      <c r="T73" s="320">
        <f t="shared" si="6"/>
        <v>0</v>
      </c>
      <c r="U73" s="320">
        <f t="shared" si="7"/>
        <v>0</v>
      </c>
      <c r="V73" s="320">
        <f t="shared" si="8"/>
        <v>0</v>
      </c>
      <c r="W73" s="320">
        <f t="shared" si="9"/>
        <v>0</v>
      </c>
      <c r="X73" s="319">
        <f t="shared" si="10"/>
        <v>0</v>
      </c>
      <c r="Y73" s="320">
        <f t="shared" si="10"/>
        <v>0</v>
      </c>
      <c r="Z73" s="233"/>
    </row>
    <row r="74" spans="1:92" ht="24.75" customHeight="1" x14ac:dyDescent="0.25">
      <c r="A74" s="172">
        <f>A71+1</f>
        <v>40</v>
      </c>
      <c r="B74" s="171" t="s">
        <v>317</v>
      </c>
      <c r="C74" s="172" t="s">
        <v>15</v>
      </c>
      <c r="D74" s="173">
        <v>226.1</v>
      </c>
      <c r="E74" s="179">
        <v>1800</v>
      </c>
      <c r="F74" s="179">
        <f t="shared" ref="F74:F79" si="61">ROUND(E74*D74,2)</f>
        <v>406980</v>
      </c>
      <c r="G74" s="179">
        <f t="shared" ref="G74:G79" si="62">ROUND(F74*1.2,2)</f>
        <v>488376</v>
      </c>
      <c r="H74" s="180"/>
      <c r="I74" s="179"/>
      <c r="J74" s="179"/>
      <c r="K74" s="174">
        <f t="shared" ref="K74:L79" si="63">F74+I74</f>
        <v>406980</v>
      </c>
      <c r="L74" s="179">
        <f t="shared" si="63"/>
        <v>488376</v>
      </c>
      <c r="Q74" s="319">
        <f t="shared" ref="Q74:Q115" si="64">D74</f>
        <v>226.1</v>
      </c>
      <c r="R74" s="320">
        <f t="shared" ref="R74:R115" si="65">E74</f>
        <v>1800</v>
      </c>
      <c r="S74" s="320">
        <f t="shared" ref="S74:S115" si="66">Q74*R74</f>
        <v>406980</v>
      </c>
      <c r="T74" s="320">
        <f t="shared" ref="T74:T115" si="67">S74*1.2</f>
        <v>488376</v>
      </c>
      <c r="U74" s="320">
        <f t="shared" ref="U74:U115" si="68">H74</f>
        <v>0</v>
      </c>
      <c r="V74" s="320">
        <f t="shared" ref="V74:V115" si="69">Q74*U74</f>
        <v>0</v>
      </c>
      <c r="W74" s="320">
        <f t="shared" ref="W74:W115" si="70">V74*1.2</f>
        <v>0</v>
      </c>
      <c r="X74" s="319">
        <f t="shared" ref="X74:Y115" si="71">S74+V74</f>
        <v>406980</v>
      </c>
      <c r="Y74" s="320">
        <f t="shared" si="71"/>
        <v>488376</v>
      </c>
      <c r="Z74" s="233"/>
    </row>
    <row r="75" spans="1:92" ht="24.75" customHeight="1" x14ac:dyDescent="0.25">
      <c r="A75" s="172">
        <f>A74+1</f>
        <v>41</v>
      </c>
      <c r="B75" s="171" t="s">
        <v>580</v>
      </c>
      <c r="C75" s="172" t="s">
        <v>13</v>
      </c>
      <c r="D75" s="349">
        <v>0</v>
      </c>
      <c r="E75" s="174">
        <v>4804.26</v>
      </c>
      <c r="F75" s="179">
        <f t="shared" si="61"/>
        <v>0</v>
      </c>
      <c r="G75" s="179">
        <f t="shared" si="62"/>
        <v>0</v>
      </c>
      <c r="H75" s="180"/>
      <c r="I75" s="179"/>
      <c r="J75" s="179"/>
      <c r="K75" s="174">
        <f t="shared" si="63"/>
        <v>0</v>
      </c>
      <c r="L75" s="179">
        <f t="shared" si="63"/>
        <v>0</v>
      </c>
      <c r="Q75" s="319">
        <f t="shared" si="64"/>
        <v>0</v>
      </c>
      <c r="R75" s="320">
        <f t="shared" si="65"/>
        <v>4804.26</v>
      </c>
      <c r="S75" s="320">
        <f t="shared" si="66"/>
        <v>0</v>
      </c>
      <c r="T75" s="320">
        <f t="shared" si="67"/>
        <v>0</v>
      </c>
      <c r="U75" s="320">
        <f t="shared" si="68"/>
        <v>0</v>
      </c>
      <c r="V75" s="320">
        <f t="shared" si="69"/>
        <v>0</v>
      </c>
      <c r="W75" s="320">
        <f t="shared" si="70"/>
        <v>0</v>
      </c>
      <c r="X75" s="319">
        <f t="shared" si="71"/>
        <v>0</v>
      </c>
      <c r="Y75" s="320">
        <f t="shared" si="71"/>
        <v>0</v>
      </c>
      <c r="Z75" s="233"/>
    </row>
    <row r="76" spans="1:92" ht="24.75" customHeight="1" x14ac:dyDescent="0.25">
      <c r="A76" s="183">
        <f t="shared" ref="A76:A79" si="72">A75+1</f>
        <v>42</v>
      </c>
      <c r="B76" s="178" t="s">
        <v>318</v>
      </c>
      <c r="C76" s="183" t="s">
        <v>13</v>
      </c>
      <c r="D76" s="184">
        <v>158.1</v>
      </c>
      <c r="E76" s="182">
        <f>ROUND(65055.24/(297.03*0.05),2)</f>
        <v>4380.38</v>
      </c>
      <c r="F76" s="182">
        <f t="shared" si="61"/>
        <v>692538.08</v>
      </c>
      <c r="G76" s="182">
        <f t="shared" si="62"/>
        <v>831045.7</v>
      </c>
      <c r="H76" s="177"/>
      <c r="I76" s="182"/>
      <c r="J76" s="182"/>
      <c r="K76" s="176">
        <f t="shared" si="63"/>
        <v>692538.08</v>
      </c>
      <c r="L76" s="182">
        <f t="shared" si="63"/>
        <v>831045.7</v>
      </c>
      <c r="Q76" s="319">
        <f t="shared" si="64"/>
        <v>158.1</v>
      </c>
      <c r="R76" s="320">
        <f t="shared" si="65"/>
        <v>4380.38</v>
      </c>
      <c r="S76" s="320">
        <f t="shared" si="66"/>
        <v>692538.07799999998</v>
      </c>
      <c r="T76" s="320">
        <f t="shared" si="67"/>
        <v>831045.6936</v>
      </c>
      <c r="U76" s="320">
        <f t="shared" si="68"/>
        <v>0</v>
      </c>
      <c r="V76" s="320">
        <f t="shared" si="69"/>
        <v>0</v>
      </c>
      <c r="W76" s="320">
        <f t="shared" si="70"/>
        <v>0</v>
      </c>
      <c r="X76" s="319">
        <f t="shared" si="71"/>
        <v>692538.07799999998</v>
      </c>
      <c r="Y76" s="320">
        <f t="shared" si="71"/>
        <v>831045.6936</v>
      </c>
      <c r="Z76" s="233"/>
    </row>
    <row r="77" spans="1:92" ht="24.75" customHeight="1" x14ac:dyDescent="0.25">
      <c r="A77" s="172">
        <f t="shared" si="72"/>
        <v>43</v>
      </c>
      <c r="B77" s="171" t="s">
        <v>581</v>
      </c>
      <c r="C77" s="172" t="s">
        <v>35</v>
      </c>
      <c r="D77" s="190">
        <f>ROUND(30.67/3/1.75/0.17,0)</f>
        <v>34</v>
      </c>
      <c r="E77" s="179">
        <v>3982.45</v>
      </c>
      <c r="F77" s="179">
        <f t="shared" si="61"/>
        <v>135403.29999999999</v>
      </c>
      <c r="G77" s="179">
        <f t="shared" si="62"/>
        <v>162483.96</v>
      </c>
      <c r="H77" s="180"/>
      <c r="I77" s="179"/>
      <c r="J77" s="179"/>
      <c r="K77" s="174">
        <f t="shared" si="63"/>
        <v>135403.29999999999</v>
      </c>
      <c r="L77" s="179">
        <f t="shared" si="63"/>
        <v>162483.96</v>
      </c>
      <c r="Q77" s="319">
        <f t="shared" si="64"/>
        <v>34</v>
      </c>
      <c r="R77" s="320">
        <f t="shared" si="65"/>
        <v>3982.45</v>
      </c>
      <c r="S77" s="320">
        <f t="shared" si="66"/>
        <v>135403.29999999999</v>
      </c>
      <c r="T77" s="320">
        <f t="shared" si="67"/>
        <v>162483.96</v>
      </c>
      <c r="U77" s="320">
        <f t="shared" si="68"/>
        <v>0</v>
      </c>
      <c r="V77" s="320">
        <f t="shared" si="69"/>
        <v>0</v>
      </c>
      <c r="W77" s="320">
        <f t="shared" si="70"/>
        <v>0</v>
      </c>
      <c r="X77" s="319">
        <f t="shared" si="71"/>
        <v>135403.29999999999</v>
      </c>
      <c r="Y77" s="320">
        <f t="shared" si="71"/>
        <v>162483.96</v>
      </c>
      <c r="Z77" s="233"/>
    </row>
    <row r="78" spans="1:92" ht="24.75" customHeight="1" x14ac:dyDescent="0.25">
      <c r="A78" s="172">
        <f t="shared" si="72"/>
        <v>44</v>
      </c>
      <c r="B78" s="171" t="s">
        <v>582</v>
      </c>
      <c r="C78" s="172" t="s">
        <v>13</v>
      </c>
      <c r="D78" s="173">
        <v>127.36</v>
      </c>
      <c r="E78" s="174">
        <v>4380.38</v>
      </c>
      <c r="F78" s="179">
        <f t="shared" si="61"/>
        <v>557885.19999999995</v>
      </c>
      <c r="G78" s="179">
        <f t="shared" si="62"/>
        <v>669462.24</v>
      </c>
      <c r="H78" s="179"/>
      <c r="I78" s="179"/>
      <c r="J78" s="179"/>
      <c r="K78" s="174">
        <f t="shared" si="63"/>
        <v>557885.19999999995</v>
      </c>
      <c r="L78" s="179">
        <f t="shared" si="63"/>
        <v>669462.24</v>
      </c>
      <c r="Q78" s="319">
        <f t="shared" si="64"/>
        <v>127.36</v>
      </c>
      <c r="R78" s="320">
        <f t="shared" si="65"/>
        <v>4380.38</v>
      </c>
      <c r="S78" s="320">
        <f t="shared" si="66"/>
        <v>557885.19680000003</v>
      </c>
      <c r="T78" s="320">
        <f t="shared" si="67"/>
        <v>669462.23615999997</v>
      </c>
      <c r="U78" s="320">
        <f t="shared" si="68"/>
        <v>0</v>
      </c>
      <c r="V78" s="320">
        <f t="shared" si="69"/>
        <v>0</v>
      </c>
      <c r="W78" s="320">
        <f t="shared" si="70"/>
        <v>0</v>
      </c>
      <c r="X78" s="319">
        <f t="shared" si="71"/>
        <v>557885.19680000003</v>
      </c>
      <c r="Y78" s="320">
        <f t="shared" si="71"/>
        <v>669462.23615999997</v>
      </c>
      <c r="Z78" s="233"/>
    </row>
    <row r="79" spans="1:92" ht="24.75" customHeight="1" x14ac:dyDescent="0.25">
      <c r="A79" s="172">
        <f t="shared" si="72"/>
        <v>45</v>
      </c>
      <c r="B79" s="363" t="s">
        <v>165</v>
      </c>
      <c r="C79" s="172" t="s">
        <v>17</v>
      </c>
      <c r="D79" s="173">
        <v>663.81</v>
      </c>
      <c r="E79" s="179">
        <v>335</v>
      </c>
      <c r="F79" s="179">
        <f t="shared" si="61"/>
        <v>222376.35</v>
      </c>
      <c r="G79" s="179">
        <f t="shared" si="62"/>
        <v>266851.62</v>
      </c>
      <c r="H79" s="180"/>
      <c r="I79" s="179"/>
      <c r="J79" s="179"/>
      <c r="K79" s="174">
        <f t="shared" si="63"/>
        <v>222376.35</v>
      </c>
      <c r="L79" s="179">
        <f t="shared" si="63"/>
        <v>266851.62</v>
      </c>
      <c r="Q79" s="319">
        <f t="shared" si="64"/>
        <v>663.81</v>
      </c>
      <c r="R79" s="320">
        <f t="shared" si="65"/>
        <v>335</v>
      </c>
      <c r="S79" s="320">
        <f t="shared" si="66"/>
        <v>222376.34999999998</v>
      </c>
      <c r="T79" s="320">
        <f t="shared" si="67"/>
        <v>266851.61999999994</v>
      </c>
      <c r="U79" s="320">
        <f t="shared" si="68"/>
        <v>0</v>
      </c>
      <c r="V79" s="320">
        <f t="shared" si="69"/>
        <v>0</v>
      </c>
      <c r="W79" s="320">
        <f t="shared" si="70"/>
        <v>0</v>
      </c>
      <c r="X79" s="319">
        <f t="shared" si="71"/>
        <v>222376.34999999998</v>
      </c>
      <c r="Y79" s="320">
        <f t="shared" si="71"/>
        <v>266851.61999999994</v>
      </c>
      <c r="Z79" s="233"/>
    </row>
    <row r="80" spans="1:92" ht="24.75" customHeight="1" x14ac:dyDescent="0.25">
      <c r="A80" s="88"/>
      <c r="B80" s="347" t="s">
        <v>583</v>
      </c>
      <c r="C80" s="341"/>
      <c r="D80" s="348"/>
      <c r="E80" s="18"/>
      <c r="F80" s="126"/>
      <c r="G80" s="126"/>
      <c r="H80" s="461"/>
      <c r="I80" s="91"/>
      <c r="J80" s="91"/>
      <c r="K80" s="18"/>
      <c r="L80" s="91"/>
      <c r="Q80" s="319">
        <f t="shared" si="64"/>
        <v>0</v>
      </c>
      <c r="R80" s="320">
        <f t="shared" si="65"/>
        <v>0</v>
      </c>
      <c r="S80" s="320">
        <f t="shared" si="66"/>
        <v>0</v>
      </c>
      <c r="T80" s="320">
        <f t="shared" si="67"/>
        <v>0</v>
      </c>
      <c r="U80" s="320">
        <f t="shared" si="68"/>
        <v>0</v>
      </c>
      <c r="V80" s="320">
        <f t="shared" si="69"/>
        <v>0</v>
      </c>
      <c r="W80" s="320">
        <f t="shared" si="70"/>
        <v>0</v>
      </c>
      <c r="X80" s="319">
        <f t="shared" si="71"/>
        <v>0</v>
      </c>
      <c r="Y80" s="320">
        <f t="shared" si="71"/>
        <v>0</v>
      </c>
      <c r="Z80" s="233"/>
    </row>
    <row r="81" spans="1:26" ht="24.75" customHeight="1" x14ac:dyDescent="0.25">
      <c r="A81" s="172">
        <f>A79+1</f>
        <v>46</v>
      </c>
      <c r="B81" s="171" t="s">
        <v>582</v>
      </c>
      <c r="C81" s="172" t="s">
        <v>13</v>
      </c>
      <c r="D81" s="173">
        <v>84.4</v>
      </c>
      <c r="E81" s="174">
        <v>4380.38</v>
      </c>
      <c r="F81" s="179">
        <f t="shared" ref="F81:F82" si="73">ROUND(E81*D81,2)</f>
        <v>369704.07</v>
      </c>
      <c r="G81" s="179">
        <f t="shared" ref="G81:G82" si="74">ROUND(F81*1.2,2)</f>
        <v>443644.88</v>
      </c>
      <c r="H81" s="179"/>
      <c r="I81" s="179"/>
      <c r="J81" s="179"/>
      <c r="K81" s="174">
        <f t="shared" ref="K81:L82" si="75">F81+I81</f>
        <v>369704.07</v>
      </c>
      <c r="L81" s="179">
        <f t="shared" si="75"/>
        <v>443644.88</v>
      </c>
      <c r="Q81" s="319">
        <f t="shared" si="64"/>
        <v>84.4</v>
      </c>
      <c r="R81" s="320">
        <f t="shared" si="65"/>
        <v>4380.38</v>
      </c>
      <c r="S81" s="320">
        <f t="shared" si="66"/>
        <v>369704.07200000004</v>
      </c>
      <c r="T81" s="320">
        <f t="shared" si="67"/>
        <v>443644.88640000002</v>
      </c>
      <c r="U81" s="320">
        <f t="shared" si="68"/>
        <v>0</v>
      </c>
      <c r="V81" s="320">
        <f t="shared" si="69"/>
        <v>0</v>
      </c>
      <c r="W81" s="320">
        <f t="shared" si="70"/>
        <v>0</v>
      </c>
      <c r="X81" s="319">
        <f t="shared" si="71"/>
        <v>369704.07200000004</v>
      </c>
      <c r="Y81" s="320">
        <f t="shared" si="71"/>
        <v>443644.88640000002</v>
      </c>
      <c r="Z81" s="233"/>
    </row>
    <row r="82" spans="1:26" ht="24.75" customHeight="1" x14ac:dyDescent="0.25">
      <c r="A82" s="172">
        <f>A81+1</f>
        <v>47</v>
      </c>
      <c r="B82" s="363" t="s">
        <v>165</v>
      </c>
      <c r="C82" s="172" t="s">
        <v>17</v>
      </c>
      <c r="D82" s="173">
        <v>211</v>
      </c>
      <c r="E82" s="179">
        <v>335</v>
      </c>
      <c r="F82" s="179">
        <f t="shared" si="73"/>
        <v>70685</v>
      </c>
      <c r="G82" s="179">
        <f t="shared" si="74"/>
        <v>84822</v>
      </c>
      <c r="H82" s="180"/>
      <c r="I82" s="179"/>
      <c r="J82" s="179"/>
      <c r="K82" s="174">
        <f t="shared" si="75"/>
        <v>70685</v>
      </c>
      <c r="L82" s="179">
        <f t="shared" si="75"/>
        <v>84822</v>
      </c>
      <c r="Q82" s="319">
        <f t="shared" si="64"/>
        <v>211</v>
      </c>
      <c r="R82" s="320">
        <f t="shared" si="65"/>
        <v>335</v>
      </c>
      <c r="S82" s="320">
        <f t="shared" si="66"/>
        <v>70685</v>
      </c>
      <c r="T82" s="320">
        <f t="shared" si="67"/>
        <v>84822</v>
      </c>
      <c r="U82" s="320">
        <f t="shared" si="68"/>
        <v>0</v>
      </c>
      <c r="V82" s="320">
        <f t="shared" si="69"/>
        <v>0</v>
      </c>
      <c r="W82" s="320">
        <f t="shared" si="70"/>
        <v>0</v>
      </c>
      <c r="X82" s="319">
        <f t="shared" si="71"/>
        <v>70685</v>
      </c>
      <c r="Y82" s="320">
        <f t="shared" si="71"/>
        <v>84822</v>
      </c>
      <c r="Z82" s="233"/>
    </row>
    <row r="83" spans="1:26" ht="24.75" customHeight="1" x14ac:dyDescent="0.25">
      <c r="A83" s="88"/>
      <c r="B83" s="347" t="s">
        <v>584</v>
      </c>
      <c r="C83" s="341"/>
      <c r="D83" s="348"/>
      <c r="E83" s="18"/>
      <c r="F83" s="126"/>
      <c r="G83" s="126"/>
      <c r="H83" s="461"/>
      <c r="I83" s="91"/>
      <c r="J83" s="91"/>
      <c r="K83" s="18"/>
      <c r="L83" s="91"/>
      <c r="Q83" s="319">
        <f t="shared" si="64"/>
        <v>0</v>
      </c>
      <c r="R83" s="320">
        <f t="shared" si="65"/>
        <v>0</v>
      </c>
      <c r="S83" s="320">
        <f t="shared" si="66"/>
        <v>0</v>
      </c>
      <c r="T83" s="320">
        <f t="shared" si="67"/>
        <v>0</v>
      </c>
      <c r="U83" s="320">
        <f t="shared" si="68"/>
        <v>0</v>
      </c>
      <c r="V83" s="320">
        <f t="shared" si="69"/>
        <v>0</v>
      </c>
      <c r="W83" s="320">
        <f t="shared" si="70"/>
        <v>0</v>
      </c>
      <c r="X83" s="319">
        <f t="shared" si="71"/>
        <v>0</v>
      </c>
      <c r="Y83" s="320">
        <f t="shared" si="71"/>
        <v>0</v>
      </c>
      <c r="Z83" s="233"/>
    </row>
    <row r="84" spans="1:26" ht="24.75" customHeight="1" x14ac:dyDescent="0.25">
      <c r="A84" s="172">
        <f>A82+1</f>
        <v>48</v>
      </c>
      <c r="B84" s="171" t="s">
        <v>585</v>
      </c>
      <c r="C84" s="172" t="s">
        <v>13</v>
      </c>
      <c r="D84" s="173">
        <v>43.2</v>
      </c>
      <c r="E84" s="174">
        <v>4380.38</v>
      </c>
      <c r="F84" s="179">
        <f t="shared" ref="F84:F88" si="76">ROUND(E84*D84,2)</f>
        <v>189232.42</v>
      </c>
      <c r="G84" s="179">
        <f t="shared" ref="G84:G88" si="77">ROUND(F84*1.2,2)</f>
        <v>227078.9</v>
      </c>
      <c r="H84" s="179"/>
      <c r="I84" s="179"/>
      <c r="J84" s="179"/>
      <c r="K84" s="174">
        <f t="shared" ref="K84:L88" si="78">F84+I84</f>
        <v>189232.42</v>
      </c>
      <c r="L84" s="179">
        <f t="shared" si="78"/>
        <v>227078.9</v>
      </c>
      <c r="Q84" s="319">
        <f t="shared" si="64"/>
        <v>43.2</v>
      </c>
      <c r="R84" s="320">
        <f t="shared" si="65"/>
        <v>4380.38</v>
      </c>
      <c r="S84" s="320">
        <f t="shared" si="66"/>
        <v>189232.41600000003</v>
      </c>
      <c r="T84" s="320">
        <f t="shared" si="67"/>
        <v>227078.89920000001</v>
      </c>
      <c r="U84" s="320">
        <f t="shared" si="68"/>
        <v>0</v>
      </c>
      <c r="V84" s="320">
        <f t="shared" si="69"/>
        <v>0</v>
      </c>
      <c r="W84" s="320">
        <f t="shared" si="70"/>
        <v>0</v>
      </c>
      <c r="X84" s="319">
        <f t="shared" si="71"/>
        <v>189232.41600000003</v>
      </c>
      <c r="Y84" s="320">
        <f t="shared" si="71"/>
        <v>227078.89920000001</v>
      </c>
      <c r="Z84" s="233"/>
    </row>
    <row r="85" spans="1:26" ht="24.75" customHeight="1" x14ac:dyDescent="0.25">
      <c r="A85" s="172">
        <f>A84+1</f>
        <v>49</v>
      </c>
      <c r="B85" s="171" t="s">
        <v>580</v>
      </c>
      <c r="C85" s="172" t="s">
        <v>13</v>
      </c>
      <c r="D85" s="349">
        <v>6.04</v>
      </c>
      <c r="E85" s="174">
        <v>4804.26</v>
      </c>
      <c r="F85" s="179">
        <f t="shared" si="76"/>
        <v>29017.73</v>
      </c>
      <c r="G85" s="179">
        <f t="shared" si="77"/>
        <v>34821.279999999999</v>
      </c>
      <c r="H85" s="180"/>
      <c r="I85" s="179"/>
      <c r="J85" s="179"/>
      <c r="K85" s="174">
        <f t="shared" si="78"/>
        <v>29017.73</v>
      </c>
      <c r="L85" s="179">
        <f t="shared" si="78"/>
        <v>34821.279999999999</v>
      </c>
      <c r="Q85" s="319">
        <f t="shared" si="64"/>
        <v>6.04</v>
      </c>
      <c r="R85" s="320">
        <f t="shared" si="65"/>
        <v>4804.26</v>
      </c>
      <c r="S85" s="320">
        <f t="shared" si="66"/>
        <v>29017.7304</v>
      </c>
      <c r="T85" s="320">
        <f t="shared" si="67"/>
        <v>34821.27648</v>
      </c>
      <c r="U85" s="320">
        <f t="shared" si="68"/>
        <v>0</v>
      </c>
      <c r="V85" s="320">
        <f t="shared" si="69"/>
        <v>0</v>
      </c>
      <c r="W85" s="320">
        <f t="shared" si="70"/>
        <v>0</v>
      </c>
      <c r="X85" s="319">
        <f t="shared" si="71"/>
        <v>29017.7304</v>
      </c>
      <c r="Y85" s="320">
        <f t="shared" si="71"/>
        <v>34821.27648</v>
      </c>
      <c r="Z85" s="233"/>
    </row>
    <row r="86" spans="1:26" ht="24.75" customHeight="1" x14ac:dyDescent="0.25">
      <c r="A86" s="172">
        <f t="shared" ref="A86:A88" si="79">A85+1</f>
        <v>50</v>
      </c>
      <c r="B86" s="171" t="s">
        <v>586</v>
      </c>
      <c r="C86" s="172" t="s">
        <v>13</v>
      </c>
      <c r="D86" s="173">
        <v>25.67</v>
      </c>
      <c r="E86" s="174">
        <v>4380.38</v>
      </c>
      <c r="F86" s="179">
        <f t="shared" si="76"/>
        <v>112444.35</v>
      </c>
      <c r="G86" s="179">
        <f t="shared" si="77"/>
        <v>134933.22</v>
      </c>
      <c r="H86" s="179"/>
      <c r="I86" s="179"/>
      <c r="J86" s="179"/>
      <c r="K86" s="174">
        <f t="shared" si="78"/>
        <v>112444.35</v>
      </c>
      <c r="L86" s="179">
        <f t="shared" si="78"/>
        <v>134933.22</v>
      </c>
      <c r="Q86" s="319">
        <f t="shared" si="64"/>
        <v>25.67</v>
      </c>
      <c r="R86" s="320">
        <f t="shared" si="65"/>
        <v>4380.38</v>
      </c>
      <c r="S86" s="320">
        <f t="shared" si="66"/>
        <v>112444.35460000001</v>
      </c>
      <c r="T86" s="320">
        <f t="shared" si="67"/>
        <v>134933.22552000001</v>
      </c>
      <c r="U86" s="320">
        <f t="shared" si="68"/>
        <v>0</v>
      </c>
      <c r="V86" s="320">
        <f t="shared" si="69"/>
        <v>0</v>
      </c>
      <c r="W86" s="320">
        <f t="shared" si="70"/>
        <v>0</v>
      </c>
      <c r="X86" s="319">
        <f t="shared" si="71"/>
        <v>112444.35460000001</v>
      </c>
      <c r="Y86" s="320">
        <f t="shared" si="71"/>
        <v>134933.22552000001</v>
      </c>
      <c r="Z86" s="233"/>
    </row>
    <row r="87" spans="1:26" ht="24.75" customHeight="1" x14ac:dyDescent="0.25">
      <c r="A87" s="172">
        <f t="shared" si="79"/>
        <v>51</v>
      </c>
      <c r="B87" s="171" t="s">
        <v>587</v>
      </c>
      <c r="C87" s="172" t="s">
        <v>13</v>
      </c>
      <c r="D87" s="173">
        <v>15.1</v>
      </c>
      <c r="E87" s="174">
        <v>4380.38</v>
      </c>
      <c r="F87" s="179">
        <f t="shared" si="76"/>
        <v>66143.740000000005</v>
      </c>
      <c r="G87" s="179">
        <f t="shared" si="77"/>
        <v>79372.490000000005</v>
      </c>
      <c r="H87" s="179"/>
      <c r="I87" s="179"/>
      <c r="J87" s="179"/>
      <c r="K87" s="174">
        <f t="shared" si="78"/>
        <v>66143.740000000005</v>
      </c>
      <c r="L87" s="179">
        <f t="shared" si="78"/>
        <v>79372.490000000005</v>
      </c>
      <c r="Q87" s="319">
        <f t="shared" si="64"/>
        <v>15.1</v>
      </c>
      <c r="R87" s="320">
        <f t="shared" si="65"/>
        <v>4380.38</v>
      </c>
      <c r="S87" s="320">
        <f t="shared" si="66"/>
        <v>66143.737999999998</v>
      </c>
      <c r="T87" s="320">
        <f t="shared" si="67"/>
        <v>79372.4856</v>
      </c>
      <c r="U87" s="320">
        <f t="shared" si="68"/>
        <v>0</v>
      </c>
      <c r="V87" s="320">
        <f t="shared" si="69"/>
        <v>0</v>
      </c>
      <c r="W87" s="320">
        <f t="shared" si="70"/>
        <v>0</v>
      </c>
      <c r="X87" s="319">
        <f t="shared" si="71"/>
        <v>66143.737999999998</v>
      </c>
      <c r="Y87" s="320">
        <f t="shared" si="71"/>
        <v>79372.4856</v>
      </c>
      <c r="Z87" s="233"/>
    </row>
    <row r="88" spans="1:26" ht="24.75" customHeight="1" x14ac:dyDescent="0.25">
      <c r="A88" s="172">
        <f t="shared" si="79"/>
        <v>52</v>
      </c>
      <c r="B88" s="363" t="s">
        <v>165</v>
      </c>
      <c r="C88" s="172" t="s">
        <v>17</v>
      </c>
      <c r="D88" s="173">
        <v>212.4</v>
      </c>
      <c r="E88" s="179">
        <v>335</v>
      </c>
      <c r="F88" s="179">
        <f t="shared" si="76"/>
        <v>71154</v>
      </c>
      <c r="G88" s="179">
        <f t="shared" si="77"/>
        <v>85384.8</v>
      </c>
      <c r="H88" s="180"/>
      <c r="I88" s="179"/>
      <c r="J88" s="179"/>
      <c r="K88" s="174">
        <f t="shared" si="78"/>
        <v>71154</v>
      </c>
      <c r="L88" s="179">
        <f t="shared" si="78"/>
        <v>85384.8</v>
      </c>
      <c r="Q88" s="319">
        <f t="shared" si="64"/>
        <v>212.4</v>
      </c>
      <c r="R88" s="320">
        <f t="shared" si="65"/>
        <v>335</v>
      </c>
      <c r="S88" s="320">
        <f t="shared" si="66"/>
        <v>71154</v>
      </c>
      <c r="T88" s="320">
        <f t="shared" si="67"/>
        <v>85384.8</v>
      </c>
      <c r="U88" s="320">
        <f t="shared" si="68"/>
        <v>0</v>
      </c>
      <c r="V88" s="320">
        <f t="shared" si="69"/>
        <v>0</v>
      </c>
      <c r="W88" s="320">
        <f t="shared" si="70"/>
        <v>0</v>
      </c>
      <c r="X88" s="319">
        <f t="shared" si="71"/>
        <v>71154</v>
      </c>
      <c r="Y88" s="320">
        <f t="shared" si="71"/>
        <v>85384.8</v>
      </c>
      <c r="Z88" s="233"/>
    </row>
    <row r="89" spans="1:26" ht="24.75" customHeight="1" x14ac:dyDescent="0.25">
      <c r="A89" s="88"/>
      <c r="B89" s="347" t="s">
        <v>588</v>
      </c>
      <c r="C89" s="121"/>
      <c r="D89" s="109"/>
      <c r="E89" s="15"/>
      <c r="F89" s="126"/>
      <c r="G89" s="126"/>
      <c r="H89" s="91"/>
      <c r="I89" s="91"/>
      <c r="J89" s="91"/>
      <c r="K89" s="18"/>
      <c r="L89" s="91"/>
      <c r="Q89" s="319">
        <f t="shared" si="64"/>
        <v>0</v>
      </c>
      <c r="R89" s="320">
        <f t="shared" si="65"/>
        <v>0</v>
      </c>
      <c r="S89" s="320">
        <f t="shared" si="66"/>
        <v>0</v>
      </c>
      <c r="T89" s="320">
        <f t="shared" si="67"/>
        <v>0</v>
      </c>
      <c r="U89" s="320">
        <f t="shared" si="68"/>
        <v>0</v>
      </c>
      <c r="V89" s="320">
        <f t="shared" si="69"/>
        <v>0</v>
      </c>
      <c r="W89" s="320">
        <f t="shared" si="70"/>
        <v>0</v>
      </c>
      <c r="X89" s="319">
        <f t="shared" si="71"/>
        <v>0</v>
      </c>
      <c r="Y89" s="320">
        <f t="shared" si="71"/>
        <v>0</v>
      </c>
      <c r="Z89" s="233"/>
    </row>
    <row r="90" spans="1:26" ht="24.75" customHeight="1" x14ac:dyDescent="0.25">
      <c r="A90" s="88"/>
      <c r="B90" s="347" t="s">
        <v>59</v>
      </c>
      <c r="C90" s="121"/>
      <c r="D90" s="109"/>
      <c r="E90" s="15"/>
      <c r="F90" s="126"/>
      <c r="G90" s="126"/>
      <c r="H90" s="91"/>
      <c r="I90" s="91"/>
      <c r="J90" s="91"/>
      <c r="K90" s="18"/>
      <c r="L90" s="91"/>
      <c r="Q90" s="319">
        <f t="shared" si="64"/>
        <v>0</v>
      </c>
      <c r="R90" s="320">
        <f t="shared" si="65"/>
        <v>0</v>
      </c>
      <c r="S90" s="320">
        <f t="shared" si="66"/>
        <v>0</v>
      </c>
      <c r="T90" s="320">
        <f t="shared" si="67"/>
        <v>0</v>
      </c>
      <c r="U90" s="320">
        <f t="shared" si="68"/>
        <v>0</v>
      </c>
      <c r="V90" s="320">
        <f t="shared" si="69"/>
        <v>0</v>
      </c>
      <c r="W90" s="320">
        <f t="shared" si="70"/>
        <v>0</v>
      </c>
      <c r="X90" s="319">
        <f t="shared" si="71"/>
        <v>0</v>
      </c>
      <c r="Y90" s="320">
        <f t="shared" si="71"/>
        <v>0</v>
      </c>
      <c r="Z90" s="233"/>
    </row>
    <row r="91" spans="1:26" ht="24" customHeight="1" x14ac:dyDescent="0.25">
      <c r="A91" s="183">
        <f>A88+1</f>
        <v>53</v>
      </c>
      <c r="B91" s="178" t="s">
        <v>159</v>
      </c>
      <c r="C91" s="183" t="s">
        <v>13</v>
      </c>
      <c r="D91" s="184">
        <v>157</v>
      </c>
      <c r="E91" s="176">
        <v>308.75</v>
      </c>
      <c r="F91" s="182">
        <f t="shared" ref="F91:F95" si="80">ROUND(E91*D91,2)</f>
        <v>48473.75</v>
      </c>
      <c r="G91" s="182">
        <f t="shared" ref="G91:G97" si="81">ROUND(F91*1.2,2)</f>
        <v>58168.5</v>
      </c>
      <c r="H91" s="462"/>
      <c r="I91" s="182"/>
      <c r="J91" s="182"/>
      <c r="K91" s="176">
        <f t="shared" ref="K91:L97" si="82">F91+I91</f>
        <v>48473.75</v>
      </c>
      <c r="L91" s="182">
        <f t="shared" si="82"/>
        <v>58168.5</v>
      </c>
      <c r="Q91" s="319">
        <f t="shared" si="64"/>
        <v>157</v>
      </c>
      <c r="R91" s="320">
        <f t="shared" si="65"/>
        <v>308.75</v>
      </c>
      <c r="S91" s="320">
        <f t="shared" si="66"/>
        <v>48473.75</v>
      </c>
      <c r="T91" s="320">
        <f t="shared" si="67"/>
        <v>58168.5</v>
      </c>
      <c r="U91" s="320">
        <f t="shared" si="68"/>
        <v>0</v>
      </c>
      <c r="V91" s="320">
        <f t="shared" si="69"/>
        <v>0</v>
      </c>
      <c r="W91" s="320">
        <f t="shared" si="70"/>
        <v>0</v>
      </c>
      <c r="X91" s="319">
        <f t="shared" si="71"/>
        <v>48473.75</v>
      </c>
      <c r="Y91" s="320">
        <f t="shared" si="71"/>
        <v>58168.5</v>
      </c>
      <c r="Z91" s="233"/>
    </row>
    <row r="92" spans="1:26" ht="24" customHeight="1" x14ac:dyDescent="0.25">
      <c r="A92" s="183">
        <f>A91+1</f>
        <v>54</v>
      </c>
      <c r="B92" s="178" t="s">
        <v>518</v>
      </c>
      <c r="C92" s="183" t="s">
        <v>13</v>
      </c>
      <c r="D92" s="308">
        <v>3</v>
      </c>
      <c r="E92" s="176">
        <v>1688.15</v>
      </c>
      <c r="F92" s="182">
        <f t="shared" si="80"/>
        <v>5064.45</v>
      </c>
      <c r="G92" s="182">
        <f t="shared" si="81"/>
        <v>6077.34</v>
      </c>
      <c r="H92" s="462"/>
      <c r="I92" s="182"/>
      <c r="J92" s="182"/>
      <c r="K92" s="176">
        <f t="shared" si="82"/>
        <v>5064.45</v>
      </c>
      <c r="L92" s="182">
        <f t="shared" si="82"/>
        <v>6077.34</v>
      </c>
      <c r="Q92" s="319">
        <f t="shared" si="64"/>
        <v>3</v>
      </c>
      <c r="R92" s="320">
        <f t="shared" si="65"/>
        <v>1688.15</v>
      </c>
      <c r="S92" s="320">
        <f t="shared" si="66"/>
        <v>5064.4500000000007</v>
      </c>
      <c r="T92" s="320">
        <f t="shared" si="67"/>
        <v>6077.3400000000011</v>
      </c>
      <c r="U92" s="320">
        <f t="shared" si="68"/>
        <v>0</v>
      </c>
      <c r="V92" s="320">
        <f t="shared" si="69"/>
        <v>0</v>
      </c>
      <c r="W92" s="320">
        <f t="shared" si="70"/>
        <v>0</v>
      </c>
      <c r="X92" s="319">
        <f t="shared" si="71"/>
        <v>5064.4500000000007</v>
      </c>
      <c r="Y92" s="320">
        <f t="shared" si="71"/>
        <v>6077.3400000000011</v>
      </c>
      <c r="Z92" s="233"/>
    </row>
    <row r="93" spans="1:26" ht="24.75" customHeight="1" x14ac:dyDescent="0.25">
      <c r="A93" s="183">
        <f t="shared" ref="A93:A97" si="83">A92+1</f>
        <v>55</v>
      </c>
      <c r="B93" s="178" t="s">
        <v>332</v>
      </c>
      <c r="C93" s="183" t="s">
        <v>13</v>
      </c>
      <c r="D93" s="308">
        <v>3</v>
      </c>
      <c r="E93" s="176">
        <v>854.05</v>
      </c>
      <c r="F93" s="182">
        <f t="shared" si="80"/>
        <v>2562.15</v>
      </c>
      <c r="G93" s="182">
        <f t="shared" si="81"/>
        <v>3074.58</v>
      </c>
      <c r="H93" s="182"/>
      <c r="I93" s="182"/>
      <c r="J93" s="182"/>
      <c r="K93" s="176">
        <f t="shared" si="82"/>
        <v>2562.15</v>
      </c>
      <c r="L93" s="182">
        <f t="shared" si="82"/>
        <v>3074.58</v>
      </c>
      <c r="Q93" s="319">
        <f t="shared" si="64"/>
        <v>3</v>
      </c>
      <c r="R93" s="320">
        <f t="shared" si="65"/>
        <v>854.05</v>
      </c>
      <c r="S93" s="320">
        <f t="shared" si="66"/>
        <v>2562.1499999999996</v>
      </c>
      <c r="T93" s="320">
        <f t="shared" si="67"/>
        <v>3074.5799999999995</v>
      </c>
      <c r="U93" s="320">
        <f t="shared" si="68"/>
        <v>0</v>
      </c>
      <c r="V93" s="320">
        <f t="shared" si="69"/>
        <v>0</v>
      </c>
      <c r="W93" s="320">
        <f t="shared" si="70"/>
        <v>0</v>
      </c>
      <c r="X93" s="319">
        <f t="shared" si="71"/>
        <v>2562.1499999999996</v>
      </c>
      <c r="Y93" s="320">
        <f t="shared" si="71"/>
        <v>3074.5799999999995</v>
      </c>
      <c r="Z93" s="233"/>
    </row>
    <row r="94" spans="1:26" ht="24.75" customHeight="1" x14ac:dyDescent="0.25">
      <c r="A94" s="183">
        <f t="shared" si="83"/>
        <v>56</v>
      </c>
      <c r="B94" s="178" t="s">
        <v>589</v>
      </c>
      <c r="C94" s="183" t="s">
        <v>13</v>
      </c>
      <c r="D94" s="184">
        <v>187</v>
      </c>
      <c r="E94" s="176">
        <v>118.75</v>
      </c>
      <c r="F94" s="182">
        <f t="shared" si="80"/>
        <v>22206.25</v>
      </c>
      <c r="G94" s="182">
        <f t="shared" si="81"/>
        <v>26647.5</v>
      </c>
      <c r="H94" s="462"/>
      <c r="I94" s="182"/>
      <c r="J94" s="182"/>
      <c r="K94" s="176">
        <f t="shared" si="82"/>
        <v>22206.25</v>
      </c>
      <c r="L94" s="182">
        <f t="shared" si="82"/>
        <v>26647.5</v>
      </c>
      <c r="Q94" s="319">
        <f t="shared" si="64"/>
        <v>187</v>
      </c>
      <c r="R94" s="320">
        <f t="shared" si="65"/>
        <v>118.75</v>
      </c>
      <c r="S94" s="320">
        <f t="shared" si="66"/>
        <v>22206.25</v>
      </c>
      <c r="T94" s="320">
        <f t="shared" si="67"/>
        <v>26647.5</v>
      </c>
      <c r="U94" s="320">
        <f t="shared" si="68"/>
        <v>0</v>
      </c>
      <c r="V94" s="320">
        <f t="shared" si="69"/>
        <v>0</v>
      </c>
      <c r="W94" s="320">
        <f t="shared" si="70"/>
        <v>0</v>
      </c>
      <c r="X94" s="319">
        <f t="shared" si="71"/>
        <v>22206.25</v>
      </c>
      <c r="Y94" s="320">
        <f t="shared" si="71"/>
        <v>26647.5</v>
      </c>
      <c r="Z94" s="233"/>
    </row>
    <row r="95" spans="1:26" ht="24.75" customHeight="1" x14ac:dyDescent="0.25">
      <c r="A95" s="183">
        <f t="shared" si="83"/>
        <v>57</v>
      </c>
      <c r="B95" s="178" t="s">
        <v>590</v>
      </c>
      <c r="C95" s="183" t="s">
        <v>13</v>
      </c>
      <c r="D95" s="184">
        <v>187</v>
      </c>
      <c r="E95" s="176">
        <v>188.1</v>
      </c>
      <c r="F95" s="182">
        <f t="shared" si="80"/>
        <v>35174.699999999997</v>
      </c>
      <c r="G95" s="182">
        <f t="shared" si="81"/>
        <v>42209.64</v>
      </c>
      <c r="H95" s="176"/>
      <c r="I95" s="182"/>
      <c r="J95" s="182"/>
      <c r="K95" s="176">
        <f t="shared" si="82"/>
        <v>35174.699999999997</v>
      </c>
      <c r="L95" s="182">
        <f t="shared" si="82"/>
        <v>42209.64</v>
      </c>
      <c r="Q95" s="319">
        <f t="shared" si="64"/>
        <v>187</v>
      </c>
      <c r="R95" s="320">
        <f t="shared" si="65"/>
        <v>188.1</v>
      </c>
      <c r="S95" s="320">
        <f t="shared" si="66"/>
        <v>35174.699999999997</v>
      </c>
      <c r="T95" s="320">
        <f t="shared" si="67"/>
        <v>42209.639999999992</v>
      </c>
      <c r="U95" s="320">
        <f t="shared" si="68"/>
        <v>0</v>
      </c>
      <c r="V95" s="320">
        <f t="shared" si="69"/>
        <v>0</v>
      </c>
      <c r="W95" s="320">
        <f t="shared" si="70"/>
        <v>0</v>
      </c>
      <c r="X95" s="319">
        <f t="shared" si="71"/>
        <v>35174.699999999997</v>
      </c>
      <c r="Y95" s="320">
        <f t="shared" si="71"/>
        <v>42209.639999999992</v>
      </c>
      <c r="Z95" s="233"/>
    </row>
    <row r="96" spans="1:26" ht="18.75" customHeight="1" x14ac:dyDescent="0.25">
      <c r="A96" s="183">
        <f t="shared" si="83"/>
        <v>58</v>
      </c>
      <c r="B96" s="178" t="s">
        <v>16</v>
      </c>
      <c r="C96" s="183" t="s">
        <v>17</v>
      </c>
      <c r="D96" s="184">
        <f>299.4+252</f>
        <v>551.4</v>
      </c>
      <c r="E96" s="176">
        <v>335</v>
      </c>
      <c r="F96" s="182">
        <f>ROUND(E96*D96,2)</f>
        <v>184719</v>
      </c>
      <c r="G96" s="182">
        <f t="shared" si="81"/>
        <v>221662.8</v>
      </c>
      <c r="H96" s="176"/>
      <c r="I96" s="182"/>
      <c r="J96" s="182"/>
      <c r="K96" s="176">
        <f t="shared" si="82"/>
        <v>184719</v>
      </c>
      <c r="L96" s="182">
        <f t="shared" si="82"/>
        <v>221662.8</v>
      </c>
      <c r="Q96" s="319">
        <f t="shared" si="64"/>
        <v>551.4</v>
      </c>
      <c r="R96" s="320">
        <f t="shared" si="65"/>
        <v>335</v>
      </c>
      <c r="S96" s="320">
        <f t="shared" si="66"/>
        <v>184719</v>
      </c>
      <c r="T96" s="320">
        <f t="shared" si="67"/>
        <v>221662.8</v>
      </c>
      <c r="U96" s="320">
        <f t="shared" si="68"/>
        <v>0</v>
      </c>
      <c r="V96" s="320">
        <f t="shared" si="69"/>
        <v>0</v>
      </c>
      <c r="W96" s="320">
        <f t="shared" si="70"/>
        <v>0</v>
      </c>
      <c r="X96" s="319">
        <f t="shared" si="71"/>
        <v>184719</v>
      </c>
      <c r="Y96" s="320">
        <f t="shared" si="71"/>
        <v>221662.8</v>
      </c>
      <c r="Z96" s="233"/>
    </row>
    <row r="97" spans="1:26" ht="24" customHeight="1" x14ac:dyDescent="0.25">
      <c r="A97" s="183">
        <f t="shared" si="83"/>
        <v>59</v>
      </c>
      <c r="B97" s="178" t="s">
        <v>519</v>
      </c>
      <c r="C97" s="183" t="s">
        <v>13</v>
      </c>
      <c r="D97" s="187">
        <f>(252+299.4)/1.9</f>
        <v>290.21052631578948</v>
      </c>
      <c r="E97" s="176">
        <v>237.5</v>
      </c>
      <c r="F97" s="182">
        <f t="shared" ref="F97" si="84">ROUND(E97*D97,2)</f>
        <v>68925</v>
      </c>
      <c r="G97" s="182">
        <f t="shared" si="81"/>
        <v>82710</v>
      </c>
      <c r="H97" s="462"/>
      <c r="I97" s="182"/>
      <c r="J97" s="182"/>
      <c r="K97" s="176">
        <f t="shared" si="82"/>
        <v>68925</v>
      </c>
      <c r="L97" s="182">
        <f t="shared" si="82"/>
        <v>82710</v>
      </c>
      <c r="Q97" s="319">
        <f t="shared" si="64"/>
        <v>290.21052631578948</v>
      </c>
      <c r="R97" s="320">
        <f t="shared" si="65"/>
        <v>237.5</v>
      </c>
      <c r="S97" s="320">
        <f t="shared" si="66"/>
        <v>68925</v>
      </c>
      <c r="T97" s="320">
        <f t="shared" si="67"/>
        <v>82710</v>
      </c>
      <c r="U97" s="320">
        <f t="shared" si="68"/>
        <v>0</v>
      </c>
      <c r="V97" s="320">
        <f t="shared" si="69"/>
        <v>0</v>
      </c>
      <c r="W97" s="320">
        <f t="shared" si="70"/>
        <v>0</v>
      </c>
      <c r="X97" s="319">
        <f t="shared" si="71"/>
        <v>68925</v>
      </c>
      <c r="Y97" s="320">
        <f t="shared" si="71"/>
        <v>82710</v>
      </c>
      <c r="Z97" s="233"/>
    </row>
    <row r="98" spans="1:26" ht="24.75" customHeight="1" x14ac:dyDescent="0.25">
      <c r="A98" s="88"/>
      <c r="B98" s="347" t="s">
        <v>591</v>
      </c>
      <c r="C98" s="121"/>
      <c r="D98" s="109"/>
      <c r="E98" s="15"/>
      <c r="F98" s="126"/>
      <c r="G98" s="126"/>
      <c r="H98" s="91"/>
      <c r="I98" s="91"/>
      <c r="J98" s="91"/>
      <c r="K98" s="18"/>
      <c r="L98" s="91"/>
      <c r="Q98" s="319">
        <f t="shared" si="64"/>
        <v>0</v>
      </c>
      <c r="R98" s="320">
        <f t="shared" si="65"/>
        <v>0</v>
      </c>
      <c r="S98" s="320">
        <f t="shared" si="66"/>
        <v>0</v>
      </c>
      <c r="T98" s="320">
        <f t="shared" si="67"/>
        <v>0</v>
      </c>
      <c r="U98" s="320">
        <f t="shared" si="68"/>
        <v>0</v>
      </c>
      <c r="V98" s="320">
        <f t="shared" si="69"/>
        <v>0</v>
      </c>
      <c r="W98" s="320">
        <f t="shared" si="70"/>
        <v>0</v>
      </c>
      <c r="X98" s="319">
        <f t="shared" si="71"/>
        <v>0</v>
      </c>
      <c r="Y98" s="320">
        <f t="shared" si="71"/>
        <v>0</v>
      </c>
      <c r="Z98" s="233"/>
    </row>
    <row r="99" spans="1:26" ht="24.75" customHeight="1" x14ac:dyDescent="0.25">
      <c r="A99" s="172">
        <f>A96+1</f>
        <v>59</v>
      </c>
      <c r="B99" s="171" t="s">
        <v>592</v>
      </c>
      <c r="C99" s="172" t="s">
        <v>13</v>
      </c>
      <c r="D99" s="190">
        <v>30</v>
      </c>
      <c r="E99" s="174">
        <v>4380.38</v>
      </c>
      <c r="F99" s="179">
        <f t="shared" ref="F99" si="85">ROUND(E99*D99,2)</f>
        <v>131411.4</v>
      </c>
      <c r="G99" s="179">
        <f t="shared" ref="G99:G101" si="86">ROUND(F99*1.2,2)</f>
        <v>157693.68</v>
      </c>
      <c r="H99" s="179"/>
      <c r="I99" s="179"/>
      <c r="J99" s="179"/>
      <c r="K99" s="174">
        <f t="shared" ref="K99:L101" si="87">F99+I99</f>
        <v>131411.4</v>
      </c>
      <c r="L99" s="179">
        <f t="shared" si="87"/>
        <v>157693.68</v>
      </c>
      <c r="Q99" s="319">
        <f t="shared" si="64"/>
        <v>30</v>
      </c>
      <c r="R99" s="320">
        <f t="shared" si="65"/>
        <v>4380.38</v>
      </c>
      <c r="S99" s="320">
        <f t="shared" si="66"/>
        <v>131411.4</v>
      </c>
      <c r="T99" s="320">
        <f t="shared" si="67"/>
        <v>157693.68</v>
      </c>
      <c r="U99" s="320">
        <f t="shared" si="68"/>
        <v>0</v>
      </c>
      <c r="V99" s="320">
        <f t="shared" si="69"/>
        <v>0</v>
      </c>
      <c r="W99" s="320">
        <f t="shared" si="70"/>
        <v>0</v>
      </c>
      <c r="X99" s="319">
        <f t="shared" si="71"/>
        <v>131411.4</v>
      </c>
      <c r="Y99" s="320">
        <f t="shared" si="71"/>
        <v>157693.68</v>
      </c>
      <c r="Z99" s="233"/>
    </row>
    <row r="100" spans="1:26" ht="24.75" customHeight="1" x14ac:dyDescent="0.25">
      <c r="A100" s="183">
        <f>A99+1</f>
        <v>60</v>
      </c>
      <c r="B100" s="178" t="s">
        <v>593</v>
      </c>
      <c r="C100" s="183" t="s">
        <v>13</v>
      </c>
      <c r="D100" s="308">
        <v>19.2</v>
      </c>
      <c r="E100" s="174">
        <v>4380.38</v>
      </c>
      <c r="F100" s="182">
        <f>ROUND(E100*D100,2)</f>
        <v>84103.3</v>
      </c>
      <c r="G100" s="182">
        <f t="shared" si="86"/>
        <v>100923.96</v>
      </c>
      <c r="H100" s="176"/>
      <c r="I100" s="182"/>
      <c r="J100" s="182"/>
      <c r="K100" s="176">
        <f t="shared" si="87"/>
        <v>84103.3</v>
      </c>
      <c r="L100" s="182">
        <f t="shared" si="87"/>
        <v>100923.96</v>
      </c>
      <c r="Q100" s="319">
        <f t="shared" si="64"/>
        <v>19.2</v>
      </c>
      <c r="R100" s="320">
        <f t="shared" si="65"/>
        <v>4380.38</v>
      </c>
      <c r="S100" s="320">
        <f t="shared" si="66"/>
        <v>84103.296000000002</v>
      </c>
      <c r="T100" s="320">
        <f t="shared" si="67"/>
        <v>100923.9552</v>
      </c>
      <c r="U100" s="320">
        <f t="shared" si="68"/>
        <v>0</v>
      </c>
      <c r="V100" s="320">
        <f t="shared" si="69"/>
        <v>0</v>
      </c>
      <c r="W100" s="320">
        <f t="shared" si="70"/>
        <v>0</v>
      </c>
      <c r="X100" s="319">
        <f t="shared" si="71"/>
        <v>84103.296000000002</v>
      </c>
      <c r="Y100" s="320">
        <f t="shared" si="71"/>
        <v>100923.9552</v>
      </c>
      <c r="Z100" s="233"/>
    </row>
    <row r="101" spans="1:26" ht="24.75" customHeight="1" x14ac:dyDescent="0.25">
      <c r="A101" s="172">
        <f>A100+1</f>
        <v>61</v>
      </c>
      <c r="B101" s="363" t="s">
        <v>165</v>
      </c>
      <c r="C101" s="172" t="s">
        <v>17</v>
      </c>
      <c r="D101" s="173">
        <v>123</v>
      </c>
      <c r="E101" s="179">
        <v>335</v>
      </c>
      <c r="F101" s="179">
        <f t="shared" ref="F101" si="88">ROUND(E101*D101,2)</f>
        <v>41205</v>
      </c>
      <c r="G101" s="179">
        <f t="shared" si="86"/>
        <v>49446</v>
      </c>
      <c r="H101" s="180"/>
      <c r="I101" s="179"/>
      <c r="J101" s="179"/>
      <c r="K101" s="174">
        <f t="shared" si="87"/>
        <v>41205</v>
      </c>
      <c r="L101" s="179">
        <f t="shared" si="87"/>
        <v>49446</v>
      </c>
      <c r="Q101" s="319">
        <f t="shared" si="64"/>
        <v>123</v>
      </c>
      <c r="R101" s="320">
        <f t="shared" si="65"/>
        <v>335</v>
      </c>
      <c r="S101" s="320">
        <f t="shared" si="66"/>
        <v>41205</v>
      </c>
      <c r="T101" s="320">
        <f t="shared" si="67"/>
        <v>49446</v>
      </c>
      <c r="U101" s="320">
        <f t="shared" si="68"/>
        <v>0</v>
      </c>
      <c r="V101" s="320">
        <f t="shared" si="69"/>
        <v>0</v>
      </c>
      <c r="W101" s="320">
        <f t="shared" si="70"/>
        <v>0</v>
      </c>
      <c r="X101" s="319">
        <f t="shared" si="71"/>
        <v>41205</v>
      </c>
      <c r="Y101" s="320">
        <f t="shared" si="71"/>
        <v>49446</v>
      </c>
      <c r="Z101" s="233"/>
    </row>
    <row r="102" spans="1:26" ht="24.75" customHeight="1" x14ac:dyDescent="0.25">
      <c r="A102" s="88"/>
      <c r="B102" s="347" t="s">
        <v>594</v>
      </c>
      <c r="C102" s="121"/>
      <c r="D102" s="109"/>
      <c r="E102" s="15"/>
      <c r="F102" s="126"/>
      <c r="G102" s="126"/>
      <c r="H102" s="91"/>
      <c r="I102" s="91"/>
      <c r="J102" s="91"/>
      <c r="K102" s="18"/>
      <c r="L102" s="91"/>
      <c r="Q102" s="319">
        <f t="shared" si="64"/>
        <v>0</v>
      </c>
      <c r="R102" s="320">
        <f t="shared" si="65"/>
        <v>0</v>
      </c>
      <c r="S102" s="320">
        <f t="shared" si="66"/>
        <v>0</v>
      </c>
      <c r="T102" s="320">
        <f t="shared" si="67"/>
        <v>0</v>
      </c>
      <c r="U102" s="320">
        <f t="shared" si="68"/>
        <v>0</v>
      </c>
      <c r="V102" s="320">
        <f t="shared" si="69"/>
        <v>0</v>
      </c>
      <c r="W102" s="320">
        <f t="shared" si="70"/>
        <v>0</v>
      </c>
      <c r="X102" s="319">
        <f t="shared" si="71"/>
        <v>0</v>
      </c>
      <c r="Y102" s="320">
        <f t="shared" si="71"/>
        <v>0</v>
      </c>
      <c r="Z102" s="233"/>
    </row>
    <row r="103" spans="1:26" ht="24.75" customHeight="1" x14ac:dyDescent="0.25">
      <c r="A103" s="172">
        <f>A101+1</f>
        <v>62</v>
      </c>
      <c r="B103" s="171" t="s">
        <v>595</v>
      </c>
      <c r="C103" s="172" t="s">
        <v>17</v>
      </c>
      <c r="D103" s="173">
        <v>4.62</v>
      </c>
      <c r="E103" s="174">
        <f>135637.63*0.7</f>
        <v>94946.341</v>
      </c>
      <c r="F103" s="179">
        <f>ROUND(E103*D103,2)</f>
        <v>438652.1</v>
      </c>
      <c r="G103" s="179">
        <f t="shared" ref="G103:G107" si="89">ROUND(F103*1.2,2)</f>
        <v>526382.52</v>
      </c>
      <c r="H103" s="174"/>
      <c r="I103" s="179"/>
      <c r="J103" s="179"/>
      <c r="K103" s="174">
        <f t="shared" ref="K103:L107" si="90">F103+I103</f>
        <v>438652.1</v>
      </c>
      <c r="L103" s="179">
        <f t="shared" si="90"/>
        <v>526382.52</v>
      </c>
      <c r="Q103" s="319">
        <f t="shared" si="64"/>
        <v>4.62</v>
      </c>
      <c r="R103" s="320">
        <f t="shared" si="65"/>
        <v>94946.341</v>
      </c>
      <c r="S103" s="320">
        <f t="shared" si="66"/>
        <v>438652.09542000003</v>
      </c>
      <c r="T103" s="320">
        <f t="shared" si="67"/>
        <v>526382.51450399996</v>
      </c>
      <c r="U103" s="320">
        <f t="shared" si="68"/>
        <v>0</v>
      </c>
      <c r="V103" s="320">
        <f t="shared" si="69"/>
        <v>0</v>
      </c>
      <c r="W103" s="320">
        <f t="shared" si="70"/>
        <v>0</v>
      </c>
      <c r="X103" s="319">
        <f t="shared" si="71"/>
        <v>438652.09542000003</v>
      </c>
      <c r="Y103" s="320">
        <f t="shared" si="71"/>
        <v>526382.51450399996</v>
      </c>
      <c r="Z103" s="233"/>
    </row>
    <row r="104" spans="1:26" ht="24.75" customHeight="1" x14ac:dyDescent="0.25">
      <c r="A104" s="172">
        <f>A103+1</f>
        <v>63</v>
      </c>
      <c r="B104" s="171" t="s">
        <v>596</v>
      </c>
      <c r="C104" s="172" t="s">
        <v>17</v>
      </c>
      <c r="D104" s="173">
        <v>6.82</v>
      </c>
      <c r="E104" s="174">
        <v>18400</v>
      </c>
      <c r="F104" s="179">
        <f>ROUND(E104*D104,2)</f>
        <v>125488</v>
      </c>
      <c r="G104" s="179">
        <f t="shared" si="89"/>
        <v>150585.60000000001</v>
      </c>
      <c r="H104" s="174"/>
      <c r="I104" s="179"/>
      <c r="J104" s="179"/>
      <c r="K104" s="174">
        <f t="shared" si="90"/>
        <v>125488</v>
      </c>
      <c r="L104" s="179">
        <f t="shared" si="90"/>
        <v>150585.60000000001</v>
      </c>
      <c r="Q104" s="319">
        <f t="shared" si="64"/>
        <v>6.82</v>
      </c>
      <c r="R104" s="320">
        <f t="shared" si="65"/>
        <v>18400</v>
      </c>
      <c r="S104" s="320">
        <f t="shared" si="66"/>
        <v>125488</v>
      </c>
      <c r="T104" s="320">
        <f t="shared" si="67"/>
        <v>150585.60000000001</v>
      </c>
      <c r="U104" s="320">
        <f t="shared" si="68"/>
        <v>0</v>
      </c>
      <c r="V104" s="320">
        <f t="shared" si="69"/>
        <v>0</v>
      </c>
      <c r="W104" s="320">
        <f t="shared" si="70"/>
        <v>0</v>
      </c>
      <c r="X104" s="319">
        <f t="shared" si="71"/>
        <v>125488</v>
      </c>
      <c r="Y104" s="320">
        <v>150000</v>
      </c>
      <c r="Z104" s="233"/>
    </row>
    <row r="105" spans="1:26" ht="24.75" customHeight="1" x14ac:dyDescent="0.25">
      <c r="A105" s="172">
        <f>A104+1</f>
        <v>64</v>
      </c>
      <c r="B105" s="171" t="s">
        <v>597</v>
      </c>
      <c r="C105" s="336" t="s">
        <v>17</v>
      </c>
      <c r="D105" s="349">
        <f>11.44</f>
        <v>11.44</v>
      </c>
      <c r="E105" s="174">
        <v>335</v>
      </c>
      <c r="F105" s="179">
        <f t="shared" ref="F105:F107" si="91">ROUND(E105*D105,2)</f>
        <v>3832.4</v>
      </c>
      <c r="G105" s="179">
        <f t="shared" si="89"/>
        <v>4598.88</v>
      </c>
      <c r="H105" s="463"/>
      <c r="I105" s="179"/>
      <c r="J105" s="179"/>
      <c r="K105" s="174">
        <f t="shared" si="90"/>
        <v>3832.4</v>
      </c>
      <c r="L105" s="179">
        <f t="shared" si="90"/>
        <v>4598.88</v>
      </c>
      <c r="Q105" s="319">
        <f t="shared" si="64"/>
        <v>11.44</v>
      </c>
      <c r="R105" s="320">
        <f t="shared" si="65"/>
        <v>335</v>
      </c>
      <c r="S105" s="320">
        <f t="shared" si="66"/>
        <v>3832.3999999999996</v>
      </c>
      <c r="T105" s="320">
        <f t="shared" si="67"/>
        <v>4598.8799999999992</v>
      </c>
      <c r="U105" s="320">
        <f t="shared" si="68"/>
        <v>0</v>
      </c>
      <c r="V105" s="320">
        <f t="shared" si="69"/>
        <v>0</v>
      </c>
      <c r="W105" s="320">
        <f t="shared" si="70"/>
        <v>0</v>
      </c>
      <c r="X105" s="319">
        <f t="shared" si="71"/>
        <v>3832.3999999999996</v>
      </c>
      <c r="Y105" s="320">
        <f t="shared" si="71"/>
        <v>4598.8799999999992</v>
      </c>
      <c r="Z105" s="233"/>
    </row>
    <row r="106" spans="1:26" ht="24.75" customHeight="1" x14ac:dyDescent="0.25">
      <c r="A106" s="172">
        <f t="shared" ref="A106:A107" si="92">A105+1</f>
        <v>65</v>
      </c>
      <c r="B106" s="171" t="s">
        <v>538</v>
      </c>
      <c r="C106" s="336" t="s">
        <v>17</v>
      </c>
      <c r="D106" s="349">
        <f>11.44</f>
        <v>11.44</v>
      </c>
      <c r="E106" s="174">
        <v>335</v>
      </c>
      <c r="F106" s="179">
        <f t="shared" si="91"/>
        <v>3832.4</v>
      </c>
      <c r="G106" s="179">
        <f t="shared" si="89"/>
        <v>4598.88</v>
      </c>
      <c r="H106" s="463"/>
      <c r="I106" s="179"/>
      <c r="J106" s="179"/>
      <c r="K106" s="174">
        <f t="shared" si="90"/>
        <v>3832.4</v>
      </c>
      <c r="L106" s="179">
        <f t="shared" si="90"/>
        <v>4598.88</v>
      </c>
      <c r="Q106" s="319">
        <f t="shared" si="64"/>
        <v>11.44</v>
      </c>
      <c r="R106" s="320">
        <f t="shared" si="65"/>
        <v>335</v>
      </c>
      <c r="S106" s="320">
        <f t="shared" si="66"/>
        <v>3832.3999999999996</v>
      </c>
      <c r="T106" s="320">
        <f t="shared" si="67"/>
        <v>4598.8799999999992</v>
      </c>
      <c r="U106" s="320">
        <f t="shared" si="68"/>
        <v>0</v>
      </c>
      <c r="V106" s="320">
        <f t="shared" si="69"/>
        <v>0</v>
      </c>
      <c r="W106" s="320">
        <f t="shared" si="70"/>
        <v>0</v>
      </c>
      <c r="X106" s="319">
        <f t="shared" si="71"/>
        <v>3832.3999999999996</v>
      </c>
      <c r="Y106" s="320">
        <f t="shared" si="71"/>
        <v>4598.8799999999992</v>
      </c>
      <c r="Z106" s="233"/>
    </row>
    <row r="107" spans="1:26" ht="24.75" customHeight="1" x14ac:dyDescent="0.25">
      <c r="A107" s="172">
        <f t="shared" si="92"/>
        <v>66</v>
      </c>
      <c r="B107" s="171" t="s">
        <v>598</v>
      </c>
      <c r="C107" s="336" t="s">
        <v>17</v>
      </c>
      <c r="D107" s="349">
        <f>11.44</f>
        <v>11.44</v>
      </c>
      <c r="E107" s="174">
        <v>335</v>
      </c>
      <c r="F107" s="179">
        <f t="shared" si="91"/>
        <v>3832.4</v>
      </c>
      <c r="G107" s="179">
        <f t="shared" si="89"/>
        <v>4598.88</v>
      </c>
      <c r="H107" s="463"/>
      <c r="I107" s="179"/>
      <c r="J107" s="179"/>
      <c r="K107" s="174">
        <f t="shared" si="90"/>
        <v>3832.4</v>
      </c>
      <c r="L107" s="179">
        <f t="shared" si="90"/>
        <v>4598.88</v>
      </c>
      <c r="Q107" s="319">
        <f t="shared" si="64"/>
        <v>11.44</v>
      </c>
      <c r="R107" s="320">
        <f t="shared" si="65"/>
        <v>335</v>
      </c>
      <c r="S107" s="320">
        <f t="shared" si="66"/>
        <v>3832.3999999999996</v>
      </c>
      <c r="T107" s="320">
        <f t="shared" si="67"/>
        <v>4598.8799999999992</v>
      </c>
      <c r="U107" s="320">
        <f t="shared" si="68"/>
        <v>0</v>
      </c>
      <c r="V107" s="320">
        <f t="shared" si="69"/>
        <v>0</v>
      </c>
      <c r="W107" s="320">
        <f t="shared" si="70"/>
        <v>0</v>
      </c>
      <c r="X107" s="319">
        <f t="shared" si="71"/>
        <v>3832.3999999999996</v>
      </c>
      <c r="Y107" s="320">
        <f t="shared" si="71"/>
        <v>4598.8799999999992</v>
      </c>
      <c r="Z107" s="233"/>
    </row>
    <row r="108" spans="1:26" ht="24.75" customHeight="1" x14ac:dyDescent="0.25">
      <c r="A108" s="88"/>
      <c r="B108" s="347" t="s">
        <v>599</v>
      </c>
      <c r="C108" s="121"/>
      <c r="D108" s="109"/>
      <c r="E108" s="15"/>
      <c r="F108" s="126"/>
      <c r="G108" s="126"/>
      <c r="H108" s="91"/>
      <c r="I108" s="91"/>
      <c r="J108" s="91"/>
      <c r="K108" s="18"/>
      <c r="L108" s="91"/>
      <c r="Q108" s="319">
        <f t="shared" si="64"/>
        <v>0</v>
      </c>
      <c r="R108" s="320">
        <f t="shared" si="65"/>
        <v>0</v>
      </c>
      <c r="S108" s="320">
        <f t="shared" si="66"/>
        <v>0</v>
      </c>
      <c r="T108" s="320">
        <f t="shared" si="67"/>
        <v>0</v>
      </c>
      <c r="U108" s="320">
        <f t="shared" si="68"/>
        <v>0</v>
      </c>
      <c r="V108" s="320">
        <f t="shared" si="69"/>
        <v>0</v>
      </c>
      <c r="W108" s="320">
        <f t="shared" si="70"/>
        <v>0</v>
      </c>
      <c r="X108" s="319">
        <f t="shared" si="71"/>
        <v>0</v>
      </c>
      <c r="Y108" s="320">
        <f t="shared" si="71"/>
        <v>0</v>
      </c>
      <c r="Z108" s="233"/>
    </row>
    <row r="109" spans="1:26" ht="24.75" customHeight="1" x14ac:dyDescent="0.25">
      <c r="A109" s="183">
        <f>A105+1</f>
        <v>65</v>
      </c>
      <c r="B109" s="186" t="s">
        <v>536</v>
      </c>
      <c r="C109" s="339" t="s">
        <v>15</v>
      </c>
      <c r="D109" s="344">
        <v>8.4600000000000009</v>
      </c>
      <c r="E109" s="176">
        <v>1979.8</v>
      </c>
      <c r="F109" s="182">
        <f t="shared" ref="F109:F110" si="93">ROUND(E109*D109,2)</f>
        <v>16749.11</v>
      </c>
      <c r="G109" s="182">
        <f t="shared" ref="G109:G110" si="94">ROUND(F109*1.2,2)</f>
        <v>20098.93</v>
      </c>
      <c r="H109" s="462"/>
      <c r="I109" s="182"/>
      <c r="J109" s="182"/>
      <c r="K109" s="176">
        <f t="shared" ref="K109:L115" si="95">F109+I109</f>
        <v>16749.11</v>
      </c>
      <c r="L109" s="182">
        <f t="shared" si="95"/>
        <v>20098.93</v>
      </c>
      <c r="Q109" s="319">
        <f t="shared" si="64"/>
        <v>8.4600000000000009</v>
      </c>
      <c r="R109" s="320">
        <f t="shared" si="65"/>
        <v>1979.8</v>
      </c>
      <c r="S109" s="320">
        <f t="shared" si="66"/>
        <v>16749.108</v>
      </c>
      <c r="T109" s="320">
        <f t="shared" si="67"/>
        <v>20098.929599999999</v>
      </c>
      <c r="U109" s="320">
        <f t="shared" si="68"/>
        <v>0</v>
      </c>
      <c r="V109" s="320">
        <f t="shared" si="69"/>
        <v>0</v>
      </c>
      <c r="W109" s="320">
        <f t="shared" si="70"/>
        <v>0</v>
      </c>
      <c r="X109" s="319">
        <f t="shared" si="71"/>
        <v>16749.108</v>
      </c>
      <c r="Y109" s="320">
        <f t="shared" si="71"/>
        <v>20098.929599999999</v>
      </c>
      <c r="Z109" s="233"/>
    </row>
    <row r="110" spans="1:26" ht="45" x14ac:dyDescent="0.25">
      <c r="A110" s="183">
        <f>A109+1</f>
        <v>66</v>
      </c>
      <c r="B110" s="186" t="s">
        <v>541</v>
      </c>
      <c r="C110" s="339" t="s">
        <v>15</v>
      </c>
      <c r="D110" s="344">
        <v>6.25</v>
      </c>
      <c r="E110" s="176">
        <v>2230.6</v>
      </c>
      <c r="F110" s="182">
        <f t="shared" si="93"/>
        <v>13941.25</v>
      </c>
      <c r="G110" s="182">
        <f t="shared" si="94"/>
        <v>16729.5</v>
      </c>
      <c r="H110" s="462"/>
      <c r="I110" s="182"/>
      <c r="J110" s="182"/>
      <c r="K110" s="176">
        <f t="shared" si="95"/>
        <v>13941.25</v>
      </c>
      <c r="L110" s="182">
        <f t="shared" si="95"/>
        <v>16729.5</v>
      </c>
      <c r="Q110" s="319">
        <f t="shared" si="64"/>
        <v>6.25</v>
      </c>
      <c r="R110" s="320">
        <f t="shared" si="65"/>
        <v>2230.6</v>
      </c>
      <c r="S110" s="320">
        <f t="shared" si="66"/>
        <v>13941.25</v>
      </c>
      <c r="T110" s="320">
        <f t="shared" si="67"/>
        <v>16729.5</v>
      </c>
      <c r="U110" s="320">
        <f t="shared" si="68"/>
        <v>0</v>
      </c>
      <c r="V110" s="320">
        <f t="shared" si="69"/>
        <v>0</v>
      </c>
      <c r="W110" s="320">
        <f t="shared" si="70"/>
        <v>0</v>
      </c>
      <c r="X110" s="319">
        <f t="shared" si="71"/>
        <v>13941.25</v>
      </c>
      <c r="Y110" s="320">
        <f t="shared" si="71"/>
        <v>16729.5</v>
      </c>
      <c r="Z110" s="233"/>
    </row>
    <row r="111" spans="1:26" ht="22.5" customHeight="1" x14ac:dyDescent="0.25">
      <c r="A111" s="113" t="s">
        <v>207</v>
      </c>
      <c r="B111" s="19" t="s">
        <v>542</v>
      </c>
      <c r="C111" s="20" t="s">
        <v>533</v>
      </c>
      <c r="D111" s="170">
        <v>8</v>
      </c>
      <c r="E111" s="21"/>
      <c r="F111" s="134"/>
      <c r="G111" s="134"/>
      <c r="H111" s="134">
        <v>158.3365</v>
      </c>
      <c r="I111" s="134">
        <f>ROUND(H111*D111,2)</f>
        <v>1266.69</v>
      </c>
      <c r="J111" s="134">
        <f>ROUND(I111*1.2,2)</f>
        <v>1520.03</v>
      </c>
      <c r="K111" s="28">
        <f t="shared" si="95"/>
        <v>1266.69</v>
      </c>
      <c r="L111" s="134">
        <f t="shared" si="95"/>
        <v>1520.03</v>
      </c>
      <c r="Q111" s="319">
        <f t="shared" si="64"/>
        <v>8</v>
      </c>
      <c r="R111" s="320">
        <f t="shared" si="65"/>
        <v>0</v>
      </c>
      <c r="S111" s="320">
        <f t="shared" si="66"/>
        <v>0</v>
      </c>
      <c r="T111" s="320">
        <f t="shared" si="67"/>
        <v>0</v>
      </c>
      <c r="U111" s="320">
        <f t="shared" si="68"/>
        <v>158.3365</v>
      </c>
      <c r="V111" s="320">
        <f t="shared" si="69"/>
        <v>1266.692</v>
      </c>
      <c r="W111" s="320">
        <f t="shared" si="70"/>
        <v>1520.0303999999999</v>
      </c>
      <c r="X111" s="319">
        <f t="shared" si="71"/>
        <v>1266.692</v>
      </c>
      <c r="Y111" s="320">
        <f t="shared" si="71"/>
        <v>1520.0303999999999</v>
      </c>
      <c r="Z111" s="233"/>
    </row>
    <row r="112" spans="1:26" ht="33" customHeight="1" x14ac:dyDescent="0.25">
      <c r="A112" s="172">
        <f>A110+1</f>
        <v>67</v>
      </c>
      <c r="B112" s="171" t="s">
        <v>600</v>
      </c>
      <c r="C112" s="172" t="s">
        <v>601</v>
      </c>
      <c r="D112" s="190">
        <v>2</v>
      </c>
      <c r="E112" s="174">
        <v>4334</v>
      </c>
      <c r="F112" s="179">
        <f t="shared" ref="F112:F115" si="96">ROUND(E112*D112,2)</f>
        <v>8668</v>
      </c>
      <c r="G112" s="179">
        <f t="shared" ref="G112:G115" si="97">ROUND(F112*1.2,2)</f>
        <v>10401.6</v>
      </c>
      <c r="H112" s="463"/>
      <c r="I112" s="179"/>
      <c r="J112" s="179"/>
      <c r="K112" s="174">
        <f t="shared" si="95"/>
        <v>8668</v>
      </c>
      <c r="L112" s="179">
        <f t="shared" si="95"/>
        <v>10401.6</v>
      </c>
      <c r="Q112" s="319">
        <f t="shared" si="64"/>
        <v>2</v>
      </c>
      <c r="R112" s="320">
        <f t="shared" si="65"/>
        <v>4334</v>
      </c>
      <c r="S112" s="320">
        <f t="shared" si="66"/>
        <v>8668</v>
      </c>
      <c r="T112" s="320">
        <f t="shared" si="67"/>
        <v>10401.6</v>
      </c>
      <c r="U112" s="320">
        <f t="shared" si="68"/>
        <v>0</v>
      </c>
      <c r="V112" s="320">
        <f t="shared" si="69"/>
        <v>0</v>
      </c>
      <c r="W112" s="320">
        <f t="shared" si="70"/>
        <v>0</v>
      </c>
      <c r="X112" s="319">
        <f t="shared" si="71"/>
        <v>8668</v>
      </c>
      <c r="Y112" s="320">
        <f t="shared" si="71"/>
        <v>10401.6</v>
      </c>
      <c r="Z112" s="233"/>
    </row>
    <row r="113" spans="1:27" ht="24.75" customHeight="1" x14ac:dyDescent="0.25">
      <c r="A113" s="172">
        <f>A112+1</f>
        <v>68</v>
      </c>
      <c r="B113" s="171" t="s">
        <v>602</v>
      </c>
      <c r="C113" s="336" t="s">
        <v>35</v>
      </c>
      <c r="D113" s="190">
        <v>32</v>
      </c>
      <c r="E113" s="174">
        <v>277.08333333333331</v>
      </c>
      <c r="F113" s="179">
        <f t="shared" si="96"/>
        <v>8866.67</v>
      </c>
      <c r="G113" s="179">
        <f t="shared" si="97"/>
        <v>10640</v>
      </c>
      <c r="H113" s="463"/>
      <c r="I113" s="179"/>
      <c r="J113" s="179"/>
      <c r="K113" s="174">
        <f t="shared" si="95"/>
        <v>8866.67</v>
      </c>
      <c r="L113" s="179">
        <f t="shared" si="95"/>
        <v>10640</v>
      </c>
      <c r="Q113" s="319">
        <f t="shared" si="64"/>
        <v>32</v>
      </c>
      <c r="R113" s="320">
        <f t="shared" si="65"/>
        <v>277.08333333333331</v>
      </c>
      <c r="S113" s="320">
        <f t="shared" si="66"/>
        <v>8866.6666666666661</v>
      </c>
      <c r="T113" s="320">
        <f t="shared" si="67"/>
        <v>10639.999999999998</v>
      </c>
      <c r="U113" s="320">
        <f t="shared" si="68"/>
        <v>0</v>
      </c>
      <c r="V113" s="320">
        <f t="shared" si="69"/>
        <v>0</v>
      </c>
      <c r="W113" s="320">
        <f t="shared" si="70"/>
        <v>0</v>
      </c>
      <c r="X113" s="319">
        <f t="shared" si="71"/>
        <v>8866.6666666666661</v>
      </c>
      <c r="Y113" s="320">
        <f t="shared" si="71"/>
        <v>10639.999999999998</v>
      </c>
      <c r="Z113" s="233"/>
    </row>
    <row r="114" spans="1:27" ht="24.75" customHeight="1" x14ac:dyDescent="0.25">
      <c r="A114" s="172">
        <f>A113+1</f>
        <v>69</v>
      </c>
      <c r="B114" s="171" t="s">
        <v>603</v>
      </c>
      <c r="C114" s="336" t="s">
        <v>13</v>
      </c>
      <c r="D114" s="173">
        <v>0.32</v>
      </c>
      <c r="E114" s="174">
        <v>4380.38</v>
      </c>
      <c r="F114" s="179">
        <f t="shared" si="96"/>
        <v>1401.72</v>
      </c>
      <c r="G114" s="179">
        <f t="shared" si="97"/>
        <v>1682.06</v>
      </c>
      <c r="H114" s="179"/>
      <c r="I114" s="179"/>
      <c r="J114" s="179"/>
      <c r="K114" s="174">
        <f t="shared" si="95"/>
        <v>1401.72</v>
      </c>
      <c r="L114" s="179">
        <f t="shared" si="95"/>
        <v>1682.06</v>
      </c>
      <c r="Q114" s="319">
        <f t="shared" si="64"/>
        <v>0.32</v>
      </c>
      <c r="R114" s="320">
        <f t="shared" si="65"/>
        <v>4380.38</v>
      </c>
      <c r="S114" s="320">
        <f t="shared" si="66"/>
        <v>1401.7216000000001</v>
      </c>
      <c r="T114" s="320">
        <f t="shared" si="67"/>
        <v>1682.06592</v>
      </c>
      <c r="U114" s="320">
        <f t="shared" si="68"/>
        <v>0</v>
      </c>
      <c r="V114" s="320">
        <f t="shared" si="69"/>
        <v>0</v>
      </c>
      <c r="W114" s="320">
        <f t="shared" si="70"/>
        <v>0</v>
      </c>
      <c r="X114" s="319">
        <f t="shared" si="71"/>
        <v>1401.7216000000001</v>
      </c>
      <c r="Y114" s="320">
        <f t="shared" si="71"/>
        <v>1682.06592</v>
      </c>
      <c r="Z114" s="233"/>
    </row>
    <row r="115" spans="1:27" ht="24.75" customHeight="1" x14ac:dyDescent="0.25">
      <c r="A115" s="172">
        <f>A114+1</f>
        <v>70</v>
      </c>
      <c r="B115" s="171" t="s">
        <v>597</v>
      </c>
      <c r="C115" s="336" t="s">
        <v>17</v>
      </c>
      <c r="D115" s="364">
        <v>0.76800000000000002</v>
      </c>
      <c r="E115" s="174">
        <v>335</v>
      </c>
      <c r="F115" s="179">
        <f t="shared" si="96"/>
        <v>257.27999999999997</v>
      </c>
      <c r="G115" s="179">
        <f t="shared" si="97"/>
        <v>308.74</v>
      </c>
      <c r="H115" s="463"/>
      <c r="I115" s="179"/>
      <c r="J115" s="179"/>
      <c r="K115" s="174">
        <f t="shared" si="95"/>
        <v>257.27999999999997</v>
      </c>
      <c r="L115" s="179">
        <f t="shared" si="95"/>
        <v>308.74</v>
      </c>
      <c r="Q115" s="319">
        <f t="shared" si="64"/>
        <v>0.76800000000000002</v>
      </c>
      <c r="R115" s="320">
        <f t="shared" si="65"/>
        <v>335</v>
      </c>
      <c r="S115" s="320">
        <f t="shared" si="66"/>
        <v>257.28000000000003</v>
      </c>
      <c r="T115" s="320">
        <f t="shared" si="67"/>
        <v>308.73600000000005</v>
      </c>
      <c r="U115" s="320">
        <f t="shared" si="68"/>
        <v>0</v>
      </c>
      <c r="V115" s="320">
        <f t="shared" si="69"/>
        <v>0</v>
      </c>
      <c r="W115" s="320">
        <f t="shared" si="70"/>
        <v>0</v>
      </c>
      <c r="X115" s="319">
        <f t="shared" si="71"/>
        <v>257.28000000000003</v>
      </c>
      <c r="Y115" s="320">
        <f t="shared" si="71"/>
        <v>308.73600000000005</v>
      </c>
      <c r="Z115" s="233"/>
    </row>
    <row r="116" spans="1:27" s="470" customFormat="1" ht="24" customHeight="1" x14ac:dyDescent="0.25">
      <c r="A116" s="614" t="s">
        <v>14</v>
      </c>
      <c r="B116" s="615"/>
      <c r="C116" s="615"/>
      <c r="D116" s="615"/>
      <c r="E116" s="616"/>
      <c r="F116" s="365">
        <f>SUM(F7:F115)</f>
        <v>30740217.779999997</v>
      </c>
      <c r="G116" s="365">
        <f>ROUND(F116*1.2,2)</f>
        <v>36888261.340000004</v>
      </c>
      <c r="H116" s="366"/>
      <c r="I116" s="365">
        <f>SUM(I7:I115)</f>
        <v>25513677.450000003</v>
      </c>
      <c r="J116" s="365">
        <f>ROUND(I116*1.2,2)</f>
        <v>30616412.940000001</v>
      </c>
      <c r="K116" s="365">
        <f>SUM(K7:K115)</f>
        <v>56253895.229999989</v>
      </c>
      <c r="L116" s="365">
        <f>ROUND(K116*1.2,2)</f>
        <v>67504674.280000001</v>
      </c>
      <c r="Q116" s="471"/>
      <c r="R116" s="471"/>
      <c r="S116" s="369">
        <f>SUM(S9:S115)</f>
        <v>30403269.355636667</v>
      </c>
      <c r="T116" s="369">
        <f t="shared" ref="T116:Y116" si="98">SUM(T9:T115)</f>
        <v>36483923.226764008</v>
      </c>
      <c r="U116" s="369">
        <f t="shared" si="98"/>
        <v>20043.632999999998</v>
      </c>
      <c r="V116" s="369">
        <f t="shared" si="98"/>
        <v>25335304.855544005</v>
      </c>
      <c r="W116" s="369">
        <f t="shared" si="98"/>
        <v>30402365.826652795</v>
      </c>
      <c r="X116" s="369">
        <f t="shared" si="98"/>
        <v>55738574.211180665</v>
      </c>
      <c r="Y116" s="369">
        <f t="shared" si="98"/>
        <v>66885703.455416784</v>
      </c>
      <c r="Z116" s="442">
        <f>SUM(Z9:Z115)</f>
        <v>-618385.16480000014</v>
      </c>
      <c r="AA116" s="378"/>
    </row>
    <row r="118" spans="1:27" x14ac:dyDescent="0.25">
      <c r="K118" s="472"/>
      <c r="X118" s="473"/>
    </row>
    <row r="119" spans="1:27" x14ac:dyDescent="0.25">
      <c r="Y119" s="474"/>
    </row>
    <row r="120" spans="1:27" x14ac:dyDescent="0.25">
      <c r="B120" s="455" t="s">
        <v>339</v>
      </c>
    </row>
    <row r="121" spans="1:27" x14ac:dyDescent="0.25">
      <c r="B121" s="456" t="s">
        <v>340</v>
      </c>
    </row>
  </sheetData>
  <mergeCells count="20"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  <mergeCell ref="H64:H66"/>
    <mergeCell ref="I64:I66"/>
    <mergeCell ref="J64:J66"/>
    <mergeCell ref="K64:K66"/>
    <mergeCell ref="L64:L66"/>
    <mergeCell ref="A116:E116"/>
    <mergeCell ref="B6:D6"/>
    <mergeCell ref="C64:C66"/>
    <mergeCell ref="D64:D66"/>
    <mergeCell ref="E64:E66"/>
  </mergeCells>
  <conditionalFormatting sqref="Z3:Z115">
    <cfRule type="cellIs" dxfId="9" priority="2" operator="lessThan">
      <formula>-1</formula>
    </cfRule>
  </conditionalFormatting>
  <conditionalFormatting sqref="Z3:Z115">
    <cfRule type="cellIs" dxfId="8" priority="1" operator="greaterThan">
      <formula>1</formula>
    </cfRule>
  </conditionalFormatting>
  <pageMargins left="0.7" right="0.7" top="0.75" bottom="0.75" header="0.3" footer="0.3"/>
  <pageSetup paperSize="9" scale="3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EB7C-8ABA-4B6A-BA59-DE483F7F05E2}">
  <sheetPr>
    <tabColor rgb="FFFFFF00"/>
  </sheetPr>
  <dimension ref="A1:AA53"/>
  <sheetViews>
    <sheetView zoomScale="55" zoomScaleNormal="55" zoomScaleSheetLayoutView="100" workbookViewId="0">
      <selection activeCell="E18" sqref="E18"/>
    </sheetView>
  </sheetViews>
  <sheetFormatPr defaultColWidth="8.85546875" defaultRowHeight="15" x14ac:dyDescent="0.25"/>
  <cols>
    <col min="1" max="1" width="8.85546875" style="66"/>
    <col min="2" max="2" width="65.140625" style="66" customWidth="1"/>
    <col min="3" max="3" width="9.28515625" style="66" customWidth="1"/>
    <col min="4" max="4" width="11" style="66" bestFit="1" customWidth="1"/>
    <col min="5" max="5" width="15.140625" style="66" customWidth="1"/>
    <col min="6" max="6" width="16" style="66" customWidth="1"/>
    <col min="7" max="7" width="17.140625" style="316" customWidth="1"/>
    <col min="8" max="8" width="16.140625" style="316" customWidth="1"/>
    <col min="9" max="12" width="16.140625" style="66" customWidth="1"/>
    <col min="13" max="16" width="0" style="66" hidden="1" customWidth="1"/>
    <col min="17" max="17" width="11" style="476" bestFit="1" customWidth="1"/>
    <col min="18" max="18" width="15.140625" style="476" customWidth="1"/>
    <col min="19" max="19" width="16" style="476" customWidth="1"/>
    <col min="20" max="20" width="17.140625" style="477" customWidth="1"/>
    <col min="21" max="21" width="16.140625" style="477" customWidth="1"/>
    <col min="22" max="25" width="16.140625" style="476" customWidth="1"/>
    <col min="26" max="26" width="18" style="215" customWidth="1"/>
    <col min="27" max="27" width="42.140625" style="66" customWidth="1"/>
    <col min="28" max="16384" width="8.85546875" style="66"/>
  </cols>
  <sheetData>
    <row r="1" spans="1:26" ht="14.45" customHeight="1" x14ac:dyDescent="0.25">
      <c r="A1" s="628" t="s">
        <v>0</v>
      </c>
      <c r="B1" s="631" t="s">
        <v>1</v>
      </c>
      <c r="C1" s="634" t="s">
        <v>2</v>
      </c>
      <c r="D1" s="634" t="s">
        <v>3</v>
      </c>
      <c r="E1" s="635" t="s">
        <v>4</v>
      </c>
      <c r="F1" s="636"/>
      <c r="G1" s="636"/>
      <c r="H1" s="636"/>
      <c r="I1" s="636"/>
      <c r="J1" s="636"/>
      <c r="K1" s="636"/>
      <c r="L1" s="636"/>
      <c r="Q1" s="323" t="s">
        <v>3</v>
      </c>
      <c r="R1" s="324" t="s">
        <v>514</v>
      </c>
      <c r="S1" s="324"/>
      <c r="T1" s="324"/>
      <c r="U1" s="324"/>
      <c r="V1" s="324"/>
      <c r="W1" s="324"/>
      <c r="X1" s="324"/>
      <c r="Y1" s="324"/>
    </row>
    <row r="2" spans="1:26" ht="14.45" customHeight="1" x14ac:dyDescent="0.25">
      <c r="A2" s="629"/>
      <c r="B2" s="632"/>
      <c r="C2" s="634"/>
      <c r="D2" s="634"/>
      <c r="E2" s="637"/>
      <c r="F2" s="638"/>
      <c r="G2" s="638"/>
      <c r="H2" s="638"/>
      <c r="I2" s="638"/>
      <c r="J2" s="638"/>
      <c r="K2" s="638"/>
      <c r="L2" s="638"/>
      <c r="Q2" s="323"/>
      <c r="R2" s="323"/>
      <c r="S2" s="323"/>
      <c r="T2" s="323"/>
      <c r="U2" s="323"/>
      <c r="V2" s="323"/>
      <c r="W2" s="323"/>
      <c r="X2" s="323"/>
      <c r="Y2" s="323"/>
      <c r="Z2" s="223"/>
    </row>
    <row r="3" spans="1:26" ht="27.75" customHeight="1" x14ac:dyDescent="0.25">
      <c r="A3" s="629"/>
      <c r="B3" s="632"/>
      <c r="C3" s="634"/>
      <c r="D3" s="634"/>
      <c r="E3" s="634" t="s">
        <v>5</v>
      </c>
      <c r="F3" s="634"/>
      <c r="G3" s="634"/>
      <c r="H3" s="634" t="s">
        <v>6</v>
      </c>
      <c r="I3" s="634"/>
      <c r="J3" s="634"/>
      <c r="K3" s="639" t="s">
        <v>7</v>
      </c>
      <c r="L3" s="639"/>
      <c r="Q3" s="323"/>
      <c r="R3" s="323" t="s">
        <v>5</v>
      </c>
      <c r="S3" s="323"/>
      <c r="T3" s="323"/>
      <c r="U3" s="323" t="s">
        <v>6</v>
      </c>
      <c r="V3" s="323"/>
      <c r="W3" s="323"/>
      <c r="X3" s="325" t="s">
        <v>7</v>
      </c>
      <c r="Y3" s="325"/>
      <c r="Z3" s="233"/>
    </row>
    <row r="4" spans="1:26" ht="56.1" customHeight="1" x14ac:dyDescent="0.25">
      <c r="A4" s="630"/>
      <c r="B4" s="633"/>
      <c r="C4" s="634"/>
      <c r="D4" s="634"/>
      <c r="E4" s="410" t="s">
        <v>8</v>
      </c>
      <c r="F4" s="410" t="s">
        <v>9</v>
      </c>
      <c r="G4" s="302" t="s">
        <v>10</v>
      </c>
      <c r="H4" s="410" t="s">
        <v>8</v>
      </c>
      <c r="I4" s="410" t="s">
        <v>9</v>
      </c>
      <c r="J4" s="302" t="s">
        <v>10</v>
      </c>
      <c r="K4" s="410" t="s">
        <v>11</v>
      </c>
      <c r="L4" s="303" t="s">
        <v>12</v>
      </c>
      <c r="Q4" s="323"/>
      <c r="R4" s="323" t="s">
        <v>8</v>
      </c>
      <c r="S4" s="323" t="s">
        <v>9</v>
      </c>
      <c r="T4" s="317" t="s">
        <v>10</v>
      </c>
      <c r="U4" s="323" t="s">
        <v>8</v>
      </c>
      <c r="V4" s="323" t="s">
        <v>9</v>
      </c>
      <c r="W4" s="317" t="s">
        <v>10</v>
      </c>
      <c r="X4" s="323" t="s">
        <v>11</v>
      </c>
      <c r="Y4" s="323" t="s">
        <v>12</v>
      </c>
      <c r="Z4" s="233"/>
    </row>
    <row r="5" spans="1:26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6"/>
      <c r="Q5" s="326">
        <v>4</v>
      </c>
      <c r="R5" s="326">
        <v>5</v>
      </c>
      <c r="S5" s="326">
        <v>6</v>
      </c>
      <c r="T5" s="326">
        <v>7</v>
      </c>
      <c r="U5" s="475"/>
      <c r="V5" s="475"/>
      <c r="W5" s="475"/>
      <c r="X5" s="475"/>
      <c r="Y5" s="475"/>
      <c r="Z5" s="233"/>
    </row>
    <row r="6" spans="1:26" ht="20.25" customHeight="1" x14ac:dyDescent="0.25">
      <c r="A6" s="6"/>
      <c r="B6" s="617" t="s">
        <v>314</v>
      </c>
      <c r="C6" s="618"/>
      <c r="D6" s="618"/>
      <c r="E6" s="7"/>
      <c r="F6" s="8"/>
      <c r="G6" s="9"/>
      <c r="H6" s="9"/>
      <c r="I6" s="9"/>
      <c r="J6" s="9"/>
      <c r="K6" s="9"/>
      <c r="L6" s="10"/>
      <c r="Q6" s="327"/>
      <c r="R6" s="327"/>
      <c r="S6" s="327"/>
      <c r="T6" s="318"/>
      <c r="U6" s="318"/>
      <c r="V6" s="318"/>
      <c r="W6" s="318"/>
      <c r="X6" s="318"/>
      <c r="Y6" s="318"/>
      <c r="Z6" s="233"/>
    </row>
    <row r="7" spans="1:26" ht="18" customHeight="1" x14ac:dyDescent="0.25">
      <c r="A7" s="304"/>
      <c r="B7" s="77" t="s">
        <v>315</v>
      </c>
      <c r="C7" s="304"/>
      <c r="D7" s="78"/>
      <c r="E7" s="79"/>
      <c r="F7" s="305"/>
      <c r="G7" s="305"/>
      <c r="H7" s="75"/>
      <c r="I7" s="305"/>
      <c r="J7" s="305"/>
      <c r="K7" s="79"/>
      <c r="L7" s="306"/>
      <c r="Q7" s="328"/>
      <c r="R7" s="319"/>
      <c r="S7" s="320"/>
      <c r="T7" s="320"/>
      <c r="U7" s="321"/>
      <c r="V7" s="320"/>
      <c r="W7" s="320"/>
      <c r="X7" s="319"/>
      <c r="Y7" s="320"/>
      <c r="Z7" s="233"/>
    </row>
    <row r="8" spans="1:26" ht="22.5" customHeight="1" x14ac:dyDescent="0.25">
      <c r="A8" s="183">
        <v>1</v>
      </c>
      <c r="B8" s="178" t="s">
        <v>316</v>
      </c>
      <c r="C8" s="307" t="s">
        <v>35</v>
      </c>
      <c r="D8" s="308">
        <v>84</v>
      </c>
      <c r="E8" s="182">
        <v>1055.02</v>
      </c>
      <c r="F8" s="182">
        <f>E8*D8</f>
        <v>88621.68</v>
      </c>
      <c r="G8" s="182">
        <f>F8*1.2</f>
        <v>106346.01599999999</v>
      </c>
      <c r="H8" s="177"/>
      <c r="I8" s="182"/>
      <c r="J8" s="182"/>
      <c r="K8" s="176">
        <f>F8</f>
        <v>88621.68</v>
      </c>
      <c r="L8" s="182">
        <f>G8</f>
        <v>106346.01599999999</v>
      </c>
      <c r="Q8" s="329">
        <f>D8</f>
        <v>84</v>
      </c>
      <c r="R8" s="320">
        <v>1055.02</v>
      </c>
      <c r="S8" s="320">
        <f>Q8*R8</f>
        <v>88621.68</v>
      </c>
      <c r="T8" s="320">
        <f>S8*1.2</f>
        <v>106346.01599999999</v>
      </c>
      <c r="U8" s="321"/>
      <c r="V8" s="320">
        <f>U8*Q8</f>
        <v>0</v>
      </c>
      <c r="W8" s="320">
        <f>1.2*V8</f>
        <v>0</v>
      </c>
      <c r="X8" s="319">
        <f>S8+V8</f>
        <v>88621.68</v>
      </c>
      <c r="Y8" s="320">
        <f>W8+T8</f>
        <v>106346.01599999999</v>
      </c>
      <c r="Z8" s="233"/>
    </row>
    <row r="9" spans="1:26" ht="22.5" customHeight="1" x14ac:dyDescent="0.25">
      <c r="A9" s="172">
        <v>2</v>
      </c>
      <c r="B9" s="171" t="s">
        <v>317</v>
      </c>
      <c r="C9" s="172" t="s">
        <v>15</v>
      </c>
      <c r="D9" s="173">
        <v>37.32</v>
      </c>
      <c r="E9" s="179">
        <v>1800</v>
      </c>
      <c r="F9" s="182">
        <f>E9*D9</f>
        <v>67176</v>
      </c>
      <c r="G9" s="182">
        <f t="shared" ref="G9:G11" si="0">F9*1.2</f>
        <v>80611.199999999997</v>
      </c>
      <c r="H9" s="180"/>
      <c r="I9" s="179"/>
      <c r="J9" s="179"/>
      <c r="K9" s="176">
        <f t="shared" ref="K9:L11" si="1">F9</f>
        <v>67176</v>
      </c>
      <c r="L9" s="182">
        <f t="shared" si="1"/>
        <v>80611.199999999997</v>
      </c>
      <c r="Q9" s="329">
        <f t="shared" ref="Q9:Q48" si="2">D9</f>
        <v>37.32</v>
      </c>
      <c r="R9" s="320">
        <f>'[11]Резка+погр'!I5</f>
        <v>1800</v>
      </c>
      <c r="S9" s="320">
        <f t="shared" ref="S9:S49" si="3">Q9*R9</f>
        <v>67176</v>
      </c>
      <c r="T9" s="320">
        <f t="shared" ref="T9:T49" si="4">S9*1.2</f>
        <v>80611.199999999997</v>
      </c>
      <c r="U9" s="321"/>
      <c r="V9" s="320">
        <f t="shared" ref="V9:V49" si="5">U9*Q9</f>
        <v>0</v>
      </c>
      <c r="W9" s="320">
        <f t="shared" ref="W9:W49" si="6">1.2*V9</f>
        <v>0</v>
      </c>
      <c r="X9" s="319">
        <f t="shared" ref="X9:X49" si="7">S9+V9</f>
        <v>67176</v>
      </c>
      <c r="Y9" s="320">
        <f t="shared" ref="Y9:Y49" si="8">W9+T9</f>
        <v>80611.199999999997</v>
      </c>
      <c r="Z9" s="233"/>
    </row>
    <row r="10" spans="1:26" ht="22.5" customHeight="1" x14ac:dyDescent="0.25">
      <c r="A10" s="183">
        <v>3</v>
      </c>
      <c r="B10" s="178" t="s">
        <v>318</v>
      </c>
      <c r="C10" s="183" t="s">
        <v>13</v>
      </c>
      <c r="D10" s="184">
        <v>266.74</v>
      </c>
      <c r="E10" s="182">
        <v>4380.38</v>
      </c>
      <c r="F10" s="182">
        <f>E10*D10</f>
        <v>1168422.5612000001</v>
      </c>
      <c r="G10" s="182">
        <f t="shared" si="0"/>
        <v>1402107.0734400002</v>
      </c>
      <c r="H10" s="177"/>
      <c r="I10" s="182"/>
      <c r="J10" s="182"/>
      <c r="K10" s="176">
        <f t="shared" si="1"/>
        <v>1168422.5612000001</v>
      </c>
      <c r="L10" s="182">
        <f t="shared" si="1"/>
        <v>1402107.0734400002</v>
      </c>
      <c r="Q10" s="329">
        <f t="shared" si="2"/>
        <v>266.74</v>
      </c>
      <c r="R10" s="320">
        <v>4380.38</v>
      </c>
      <c r="S10" s="320">
        <f t="shared" si="3"/>
        <v>1168422.5612000001</v>
      </c>
      <c r="T10" s="320">
        <f t="shared" si="4"/>
        <v>1402107.0734400002</v>
      </c>
      <c r="U10" s="321"/>
      <c r="V10" s="320">
        <f t="shared" si="5"/>
        <v>0</v>
      </c>
      <c r="W10" s="320">
        <f t="shared" si="6"/>
        <v>0</v>
      </c>
      <c r="X10" s="319">
        <f t="shared" si="7"/>
        <v>1168422.5612000001</v>
      </c>
      <c r="Y10" s="320">
        <f t="shared" si="8"/>
        <v>1402107.0734400002</v>
      </c>
      <c r="Z10" s="233"/>
    </row>
    <row r="11" spans="1:26" ht="22.5" customHeight="1" x14ac:dyDescent="0.25">
      <c r="A11" s="183">
        <v>4</v>
      </c>
      <c r="B11" s="178" t="s">
        <v>319</v>
      </c>
      <c r="C11" s="183" t="s">
        <v>13</v>
      </c>
      <c r="D11" s="184">
        <v>421.17</v>
      </c>
      <c r="E11" s="176">
        <v>304</v>
      </c>
      <c r="F11" s="182">
        <f>E11*D11</f>
        <v>128035.68000000001</v>
      </c>
      <c r="G11" s="182">
        <f t="shared" si="0"/>
        <v>153642.81599999999</v>
      </c>
      <c r="H11" s="182"/>
      <c r="I11" s="182"/>
      <c r="J11" s="182"/>
      <c r="K11" s="176">
        <f t="shared" si="1"/>
        <v>128035.68000000001</v>
      </c>
      <c r="L11" s="182">
        <f t="shared" si="1"/>
        <v>153642.81599999999</v>
      </c>
      <c r="Q11" s="329">
        <f t="shared" si="2"/>
        <v>421.17</v>
      </c>
      <c r="R11" s="319">
        <v>304</v>
      </c>
      <c r="S11" s="320">
        <f t="shared" si="3"/>
        <v>128035.68000000001</v>
      </c>
      <c r="T11" s="320">
        <f t="shared" si="4"/>
        <v>153642.81599999999</v>
      </c>
      <c r="U11" s="320"/>
      <c r="V11" s="320">
        <f t="shared" si="5"/>
        <v>0</v>
      </c>
      <c r="W11" s="320">
        <f t="shared" si="6"/>
        <v>0</v>
      </c>
      <c r="X11" s="319">
        <f t="shared" si="7"/>
        <v>128035.68000000001</v>
      </c>
      <c r="Y11" s="320">
        <f t="shared" si="8"/>
        <v>153642.81599999999</v>
      </c>
      <c r="Z11" s="233"/>
    </row>
    <row r="12" spans="1:26" ht="20.25" customHeight="1" x14ac:dyDescent="0.25">
      <c r="A12" s="88"/>
      <c r="B12" s="165" t="s">
        <v>164</v>
      </c>
      <c r="C12" s="88"/>
      <c r="D12" s="109"/>
      <c r="E12" s="18"/>
      <c r="F12" s="91"/>
      <c r="G12" s="91"/>
      <c r="H12" s="91"/>
      <c r="I12" s="91"/>
      <c r="J12" s="91"/>
      <c r="K12" s="18"/>
      <c r="L12" s="91"/>
      <c r="Q12" s="329">
        <f t="shared" si="2"/>
        <v>0</v>
      </c>
      <c r="R12" s="319"/>
      <c r="S12" s="320"/>
      <c r="T12" s="320"/>
      <c r="U12" s="320"/>
      <c r="V12" s="320"/>
      <c r="W12" s="320"/>
      <c r="X12" s="319"/>
      <c r="Y12" s="320"/>
      <c r="Z12" s="233"/>
    </row>
    <row r="13" spans="1:26" ht="24" customHeight="1" x14ac:dyDescent="0.25">
      <c r="A13" s="183">
        <v>5</v>
      </c>
      <c r="B13" s="185" t="s">
        <v>165</v>
      </c>
      <c r="C13" s="183" t="s">
        <v>17</v>
      </c>
      <c r="D13" s="184">
        <v>1078.1400000000001</v>
      </c>
      <c r="E13" s="182">
        <v>335</v>
      </c>
      <c r="F13" s="182">
        <f>E13*D13</f>
        <v>361176.9</v>
      </c>
      <c r="G13" s="182">
        <f>F13*1.2</f>
        <v>433412.28</v>
      </c>
      <c r="H13" s="177"/>
      <c r="I13" s="182"/>
      <c r="J13" s="182"/>
      <c r="K13" s="176">
        <f>F13</f>
        <v>361176.9</v>
      </c>
      <c r="L13" s="182">
        <f>G13</f>
        <v>433412.28</v>
      </c>
      <c r="Q13" s="329">
        <f t="shared" si="2"/>
        <v>1078.1400000000001</v>
      </c>
      <c r="R13" s="320">
        <f>'[11]Резка+погр'!I3</f>
        <v>335</v>
      </c>
      <c r="S13" s="320">
        <f t="shared" si="3"/>
        <v>361176.9</v>
      </c>
      <c r="T13" s="320">
        <f t="shared" si="4"/>
        <v>433412.28</v>
      </c>
      <c r="U13" s="321"/>
      <c r="V13" s="320">
        <f t="shared" si="5"/>
        <v>0</v>
      </c>
      <c r="W13" s="320">
        <f t="shared" si="6"/>
        <v>0</v>
      </c>
      <c r="X13" s="319">
        <f t="shared" si="7"/>
        <v>361176.9</v>
      </c>
      <c r="Y13" s="320">
        <f t="shared" si="8"/>
        <v>433412.28</v>
      </c>
      <c r="Z13" s="233"/>
    </row>
    <row r="14" spans="1:26" ht="20.25" customHeight="1" x14ac:dyDescent="0.25">
      <c r="A14" s="304"/>
      <c r="B14" s="77" t="s">
        <v>321</v>
      </c>
      <c r="C14" s="304"/>
      <c r="D14" s="78"/>
      <c r="E14" s="79"/>
      <c r="F14" s="305"/>
      <c r="G14" s="305"/>
      <c r="H14" s="75"/>
      <c r="I14" s="305"/>
      <c r="J14" s="305"/>
      <c r="K14" s="79"/>
      <c r="L14" s="306"/>
      <c r="Q14" s="329">
        <f t="shared" si="2"/>
        <v>0</v>
      </c>
      <c r="R14" s="319"/>
      <c r="S14" s="320">
        <f t="shared" si="3"/>
        <v>0</v>
      </c>
      <c r="T14" s="320">
        <f t="shared" si="4"/>
        <v>0</v>
      </c>
      <c r="U14" s="321"/>
      <c r="V14" s="320">
        <f t="shared" si="5"/>
        <v>0</v>
      </c>
      <c r="W14" s="320">
        <f t="shared" si="6"/>
        <v>0</v>
      </c>
      <c r="X14" s="319">
        <f t="shared" si="7"/>
        <v>0</v>
      </c>
      <c r="Y14" s="320">
        <f t="shared" si="8"/>
        <v>0</v>
      </c>
      <c r="Z14" s="233"/>
    </row>
    <row r="15" spans="1:26" ht="24" customHeight="1" x14ac:dyDescent="0.25">
      <c r="A15" s="183">
        <v>6</v>
      </c>
      <c r="B15" s="178" t="s">
        <v>159</v>
      </c>
      <c r="C15" s="183" t="s">
        <v>13</v>
      </c>
      <c r="D15" s="184">
        <v>1506.74</v>
      </c>
      <c r="E15" s="176">
        <v>308.75</v>
      </c>
      <c r="F15" s="182">
        <f t="shared" ref="F15:F16" si="9">E15*D15</f>
        <v>465205.97499999998</v>
      </c>
      <c r="G15" s="182">
        <f>F15*1.2</f>
        <v>558247.16999999993</v>
      </c>
      <c r="H15" s="462"/>
      <c r="I15" s="182"/>
      <c r="J15" s="182"/>
      <c r="K15" s="176">
        <f t="shared" ref="K15:L16" si="10">F15</f>
        <v>465205.97499999998</v>
      </c>
      <c r="L15" s="182">
        <f t="shared" si="10"/>
        <v>558247.16999999993</v>
      </c>
      <c r="Q15" s="329">
        <f t="shared" si="2"/>
        <v>1506.74</v>
      </c>
      <c r="R15" s="319">
        <v>308.75</v>
      </c>
      <c r="S15" s="320">
        <f t="shared" si="3"/>
        <v>465205.97499999998</v>
      </c>
      <c r="T15" s="320">
        <f t="shared" si="4"/>
        <v>558247.16999999993</v>
      </c>
      <c r="U15" s="320"/>
      <c r="V15" s="320">
        <f t="shared" si="5"/>
        <v>0</v>
      </c>
      <c r="W15" s="320">
        <f t="shared" si="6"/>
        <v>0</v>
      </c>
      <c r="X15" s="319">
        <f t="shared" si="7"/>
        <v>465205.97499999998</v>
      </c>
      <c r="Y15" s="320">
        <f t="shared" si="8"/>
        <v>558247.16999999993</v>
      </c>
      <c r="Z15" s="233"/>
    </row>
    <row r="16" spans="1:26" ht="24" customHeight="1" x14ac:dyDescent="0.25">
      <c r="A16" s="183">
        <v>7</v>
      </c>
      <c r="B16" s="178" t="s">
        <v>320</v>
      </c>
      <c r="C16" s="183" t="s">
        <v>13</v>
      </c>
      <c r="D16" s="184">
        <v>18.98</v>
      </c>
      <c r="E16" s="176">
        <v>1688.15</v>
      </c>
      <c r="F16" s="182">
        <f t="shared" si="9"/>
        <v>32041.087000000003</v>
      </c>
      <c r="G16" s="182">
        <f>F16*1.2</f>
        <v>38449.304400000001</v>
      </c>
      <c r="H16" s="462"/>
      <c r="I16" s="182"/>
      <c r="J16" s="182"/>
      <c r="K16" s="176">
        <f t="shared" si="10"/>
        <v>32041.087000000003</v>
      </c>
      <c r="L16" s="182">
        <f t="shared" si="10"/>
        <v>38449.304400000001</v>
      </c>
      <c r="Q16" s="329">
        <f t="shared" si="2"/>
        <v>18.98</v>
      </c>
      <c r="R16" s="319">
        <v>1688.15</v>
      </c>
      <c r="S16" s="320">
        <f t="shared" si="3"/>
        <v>32041.087000000003</v>
      </c>
      <c r="T16" s="320">
        <f t="shared" si="4"/>
        <v>38449.304400000001</v>
      </c>
      <c r="U16" s="320"/>
      <c r="V16" s="320">
        <f t="shared" si="5"/>
        <v>0</v>
      </c>
      <c r="W16" s="320">
        <f t="shared" si="6"/>
        <v>0</v>
      </c>
      <c r="X16" s="319">
        <f t="shared" si="7"/>
        <v>32041.087000000003</v>
      </c>
      <c r="Y16" s="320">
        <f t="shared" si="8"/>
        <v>38449.304400000001</v>
      </c>
      <c r="Z16" s="233"/>
    </row>
    <row r="17" spans="1:27" ht="24" customHeight="1" x14ac:dyDescent="0.25">
      <c r="A17" s="88"/>
      <c r="B17" s="165" t="s">
        <v>164</v>
      </c>
      <c r="C17" s="121"/>
      <c r="D17" s="109"/>
      <c r="E17" s="91"/>
      <c r="F17" s="126"/>
      <c r="G17" s="126"/>
      <c r="H17" s="15"/>
      <c r="I17" s="91"/>
      <c r="J17" s="91"/>
      <c r="K17" s="18"/>
      <c r="L17" s="309"/>
      <c r="Q17" s="329">
        <f t="shared" si="2"/>
        <v>0</v>
      </c>
      <c r="R17" s="320"/>
      <c r="S17" s="320">
        <f t="shared" si="3"/>
        <v>0</v>
      </c>
      <c r="T17" s="320">
        <f t="shared" si="4"/>
        <v>0</v>
      </c>
      <c r="U17" s="321"/>
      <c r="V17" s="320">
        <f t="shared" si="5"/>
        <v>0</v>
      </c>
      <c r="W17" s="320">
        <f t="shared" si="6"/>
        <v>0</v>
      </c>
      <c r="X17" s="319">
        <f t="shared" si="7"/>
        <v>0</v>
      </c>
      <c r="Y17" s="320">
        <f t="shared" si="8"/>
        <v>0</v>
      </c>
      <c r="Z17" s="233"/>
    </row>
    <row r="18" spans="1:27" ht="18" customHeight="1" x14ac:dyDescent="0.25">
      <c r="A18" s="183">
        <v>8</v>
      </c>
      <c r="B18" s="178" t="s">
        <v>322</v>
      </c>
      <c r="C18" s="183" t="s">
        <v>17</v>
      </c>
      <c r="D18" s="310">
        <v>2898.87</v>
      </c>
      <c r="E18" s="177">
        <v>308.75</v>
      </c>
      <c r="F18" s="182">
        <f>E18*D18</f>
        <v>895026.11249999993</v>
      </c>
      <c r="G18" s="182">
        <f>F18*1.2</f>
        <v>1074031.335</v>
      </c>
      <c r="H18" s="177"/>
      <c r="I18" s="182"/>
      <c r="J18" s="182"/>
      <c r="K18" s="176">
        <f>F18</f>
        <v>895026.11249999993</v>
      </c>
      <c r="L18" s="182">
        <f>G18</f>
        <v>1074031.335</v>
      </c>
      <c r="Q18" s="331">
        <f>(D15+D16+D47)*1.9-(2002.19*1.9)</f>
        <v>1201.8069999999998</v>
      </c>
      <c r="R18" s="321">
        <v>308.75</v>
      </c>
      <c r="S18" s="320">
        <f t="shared" si="3"/>
        <v>371057.91124999995</v>
      </c>
      <c r="T18" s="320">
        <f t="shared" si="4"/>
        <v>445269.49349999992</v>
      </c>
      <c r="U18" s="321"/>
      <c r="V18" s="320">
        <f t="shared" si="5"/>
        <v>0</v>
      </c>
      <c r="W18" s="320">
        <f t="shared" si="6"/>
        <v>0</v>
      </c>
      <c r="X18" s="319">
        <f t="shared" si="7"/>
        <v>371057.91124999995</v>
      </c>
      <c r="Y18" s="332">
        <f t="shared" si="8"/>
        <v>445269.49349999992</v>
      </c>
      <c r="Z18" s="233">
        <f t="shared" ref="Z18" si="11">Y18-L18</f>
        <v>-628761.8415000001</v>
      </c>
      <c r="AA18" s="376" t="s">
        <v>604</v>
      </c>
    </row>
    <row r="19" spans="1:27" ht="23.25" customHeight="1" x14ac:dyDescent="0.25">
      <c r="A19" s="304"/>
      <c r="B19" s="77" t="s">
        <v>326</v>
      </c>
      <c r="C19" s="304"/>
      <c r="D19" s="304"/>
      <c r="E19" s="79"/>
      <c r="F19" s="305"/>
      <c r="G19" s="305"/>
      <c r="H19" s="75"/>
      <c r="I19" s="305"/>
      <c r="J19" s="305"/>
      <c r="K19" s="79"/>
      <c r="L19" s="306"/>
      <c r="Q19" s="329">
        <f t="shared" si="2"/>
        <v>0</v>
      </c>
      <c r="R19" s="319"/>
      <c r="S19" s="320">
        <f t="shared" si="3"/>
        <v>0</v>
      </c>
      <c r="T19" s="320">
        <f t="shared" si="4"/>
        <v>0</v>
      </c>
      <c r="U19" s="321"/>
      <c r="V19" s="320">
        <f t="shared" si="5"/>
        <v>0</v>
      </c>
      <c r="W19" s="320">
        <f t="shared" si="6"/>
        <v>0</v>
      </c>
      <c r="X19" s="319">
        <f t="shared" si="7"/>
        <v>0</v>
      </c>
      <c r="Y19" s="320">
        <f t="shared" si="8"/>
        <v>0</v>
      </c>
      <c r="Z19" s="233"/>
    </row>
    <row r="20" spans="1:27" ht="20.25" customHeight="1" x14ac:dyDescent="0.25">
      <c r="A20" s="172">
        <v>9</v>
      </c>
      <c r="B20" s="181" t="s">
        <v>142</v>
      </c>
      <c r="C20" s="172" t="s">
        <v>41</v>
      </c>
      <c r="D20" s="311">
        <v>1454.19</v>
      </c>
      <c r="E20" s="174">
        <v>77.5</v>
      </c>
      <c r="F20" s="182">
        <f>E20*D20</f>
        <v>112699.72500000001</v>
      </c>
      <c r="G20" s="182">
        <f>F20*1.2</f>
        <v>135239.67000000001</v>
      </c>
      <c r="H20" s="180"/>
      <c r="I20" s="179"/>
      <c r="J20" s="179"/>
      <c r="K20" s="176">
        <f>F20</f>
        <v>112699.72500000001</v>
      </c>
      <c r="L20" s="182">
        <f>G20</f>
        <v>135239.67000000001</v>
      </c>
      <c r="Q20" s="329">
        <f t="shared" si="2"/>
        <v>1454.19</v>
      </c>
      <c r="R20" s="319">
        <f>'[11]Резка+погр'!I4</f>
        <v>77.5</v>
      </c>
      <c r="S20" s="320">
        <f t="shared" si="3"/>
        <v>112699.72500000001</v>
      </c>
      <c r="T20" s="320">
        <f t="shared" si="4"/>
        <v>135239.67000000001</v>
      </c>
      <c r="U20" s="321"/>
      <c r="V20" s="320">
        <f t="shared" si="5"/>
        <v>0</v>
      </c>
      <c r="W20" s="320">
        <f t="shared" si="6"/>
        <v>0</v>
      </c>
      <c r="X20" s="319">
        <f t="shared" si="7"/>
        <v>112699.72500000001</v>
      </c>
      <c r="Y20" s="320">
        <f t="shared" si="8"/>
        <v>135239.67000000001</v>
      </c>
      <c r="Z20" s="233"/>
    </row>
    <row r="21" spans="1:27" ht="18.75" customHeight="1" x14ac:dyDescent="0.25">
      <c r="A21" s="38" t="s">
        <v>70</v>
      </c>
      <c r="B21" s="19" t="s">
        <v>143</v>
      </c>
      <c r="C21" s="20" t="s">
        <v>41</v>
      </c>
      <c r="D21" s="98">
        <v>1599.6090000000002</v>
      </c>
      <c r="E21" s="21"/>
      <c r="F21" s="134"/>
      <c r="G21" s="134"/>
      <c r="H21" s="134">
        <v>153.33000000000001</v>
      </c>
      <c r="I21" s="134">
        <f>H21*D21</f>
        <v>245268.04797000004</v>
      </c>
      <c r="J21" s="134">
        <f>I21*1.2</f>
        <v>294321.65756400005</v>
      </c>
      <c r="K21" s="28">
        <f>I21</f>
        <v>245268.04797000004</v>
      </c>
      <c r="L21" s="312">
        <f>J21</f>
        <v>294321.65756400005</v>
      </c>
      <c r="Q21" s="329">
        <f t="shared" si="2"/>
        <v>1599.6090000000002</v>
      </c>
      <c r="R21" s="321"/>
      <c r="S21" s="320">
        <f t="shared" si="3"/>
        <v>0</v>
      </c>
      <c r="T21" s="320">
        <f t="shared" si="4"/>
        <v>0</v>
      </c>
      <c r="U21" s="320">
        <v>153.33000000000001</v>
      </c>
      <c r="V21" s="320">
        <f t="shared" si="5"/>
        <v>245268.04797000004</v>
      </c>
      <c r="W21" s="320">
        <f t="shared" si="6"/>
        <v>294321.65756400005</v>
      </c>
      <c r="X21" s="319">
        <f t="shared" si="7"/>
        <v>245268.04797000004</v>
      </c>
      <c r="Y21" s="320">
        <f t="shared" si="8"/>
        <v>294321.65756400005</v>
      </c>
      <c r="Z21" s="233"/>
    </row>
    <row r="22" spans="1:27" ht="18.75" customHeight="1" x14ac:dyDescent="0.25">
      <c r="A22" s="183">
        <v>10</v>
      </c>
      <c r="B22" s="175" t="s">
        <v>151</v>
      </c>
      <c r="C22" s="183" t="s">
        <v>13</v>
      </c>
      <c r="D22" s="313">
        <v>536.41</v>
      </c>
      <c r="E22" s="176">
        <v>1055.45</v>
      </c>
      <c r="F22" s="182">
        <f>E22*D22</f>
        <v>566153.93449999997</v>
      </c>
      <c r="G22" s="182">
        <f>F22*1.2</f>
        <v>679384.72139999992</v>
      </c>
      <c r="H22" s="177"/>
      <c r="I22" s="182"/>
      <c r="J22" s="182"/>
      <c r="K22" s="176">
        <f>F22</f>
        <v>566153.93449999997</v>
      </c>
      <c r="L22" s="182">
        <f>G22</f>
        <v>679384.72139999992</v>
      </c>
      <c r="Q22" s="329">
        <f t="shared" si="2"/>
        <v>536.41</v>
      </c>
      <c r="R22" s="319">
        <v>1055.45</v>
      </c>
      <c r="S22" s="320">
        <f t="shared" si="3"/>
        <v>566153.93449999997</v>
      </c>
      <c r="T22" s="320">
        <f t="shared" si="4"/>
        <v>679384.72139999992</v>
      </c>
      <c r="U22" s="321"/>
      <c r="V22" s="320">
        <f t="shared" si="5"/>
        <v>0</v>
      </c>
      <c r="W22" s="320">
        <f t="shared" si="6"/>
        <v>0</v>
      </c>
      <c r="X22" s="319">
        <f t="shared" si="7"/>
        <v>566153.93449999997</v>
      </c>
      <c r="Y22" s="320">
        <f t="shared" si="8"/>
        <v>679384.72139999992</v>
      </c>
      <c r="Z22" s="233"/>
    </row>
    <row r="23" spans="1:27" ht="18.75" customHeight="1" x14ac:dyDescent="0.25">
      <c r="A23" s="38" t="s">
        <v>18</v>
      </c>
      <c r="B23" s="19" t="s">
        <v>46</v>
      </c>
      <c r="C23" s="20" t="s">
        <v>13</v>
      </c>
      <c r="D23" s="98">
        <v>590.05100000000004</v>
      </c>
      <c r="E23" s="21"/>
      <c r="F23" s="134"/>
      <c r="G23" s="134"/>
      <c r="H23" s="134">
        <v>1191.3</v>
      </c>
      <c r="I23" s="134">
        <f>H23*D23</f>
        <v>702927.75630000001</v>
      </c>
      <c r="J23" s="134">
        <f>I23*1.2</f>
        <v>843513.30755999999</v>
      </c>
      <c r="K23" s="28">
        <f>I23</f>
        <v>702927.75630000001</v>
      </c>
      <c r="L23" s="312">
        <f>J23</f>
        <v>843513.30755999999</v>
      </c>
      <c r="Q23" s="329">
        <f t="shared" si="2"/>
        <v>590.05100000000004</v>
      </c>
      <c r="R23" s="321"/>
      <c r="S23" s="320">
        <f t="shared" si="3"/>
        <v>0</v>
      </c>
      <c r="T23" s="320">
        <f t="shared" si="4"/>
        <v>0</v>
      </c>
      <c r="U23" s="320">
        <v>1191.3</v>
      </c>
      <c r="V23" s="320">
        <f t="shared" si="5"/>
        <v>702927.75630000001</v>
      </c>
      <c r="W23" s="320">
        <f t="shared" si="6"/>
        <v>843513.30755999999</v>
      </c>
      <c r="X23" s="319">
        <f t="shared" si="7"/>
        <v>702927.75630000001</v>
      </c>
      <c r="Y23" s="320">
        <f t="shared" si="8"/>
        <v>843513.30755999999</v>
      </c>
      <c r="Z23" s="233"/>
    </row>
    <row r="24" spans="1:27" ht="18.75" customHeight="1" x14ac:dyDescent="0.25">
      <c r="A24" s="183">
        <v>11</v>
      </c>
      <c r="B24" s="175" t="s">
        <v>324</v>
      </c>
      <c r="C24" s="183" t="s">
        <v>13</v>
      </c>
      <c r="D24" s="313">
        <v>257.77</v>
      </c>
      <c r="E24" s="176">
        <v>1582.99</v>
      </c>
      <c r="F24" s="182">
        <f>E24*D24</f>
        <v>408047.33229999995</v>
      </c>
      <c r="G24" s="182">
        <f>F24*1.2</f>
        <v>489656.79875999992</v>
      </c>
      <c r="H24" s="177"/>
      <c r="I24" s="182"/>
      <c r="J24" s="182"/>
      <c r="K24" s="176">
        <f>F24</f>
        <v>408047.33229999995</v>
      </c>
      <c r="L24" s="182">
        <f>G24</f>
        <v>489656.79875999992</v>
      </c>
      <c r="Q24" s="329">
        <f t="shared" si="2"/>
        <v>257.77</v>
      </c>
      <c r="R24" s="319">
        <v>1582.99</v>
      </c>
      <c r="S24" s="320">
        <f t="shared" si="3"/>
        <v>408047.33229999995</v>
      </c>
      <c r="T24" s="320">
        <f t="shared" si="4"/>
        <v>489656.79875999992</v>
      </c>
      <c r="U24" s="321"/>
      <c r="V24" s="320">
        <f t="shared" si="5"/>
        <v>0</v>
      </c>
      <c r="W24" s="320">
        <f t="shared" si="6"/>
        <v>0</v>
      </c>
      <c r="X24" s="319">
        <f t="shared" si="7"/>
        <v>408047.33229999995</v>
      </c>
      <c r="Y24" s="320">
        <f t="shared" si="8"/>
        <v>489656.79875999992</v>
      </c>
      <c r="Z24" s="233"/>
    </row>
    <row r="25" spans="1:27" ht="18.75" customHeight="1" x14ac:dyDescent="0.25">
      <c r="A25" s="38" t="s">
        <v>71</v>
      </c>
      <c r="B25" s="19" t="s">
        <v>323</v>
      </c>
      <c r="C25" s="20" t="s">
        <v>13</v>
      </c>
      <c r="D25" s="98">
        <v>324.79019999999997</v>
      </c>
      <c r="E25" s="21"/>
      <c r="F25" s="134"/>
      <c r="G25" s="134"/>
      <c r="H25" s="134">
        <v>3805.7</v>
      </c>
      <c r="I25" s="134">
        <f>H25*D25</f>
        <v>1236054.0641399999</v>
      </c>
      <c r="J25" s="134">
        <f>I25*1.2</f>
        <v>1483264.8769679999</v>
      </c>
      <c r="K25" s="28">
        <f>I25</f>
        <v>1236054.0641399999</v>
      </c>
      <c r="L25" s="312">
        <f>J25</f>
        <v>1483264.8769679999</v>
      </c>
      <c r="Q25" s="329">
        <f t="shared" si="2"/>
        <v>324.79019999999997</v>
      </c>
      <c r="R25" s="321"/>
      <c r="S25" s="320">
        <f t="shared" si="3"/>
        <v>0</v>
      </c>
      <c r="T25" s="320">
        <f t="shared" si="4"/>
        <v>0</v>
      </c>
      <c r="U25" s="320">
        <v>3805.7</v>
      </c>
      <c r="V25" s="320">
        <f t="shared" si="5"/>
        <v>1236054.0641399999</v>
      </c>
      <c r="W25" s="320">
        <f t="shared" si="6"/>
        <v>1483264.8769679999</v>
      </c>
      <c r="X25" s="319">
        <f t="shared" si="7"/>
        <v>1236054.0641399999</v>
      </c>
      <c r="Y25" s="320">
        <f t="shared" si="8"/>
        <v>1483264.8769679999</v>
      </c>
      <c r="Z25" s="233"/>
    </row>
    <row r="26" spans="1:27" ht="18.75" customHeight="1" x14ac:dyDescent="0.25">
      <c r="A26" s="183">
        <v>12</v>
      </c>
      <c r="B26" s="175" t="s">
        <v>325</v>
      </c>
      <c r="C26" s="183" t="s">
        <v>13</v>
      </c>
      <c r="D26" s="313">
        <v>181.99</v>
      </c>
      <c r="E26" s="176">
        <v>1582.99</v>
      </c>
      <c r="F26" s="182">
        <f>E26*D26</f>
        <v>288088.35010000004</v>
      </c>
      <c r="G26" s="182">
        <f>F26*1.2</f>
        <v>345706.02012000006</v>
      </c>
      <c r="H26" s="177"/>
      <c r="I26" s="182"/>
      <c r="J26" s="182"/>
      <c r="K26" s="176">
        <f>F26</f>
        <v>288088.35010000004</v>
      </c>
      <c r="L26" s="182">
        <f>G26</f>
        <v>345706.02012000006</v>
      </c>
      <c r="Q26" s="329">
        <f t="shared" si="2"/>
        <v>181.99</v>
      </c>
      <c r="R26" s="319">
        <v>1582.99</v>
      </c>
      <c r="S26" s="320">
        <f t="shared" si="3"/>
        <v>288088.35010000004</v>
      </c>
      <c r="T26" s="320">
        <f t="shared" si="4"/>
        <v>345706.02012000006</v>
      </c>
      <c r="U26" s="321"/>
      <c r="V26" s="320">
        <f t="shared" si="5"/>
        <v>0</v>
      </c>
      <c r="W26" s="320">
        <f t="shared" si="6"/>
        <v>0</v>
      </c>
      <c r="X26" s="319">
        <f t="shared" si="7"/>
        <v>288088.35010000004</v>
      </c>
      <c r="Y26" s="320">
        <f t="shared" si="8"/>
        <v>345706.02012000006</v>
      </c>
      <c r="Z26" s="233"/>
    </row>
    <row r="27" spans="1:27" ht="18.75" customHeight="1" x14ac:dyDescent="0.25">
      <c r="A27" s="38" t="s">
        <v>72</v>
      </c>
      <c r="B27" s="19" t="s">
        <v>508</v>
      </c>
      <c r="C27" s="20" t="s">
        <v>13</v>
      </c>
      <c r="D27" s="98">
        <v>229.3074</v>
      </c>
      <c r="E27" s="21"/>
      <c r="F27" s="134"/>
      <c r="G27" s="134"/>
      <c r="H27" s="134">
        <v>4206.1000000000004</v>
      </c>
      <c r="I27" s="134">
        <f>H27*D27</f>
        <v>964489.85514000012</v>
      </c>
      <c r="J27" s="134">
        <f>I27*1.2</f>
        <v>1157387.826168</v>
      </c>
      <c r="K27" s="28">
        <f>I27</f>
        <v>964489.85514000012</v>
      </c>
      <c r="L27" s="312">
        <f>J27</f>
        <v>1157387.826168</v>
      </c>
      <c r="Q27" s="329">
        <f t="shared" si="2"/>
        <v>229.3074</v>
      </c>
      <c r="R27" s="321"/>
      <c r="S27" s="320">
        <f t="shared" si="3"/>
        <v>0</v>
      </c>
      <c r="T27" s="320">
        <f t="shared" si="4"/>
        <v>0</v>
      </c>
      <c r="U27" s="320">
        <v>4206.1000000000004</v>
      </c>
      <c r="V27" s="320">
        <f t="shared" si="5"/>
        <v>964489.85514000012</v>
      </c>
      <c r="W27" s="320">
        <f t="shared" si="6"/>
        <v>1157387.826168</v>
      </c>
      <c r="X27" s="319">
        <f t="shared" si="7"/>
        <v>964489.85514000012</v>
      </c>
      <c r="Y27" s="320">
        <f t="shared" si="8"/>
        <v>1157387.826168</v>
      </c>
      <c r="Z27" s="233"/>
    </row>
    <row r="28" spans="1:27" ht="23.25" customHeight="1" x14ac:dyDescent="0.25">
      <c r="A28" s="183">
        <v>13</v>
      </c>
      <c r="B28" s="175" t="s">
        <v>102</v>
      </c>
      <c r="C28" s="183" t="s">
        <v>41</v>
      </c>
      <c r="D28" s="314">
        <v>2250.37</v>
      </c>
      <c r="E28" s="176">
        <v>1083</v>
      </c>
      <c r="F28" s="182">
        <f>E28*D28</f>
        <v>2437150.71</v>
      </c>
      <c r="G28" s="182">
        <f>F28*1.2</f>
        <v>2924580.852</v>
      </c>
      <c r="H28" s="177"/>
      <c r="I28" s="182"/>
      <c r="J28" s="182"/>
      <c r="K28" s="176">
        <f>F28</f>
        <v>2437150.71</v>
      </c>
      <c r="L28" s="182">
        <f>G28</f>
        <v>2924580.852</v>
      </c>
      <c r="Q28" s="329">
        <f t="shared" si="2"/>
        <v>2250.37</v>
      </c>
      <c r="R28" s="319">
        <v>1083</v>
      </c>
      <c r="S28" s="320">
        <f t="shared" si="3"/>
        <v>2437150.71</v>
      </c>
      <c r="T28" s="320">
        <f t="shared" si="4"/>
        <v>2924580.852</v>
      </c>
      <c r="U28" s="321"/>
      <c r="V28" s="320">
        <f t="shared" si="5"/>
        <v>0</v>
      </c>
      <c r="W28" s="320">
        <f t="shared" si="6"/>
        <v>0</v>
      </c>
      <c r="X28" s="319">
        <f t="shared" si="7"/>
        <v>2437150.71</v>
      </c>
      <c r="Y28" s="320">
        <f t="shared" si="8"/>
        <v>2924580.852</v>
      </c>
      <c r="Z28" s="233"/>
    </row>
    <row r="29" spans="1:27" ht="37.5" customHeight="1" x14ac:dyDescent="0.25">
      <c r="A29" s="38" t="s">
        <v>73</v>
      </c>
      <c r="B29" s="19" t="s">
        <v>44</v>
      </c>
      <c r="C29" s="20" t="s">
        <v>17</v>
      </c>
      <c r="D29" s="98">
        <v>279.04588000000001</v>
      </c>
      <c r="E29" s="21"/>
      <c r="F29" s="134"/>
      <c r="G29" s="134"/>
      <c r="H29" s="134">
        <v>4406.1000000000004</v>
      </c>
      <c r="I29" s="134">
        <f>H29*D29</f>
        <v>1229504.0518680001</v>
      </c>
      <c r="J29" s="134">
        <f>I29*1.2</f>
        <v>1475404.8622415999</v>
      </c>
      <c r="K29" s="28">
        <f>I29</f>
        <v>1229504.0518680001</v>
      </c>
      <c r="L29" s="312">
        <f>J29</f>
        <v>1475404.8622415999</v>
      </c>
      <c r="Q29" s="329">
        <f t="shared" si="2"/>
        <v>279.04588000000001</v>
      </c>
      <c r="R29" s="321"/>
      <c r="S29" s="320">
        <f t="shared" si="3"/>
        <v>0</v>
      </c>
      <c r="T29" s="320">
        <f t="shared" si="4"/>
        <v>0</v>
      </c>
      <c r="U29" s="320">
        <v>4406.1000000000004</v>
      </c>
      <c r="V29" s="320">
        <f t="shared" si="5"/>
        <v>1229504.0518680001</v>
      </c>
      <c r="W29" s="320">
        <f t="shared" si="6"/>
        <v>1475404.8622415999</v>
      </c>
      <c r="X29" s="319">
        <f t="shared" si="7"/>
        <v>1229504.0518680001</v>
      </c>
      <c r="Y29" s="320">
        <f t="shared" si="8"/>
        <v>1475404.8622415999</v>
      </c>
      <c r="Z29" s="233"/>
    </row>
    <row r="30" spans="1:27" ht="30.75" customHeight="1" x14ac:dyDescent="0.25">
      <c r="A30" s="183">
        <v>14</v>
      </c>
      <c r="B30" s="175" t="s">
        <v>141</v>
      </c>
      <c r="C30" s="183" t="s">
        <v>41</v>
      </c>
      <c r="D30" s="314">
        <v>2274.9</v>
      </c>
      <c r="E30" s="176">
        <v>1083</v>
      </c>
      <c r="F30" s="182">
        <f>E30*D30</f>
        <v>2463716.7000000002</v>
      </c>
      <c r="G30" s="182">
        <f>F30*1.2</f>
        <v>2956460.04</v>
      </c>
      <c r="H30" s="177"/>
      <c r="I30" s="182"/>
      <c r="J30" s="182"/>
      <c r="K30" s="176">
        <f>F30</f>
        <v>2463716.7000000002</v>
      </c>
      <c r="L30" s="182">
        <f>G30</f>
        <v>2956460.04</v>
      </c>
      <c r="Q30" s="329">
        <f t="shared" si="2"/>
        <v>2274.9</v>
      </c>
      <c r="R30" s="319">
        <v>1083</v>
      </c>
      <c r="S30" s="320">
        <f t="shared" si="3"/>
        <v>2463716.7000000002</v>
      </c>
      <c r="T30" s="320">
        <f t="shared" si="4"/>
        <v>2956460.04</v>
      </c>
      <c r="U30" s="321"/>
      <c r="V30" s="320">
        <f t="shared" si="5"/>
        <v>0</v>
      </c>
      <c r="W30" s="320">
        <f t="shared" si="6"/>
        <v>0</v>
      </c>
      <c r="X30" s="319">
        <f t="shared" si="7"/>
        <v>2463716.7000000002</v>
      </c>
      <c r="Y30" s="320">
        <f t="shared" si="8"/>
        <v>2956460.04</v>
      </c>
      <c r="Z30" s="233"/>
    </row>
    <row r="31" spans="1:27" ht="31.5" customHeight="1" x14ac:dyDescent="0.25">
      <c r="A31" s="38" t="s">
        <v>74</v>
      </c>
      <c r="B31" s="19" t="s">
        <v>43</v>
      </c>
      <c r="C31" s="20" t="s">
        <v>17</v>
      </c>
      <c r="D31" s="98">
        <v>394.92264000000006</v>
      </c>
      <c r="E31" s="21"/>
      <c r="F31" s="134"/>
      <c r="G31" s="134"/>
      <c r="H31" s="134">
        <v>4406.1000000000004</v>
      </c>
      <c r="I31" s="134">
        <f>H31*D31</f>
        <v>1740068.6441040004</v>
      </c>
      <c r="J31" s="134">
        <f>I31*1.2</f>
        <v>2088082.3729248005</v>
      </c>
      <c r="K31" s="28">
        <f>I31</f>
        <v>1740068.6441040004</v>
      </c>
      <c r="L31" s="312">
        <f>J31</f>
        <v>2088082.3729248005</v>
      </c>
      <c r="Q31" s="329">
        <f t="shared" si="2"/>
        <v>394.92264000000006</v>
      </c>
      <c r="R31" s="321"/>
      <c r="S31" s="320">
        <f t="shared" si="3"/>
        <v>0</v>
      </c>
      <c r="T31" s="320">
        <f t="shared" si="4"/>
        <v>0</v>
      </c>
      <c r="U31" s="320">
        <v>4406.1000000000004</v>
      </c>
      <c r="V31" s="320">
        <f t="shared" si="5"/>
        <v>1740068.6441040004</v>
      </c>
      <c r="W31" s="320">
        <f t="shared" si="6"/>
        <v>2088082.3729248005</v>
      </c>
      <c r="X31" s="319">
        <f t="shared" si="7"/>
        <v>1740068.6441040004</v>
      </c>
      <c r="Y31" s="320">
        <f t="shared" si="8"/>
        <v>2088082.3729248005</v>
      </c>
      <c r="Z31" s="233"/>
    </row>
    <row r="32" spans="1:27" ht="18.75" customHeight="1" x14ac:dyDescent="0.25">
      <c r="A32" s="183">
        <v>15</v>
      </c>
      <c r="B32" s="175" t="s">
        <v>45</v>
      </c>
      <c r="C32" s="183" t="s">
        <v>35</v>
      </c>
      <c r="D32" s="313">
        <v>59</v>
      </c>
      <c r="E32" s="176">
        <v>1555.15</v>
      </c>
      <c r="F32" s="182">
        <f>E32*D32</f>
        <v>91753.85</v>
      </c>
      <c r="G32" s="182">
        <f>F32*1.2</f>
        <v>110104.62000000001</v>
      </c>
      <c r="H32" s="177"/>
      <c r="I32" s="182"/>
      <c r="J32" s="182"/>
      <c r="K32" s="176">
        <f>F32</f>
        <v>91753.85</v>
      </c>
      <c r="L32" s="182">
        <f>G32</f>
        <v>110104.62000000001</v>
      </c>
      <c r="Q32" s="329">
        <f t="shared" si="2"/>
        <v>59</v>
      </c>
      <c r="R32" s="319">
        <v>1555.15</v>
      </c>
      <c r="S32" s="320">
        <f t="shared" si="3"/>
        <v>91753.85</v>
      </c>
      <c r="T32" s="320">
        <f t="shared" si="4"/>
        <v>110104.62000000001</v>
      </c>
      <c r="U32" s="321"/>
      <c r="V32" s="320">
        <f t="shared" si="5"/>
        <v>0</v>
      </c>
      <c r="W32" s="320">
        <f t="shared" si="6"/>
        <v>0</v>
      </c>
      <c r="X32" s="319">
        <f t="shared" si="7"/>
        <v>91753.85</v>
      </c>
      <c r="Y32" s="320">
        <f t="shared" si="8"/>
        <v>110104.62000000001</v>
      </c>
      <c r="Z32" s="233"/>
    </row>
    <row r="33" spans="1:26" ht="18.75" customHeight="1" x14ac:dyDescent="0.25">
      <c r="A33" s="38" t="s">
        <v>75</v>
      </c>
      <c r="B33" s="19" t="s">
        <v>47</v>
      </c>
      <c r="C33" s="20" t="s">
        <v>35</v>
      </c>
      <c r="D33" s="118">
        <v>59</v>
      </c>
      <c r="E33" s="21"/>
      <c r="F33" s="134"/>
      <c r="G33" s="134"/>
      <c r="H33" s="134">
        <v>247</v>
      </c>
      <c r="I33" s="134">
        <f>H33*D33</f>
        <v>14573</v>
      </c>
      <c r="J33" s="134">
        <f>I33*1.2</f>
        <v>17487.599999999999</v>
      </c>
      <c r="K33" s="28">
        <f>I33</f>
        <v>14573</v>
      </c>
      <c r="L33" s="312">
        <f>J33</f>
        <v>17487.599999999999</v>
      </c>
      <c r="Q33" s="329">
        <f t="shared" si="2"/>
        <v>59</v>
      </c>
      <c r="R33" s="321"/>
      <c r="S33" s="320">
        <f t="shared" si="3"/>
        <v>0</v>
      </c>
      <c r="T33" s="320">
        <f t="shared" si="4"/>
        <v>0</v>
      </c>
      <c r="U33" s="320">
        <v>247</v>
      </c>
      <c r="V33" s="320">
        <f t="shared" si="5"/>
        <v>14573</v>
      </c>
      <c r="W33" s="320">
        <f t="shared" si="6"/>
        <v>17487.599999999999</v>
      </c>
      <c r="X33" s="319">
        <f t="shared" si="7"/>
        <v>14573</v>
      </c>
      <c r="Y33" s="320">
        <f t="shared" si="8"/>
        <v>17487.599999999999</v>
      </c>
      <c r="Z33" s="233"/>
    </row>
    <row r="34" spans="1:26" ht="23.25" customHeight="1" x14ac:dyDescent="0.25">
      <c r="A34" s="304"/>
      <c r="B34" s="81" t="s">
        <v>327</v>
      </c>
      <c r="C34" s="304"/>
      <c r="D34" s="315"/>
      <c r="E34" s="79"/>
      <c r="F34" s="305"/>
      <c r="G34" s="305"/>
      <c r="H34" s="75"/>
      <c r="I34" s="305"/>
      <c r="J34" s="305"/>
      <c r="K34" s="79"/>
      <c r="L34" s="306"/>
      <c r="Q34" s="329">
        <f t="shared" si="2"/>
        <v>0</v>
      </c>
      <c r="R34" s="319"/>
      <c r="S34" s="320">
        <f t="shared" si="3"/>
        <v>0</v>
      </c>
      <c r="T34" s="320">
        <f t="shared" si="4"/>
        <v>0</v>
      </c>
      <c r="U34" s="321"/>
      <c r="V34" s="320">
        <f t="shared" si="5"/>
        <v>0</v>
      </c>
      <c r="W34" s="320">
        <f t="shared" si="6"/>
        <v>0</v>
      </c>
      <c r="X34" s="319">
        <f t="shared" si="7"/>
        <v>0</v>
      </c>
      <c r="Y34" s="320">
        <f t="shared" si="8"/>
        <v>0</v>
      </c>
      <c r="Z34" s="233"/>
    </row>
    <row r="35" spans="1:26" x14ac:dyDescent="0.25">
      <c r="A35" s="183">
        <v>16</v>
      </c>
      <c r="B35" s="185" t="s">
        <v>509</v>
      </c>
      <c r="C35" s="183" t="s">
        <v>13</v>
      </c>
      <c r="D35" s="184">
        <v>55.36</v>
      </c>
      <c r="E35" s="176">
        <v>1310.05</v>
      </c>
      <c r="F35" s="182">
        <f>E35*D35</f>
        <v>72524.368000000002</v>
      </c>
      <c r="G35" s="182">
        <f>F35*1.2</f>
        <v>87029.241599999994</v>
      </c>
      <c r="H35" s="182"/>
      <c r="I35" s="182"/>
      <c r="J35" s="182"/>
      <c r="K35" s="176">
        <f>F35</f>
        <v>72524.368000000002</v>
      </c>
      <c r="L35" s="182">
        <f>G35</f>
        <v>87029.241599999994</v>
      </c>
      <c r="Q35" s="329">
        <f t="shared" si="2"/>
        <v>55.36</v>
      </c>
      <c r="R35" s="319">
        <v>1310.05</v>
      </c>
      <c r="S35" s="320">
        <f t="shared" si="3"/>
        <v>72524.368000000002</v>
      </c>
      <c r="T35" s="320">
        <f t="shared" si="4"/>
        <v>87029.241599999994</v>
      </c>
      <c r="U35" s="320"/>
      <c r="V35" s="320">
        <f t="shared" si="5"/>
        <v>0</v>
      </c>
      <c r="W35" s="320">
        <f t="shared" si="6"/>
        <v>0</v>
      </c>
      <c r="X35" s="319">
        <f t="shared" si="7"/>
        <v>72524.368000000002</v>
      </c>
      <c r="Y35" s="320">
        <f t="shared" si="8"/>
        <v>87029.241599999994</v>
      </c>
      <c r="Z35" s="233"/>
    </row>
    <row r="36" spans="1:26" ht="19.5" customHeight="1" x14ac:dyDescent="0.25">
      <c r="A36" s="38" t="s">
        <v>76</v>
      </c>
      <c r="B36" s="19" t="s">
        <v>136</v>
      </c>
      <c r="C36" s="114" t="s">
        <v>13</v>
      </c>
      <c r="D36" s="115">
        <v>60.896000000000001</v>
      </c>
      <c r="E36" s="28"/>
      <c r="F36" s="134"/>
      <c r="G36" s="134"/>
      <c r="H36" s="134">
        <v>1191.3</v>
      </c>
      <c r="I36" s="134">
        <f>H36*D36</f>
        <v>72545.404800000004</v>
      </c>
      <c r="J36" s="134">
        <f>I36*1.2</f>
        <v>87054.485759999996</v>
      </c>
      <c r="K36" s="28">
        <f>I36</f>
        <v>72545.404800000004</v>
      </c>
      <c r="L36" s="312">
        <f>J36</f>
        <v>87054.485759999996</v>
      </c>
      <c r="Q36" s="329">
        <f t="shared" si="2"/>
        <v>60.896000000000001</v>
      </c>
      <c r="R36" s="319"/>
      <c r="S36" s="320">
        <f t="shared" si="3"/>
        <v>0</v>
      </c>
      <c r="T36" s="320">
        <f t="shared" si="4"/>
        <v>0</v>
      </c>
      <c r="U36" s="320">
        <v>1191.3</v>
      </c>
      <c r="V36" s="320">
        <f t="shared" si="5"/>
        <v>72545.404800000004</v>
      </c>
      <c r="W36" s="320">
        <f t="shared" si="6"/>
        <v>87054.485759999996</v>
      </c>
      <c r="X36" s="319">
        <f t="shared" si="7"/>
        <v>72545.404800000004</v>
      </c>
      <c r="Y36" s="320">
        <f t="shared" si="8"/>
        <v>87054.485759999996</v>
      </c>
      <c r="Z36" s="233"/>
    </row>
    <row r="37" spans="1:26" ht="19.5" customHeight="1" x14ac:dyDescent="0.25">
      <c r="A37" s="183">
        <v>17</v>
      </c>
      <c r="B37" s="178" t="s">
        <v>510</v>
      </c>
      <c r="C37" s="183" t="s">
        <v>13</v>
      </c>
      <c r="D37" s="184">
        <v>55.36</v>
      </c>
      <c r="E37" s="176">
        <v>188.1</v>
      </c>
      <c r="F37" s="182">
        <f>E37*D37</f>
        <v>10413.216</v>
      </c>
      <c r="G37" s="182">
        <f>F37*1.2</f>
        <v>12495.859200000001</v>
      </c>
      <c r="H37" s="176"/>
      <c r="I37" s="182"/>
      <c r="J37" s="182"/>
      <c r="K37" s="176">
        <f t="shared" ref="K37:L38" si="12">F37</f>
        <v>10413.216</v>
      </c>
      <c r="L37" s="182">
        <f t="shared" si="12"/>
        <v>12495.859200000001</v>
      </c>
      <c r="Q37" s="329">
        <f t="shared" si="2"/>
        <v>55.36</v>
      </c>
      <c r="R37" s="319">
        <v>188.1</v>
      </c>
      <c r="S37" s="320">
        <f t="shared" si="3"/>
        <v>10413.216</v>
      </c>
      <c r="T37" s="320">
        <f t="shared" si="4"/>
        <v>12495.859200000001</v>
      </c>
      <c r="U37" s="319"/>
      <c r="V37" s="320">
        <f t="shared" si="5"/>
        <v>0</v>
      </c>
      <c r="W37" s="320">
        <f t="shared" si="6"/>
        <v>0</v>
      </c>
      <c r="X37" s="319">
        <f t="shared" si="7"/>
        <v>10413.216</v>
      </c>
      <c r="Y37" s="320">
        <f t="shared" si="8"/>
        <v>12495.859200000001</v>
      </c>
      <c r="Z37" s="233"/>
    </row>
    <row r="38" spans="1:26" ht="29.25" customHeight="1" x14ac:dyDescent="0.25">
      <c r="A38" s="172">
        <v>18</v>
      </c>
      <c r="B38" s="181" t="s">
        <v>511</v>
      </c>
      <c r="C38" s="172" t="s">
        <v>13</v>
      </c>
      <c r="D38" s="189">
        <v>52.82</v>
      </c>
      <c r="E38" s="174">
        <v>304.06</v>
      </c>
      <c r="F38" s="182">
        <f>E38*D38</f>
        <v>16060.449200000001</v>
      </c>
      <c r="G38" s="182">
        <f>F38*1.2</f>
        <v>19272.53904</v>
      </c>
      <c r="H38" s="180"/>
      <c r="I38" s="179"/>
      <c r="J38" s="179"/>
      <c r="K38" s="176">
        <f t="shared" si="12"/>
        <v>16060.449200000001</v>
      </c>
      <c r="L38" s="182">
        <f t="shared" si="12"/>
        <v>19272.53904</v>
      </c>
      <c r="Q38" s="329">
        <f t="shared" si="2"/>
        <v>52.82</v>
      </c>
      <c r="R38" s="319">
        <v>304.06</v>
      </c>
      <c r="S38" s="320">
        <f t="shared" si="3"/>
        <v>16060.449200000001</v>
      </c>
      <c r="T38" s="320">
        <f t="shared" si="4"/>
        <v>19272.53904</v>
      </c>
      <c r="U38" s="321"/>
      <c r="V38" s="320">
        <f t="shared" si="5"/>
        <v>0</v>
      </c>
      <c r="W38" s="320">
        <f t="shared" si="6"/>
        <v>0</v>
      </c>
      <c r="X38" s="319">
        <f t="shared" si="7"/>
        <v>16060.449200000001</v>
      </c>
      <c r="Y38" s="320">
        <f t="shared" si="8"/>
        <v>19272.53904</v>
      </c>
      <c r="Z38" s="233"/>
    </row>
    <row r="39" spans="1:26" ht="18.75" customHeight="1" x14ac:dyDescent="0.25">
      <c r="A39" s="38" t="s">
        <v>77</v>
      </c>
      <c r="B39" s="68" t="s">
        <v>105</v>
      </c>
      <c r="C39" s="114" t="s">
        <v>13</v>
      </c>
      <c r="D39" s="153">
        <v>52.82</v>
      </c>
      <c r="E39" s="28"/>
      <c r="F39" s="134"/>
      <c r="G39" s="134"/>
      <c r="H39" s="134">
        <v>1262.44</v>
      </c>
      <c r="I39" s="134">
        <f>H39*D39</f>
        <v>66682.080799999996</v>
      </c>
      <c r="J39" s="134">
        <f>I39*1.2</f>
        <v>80018.496959999989</v>
      </c>
      <c r="K39" s="28">
        <f>I39</f>
        <v>66682.080799999996</v>
      </c>
      <c r="L39" s="312">
        <f>J39</f>
        <v>80018.496959999989</v>
      </c>
      <c r="Q39" s="329">
        <f t="shared" si="2"/>
        <v>52.82</v>
      </c>
      <c r="R39" s="319"/>
      <c r="S39" s="320">
        <f t="shared" si="3"/>
        <v>0</v>
      </c>
      <c r="T39" s="320">
        <f t="shared" si="4"/>
        <v>0</v>
      </c>
      <c r="U39" s="320">
        <v>1262.44</v>
      </c>
      <c r="V39" s="320">
        <f t="shared" si="5"/>
        <v>66682.080799999996</v>
      </c>
      <c r="W39" s="320">
        <f t="shared" si="6"/>
        <v>80018.496959999989</v>
      </c>
      <c r="X39" s="319">
        <f t="shared" si="7"/>
        <v>66682.080799999996</v>
      </c>
      <c r="Y39" s="320">
        <f t="shared" si="8"/>
        <v>80018.496959999989</v>
      </c>
      <c r="Z39" s="233"/>
    </row>
    <row r="40" spans="1:26" ht="29.25" customHeight="1" x14ac:dyDescent="0.25">
      <c r="A40" s="172">
        <v>19</v>
      </c>
      <c r="B40" s="181" t="s">
        <v>512</v>
      </c>
      <c r="C40" s="172" t="s">
        <v>13</v>
      </c>
      <c r="D40" s="189">
        <v>55.36</v>
      </c>
      <c r="E40" s="174">
        <v>304.06</v>
      </c>
      <c r="F40" s="182">
        <f>E40*D40</f>
        <v>16832.761600000002</v>
      </c>
      <c r="G40" s="182">
        <f>F40*1.2</f>
        <v>20199.313920000001</v>
      </c>
      <c r="H40" s="180"/>
      <c r="I40" s="179"/>
      <c r="J40" s="179"/>
      <c r="K40" s="176">
        <f>F40</f>
        <v>16832.761600000002</v>
      </c>
      <c r="L40" s="182">
        <f>G40</f>
        <v>20199.313920000001</v>
      </c>
      <c r="Q40" s="329">
        <f t="shared" si="2"/>
        <v>55.36</v>
      </c>
      <c r="R40" s="319">
        <v>304.06</v>
      </c>
      <c r="S40" s="320">
        <f t="shared" si="3"/>
        <v>16832.761600000002</v>
      </c>
      <c r="T40" s="320">
        <f t="shared" si="4"/>
        <v>20199.313920000001</v>
      </c>
      <c r="U40" s="321"/>
      <c r="V40" s="320">
        <f t="shared" si="5"/>
        <v>0</v>
      </c>
      <c r="W40" s="320">
        <f t="shared" si="6"/>
        <v>0</v>
      </c>
      <c r="X40" s="319">
        <f t="shared" si="7"/>
        <v>16832.761600000002</v>
      </c>
      <c r="Y40" s="320">
        <f t="shared" si="8"/>
        <v>20199.313920000001</v>
      </c>
      <c r="Z40" s="233"/>
    </row>
    <row r="41" spans="1:26" ht="18.75" customHeight="1" x14ac:dyDescent="0.25">
      <c r="A41" s="38" t="s">
        <v>78</v>
      </c>
      <c r="B41" s="68" t="s">
        <v>105</v>
      </c>
      <c r="C41" s="114" t="s">
        <v>13</v>
      </c>
      <c r="D41" s="153">
        <v>55.36</v>
      </c>
      <c r="E41" s="28"/>
      <c r="F41" s="134"/>
      <c r="G41" s="134"/>
      <c r="H41" s="134">
        <v>1262.44</v>
      </c>
      <c r="I41" s="134">
        <f>H41*D41</f>
        <v>69888.678400000004</v>
      </c>
      <c r="J41" s="134">
        <f>I41*1.2</f>
        <v>83866.414080000002</v>
      </c>
      <c r="K41" s="28">
        <f>I41</f>
        <v>69888.678400000004</v>
      </c>
      <c r="L41" s="312">
        <f>J41</f>
        <v>83866.414080000002</v>
      </c>
      <c r="Q41" s="329">
        <f t="shared" si="2"/>
        <v>55.36</v>
      </c>
      <c r="R41" s="319"/>
      <c r="S41" s="320">
        <f t="shared" si="3"/>
        <v>0</v>
      </c>
      <c r="T41" s="320">
        <f t="shared" si="4"/>
        <v>0</v>
      </c>
      <c r="U41" s="320">
        <v>1262.44</v>
      </c>
      <c r="V41" s="320">
        <f t="shared" si="5"/>
        <v>69888.678400000004</v>
      </c>
      <c r="W41" s="320">
        <f t="shared" si="6"/>
        <v>83866.414080000002</v>
      </c>
      <c r="X41" s="319">
        <f t="shared" si="7"/>
        <v>69888.678400000004</v>
      </c>
      <c r="Y41" s="320">
        <f t="shared" si="8"/>
        <v>83866.414080000002</v>
      </c>
      <c r="Z41" s="233"/>
    </row>
    <row r="42" spans="1:26" ht="18.75" customHeight="1" x14ac:dyDescent="0.25">
      <c r="A42" s="183">
        <v>20</v>
      </c>
      <c r="B42" s="175" t="s">
        <v>53</v>
      </c>
      <c r="C42" s="183" t="s">
        <v>41</v>
      </c>
      <c r="D42" s="314">
        <v>804.98</v>
      </c>
      <c r="E42" s="176">
        <v>104.5</v>
      </c>
      <c r="F42" s="182">
        <f>E42*D42</f>
        <v>84120.41</v>
      </c>
      <c r="G42" s="182">
        <f>F42*1.2</f>
        <v>100944.492</v>
      </c>
      <c r="H42" s="177"/>
      <c r="I42" s="182"/>
      <c r="J42" s="182"/>
      <c r="K42" s="176">
        <f>F42</f>
        <v>84120.41</v>
      </c>
      <c r="L42" s="182">
        <f>G42</f>
        <v>100944.492</v>
      </c>
      <c r="Q42" s="329">
        <f t="shared" si="2"/>
        <v>804.98</v>
      </c>
      <c r="R42" s="319">
        <v>104.5</v>
      </c>
      <c r="S42" s="320">
        <f t="shared" si="3"/>
        <v>84120.41</v>
      </c>
      <c r="T42" s="320">
        <f t="shared" si="4"/>
        <v>100944.492</v>
      </c>
      <c r="U42" s="321"/>
      <c r="V42" s="320">
        <f t="shared" si="5"/>
        <v>0</v>
      </c>
      <c r="W42" s="320">
        <f t="shared" si="6"/>
        <v>0</v>
      </c>
      <c r="X42" s="319">
        <f t="shared" si="7"/>
        <v>84120.41</v>
      </c>
      <c r="Y42" s="320">
        <f t="shared" si="8"/>
        <v>100944.492</v>
      </c>
      <c r="Z42" s="233"/>
    </row>
    <row r="43" spans="1:26" ht="18.75" customHeight="1" x14ac:dyDescent="0.25">
      <c r="A43" s="38" t="s">
        <v>139</v>
      </c>
      <c r="B43" s="68" t="s">
        <v>54</v>
      </c>
      <c r="C43" s="114" t="s">
        <v>58</v>
      </c>
      <c r="D43" s="153">
        <v>2.25</v>
      </c>
      <c r="E43" s="28"/>
      <c r="F43" s="134"/>
      <c r="G43" s="134"/>
      <c r="H43" s="134">
        <v>461.7</v>
      </c>
      <c r="I43" s="134">
        <f t="shared" ref="I43:I45" si="13">H43*D43</f>
        <v>1038.825</v>
      </c>
      <c r="J43" s="134">
        <f t="shared" ref="J43:J45" si="14">I43*1.2</f>
        <v>1246.5899999999999</v>
      </c>
      <c r="K43" s="28">
        <f t="shared" ref="K43:L45" si="15">I43</f>
        <v>1038.825</v>
      </c>
      <c r="L43" s="312">
        <f t="shared" si="15"/>
        <v>1246.5899999999999</v>
      </c>
      <c r="Q43" s="329">
        <f t="shared" si="2"/>
        <v>2.25</v>
      </c>
      <c r="R43" s="319"/>
      <c r="S43" s="320">
        <f t="shared" si="3"/>
        <v>0</v>
      </c>
      <c r="T43" s="320">
        <f t="shared" si="4"/>
        <v>0</v>
      </c>
      <c r="U43" s="320">
        <v>461.7</v>
      </c>
      <c r="V43" s="320">
        <f t="shared" si="5"/>
        <v>1038.825</v>
      </c>
      <c r="W43" s="320">
        <f t="shared" si="6"/>
        <v>1246.5899999999999</v>
      </c>
      <c r="X43" s="319">
        <f t="shared" si="7"/>
        <v>1038.825</v>
      </c>
      <c r="Y43" s="320">
        <f t="shared" si="8"/>
        <v>1246.5899999999999</v>
      </c>
      <c r="Z43" s="233"/>
    </row>
    <row r="44" spans="1:26" ht="18.75" customHeight="1" x14ac:dyDescent="0.25">
      <c r="A44" s="38" t="s">
        <v>200</v>
      </c>
      <c r="B44" s="68" t="s">
        <v>55</v>
      </c>
      <c r="C44" s="114" t="s">
        <v>58</v>
      </c>
      <c r="D44" s="153">
        <v>1.78</v>
      </c>
      <c r="E44" s="28"/>
      <c r="F44" s="134"/>
      <c r="G44" s="134"/>
      <c r="H44" s="134">
        <v>615.6</v>
      </c>
      <c r="I44" s="134">
        <f t="shared" si="13"/>
        <v>1095.768</v>
      </c>
      <c r="J44" s="134">
        <f t="shared" si="14"/>
        <v>1314.9215999999999</v>
      </c>
      <c r="K44" s="28">
        <f t="shared" si="15"/>
        <v>1095.768</v>
      </c>
      <c r="L44" s="312">
        <f t="shared" si="15"/>
        <v>1314.9215999999999</v>
      </c>
      <c r="Q44" s="329">
        <f t="shared" si="2"/>
        <v>1.78</v>
      </c>
      <c r="R44" s="319"/>
      <c r="S44" s="320">
        <f t="shared" si="3"/>
        <v>0</v>
      </c>
      <c r="T44" s="320">
        <f t="shared" si="4"/>
        <v>0</v>
      </c>
      <c r="U44" s="320">
        <v>615.6</v>
      </c>
      <c r="V44" s="320">
        <f t="shared" si="5"/>
        <v>1095.768</v>
      </c>
      <c r="W44" s="320">
        <f t="shared" si="6"/>
        <v>1314.9215999999999</v>
      </c>
      <c r="X44" s="319">
        <f t="shared" si="7"/>
        <v>1095.768</v>
      </c>
      <c r="Y44" s="320">
        <f t="shared" si="8"/>
        <v>1314.9215999999999</v>
      </c>
      <c r="Z44" s="233"/>
    </row>
    <row r="45" spans="1:26" ht="18.75" customHeight="1" x14ac:dyDescent="0.25">
      <c r="A45" s="38" t="s">
        <v>201</v>
      </c>
      <c r="B45" s="68" t="s">
        <v>56</v>
      </c>
      <c r="C45" s="114" t="s">
        <v>58</v>
      </c>
      <c r="D45" s="153">
        <v>1.61</v>
      </c>
      <c r="E45" s="28"/>
      <c r="F45" s="134"/>
      <c r="G45" s="134"/>
      <c r="H45" s="134">
        <v>1201.75</v>
      </c>
      <c r="I45" s="134">
        <f t="shared" si="13"/>
        <v>1934.8175000000001</v>
      </c>
      <c r="J45" s="134">
        <f t="shared" si="14"/>
        <v>2321.7809999999999</v>
      </c>
      <c r="K45" s="28">
        <f t="shared" si="15"/>
        <v>1934.8175000000001</v>
      </c>
      <c r="L45" s="312">
        <f t="shared" si="15"/>
        <v>2321.7809999999999</v>
      </c>
      <c r="Q45" s="329">
        <f t="shared" si="2"/>
        <v>1.61</v>
      </c>
      <c r="R45" s="319"/>
      <c r="S45" s="320">
        <f t="shared" si="3"/>
        <v>0</v>
      </c>
      <c r="T45" s="320">
        <f t="shared" si="4"/>
        <v>0</v>
      </c>
      <c r="U45" s="320">
        <v>1201.75</v>
      </c>
      <c r="V45" s="320">
        <f t="shared" si="5"/>
        <v>1934.8175000000001</v>
      </c>
      <c r="W45" s="320">
        <f t="shared" si="6"/>
        <v>2321.7809999999999</v>
      </c>
      <c r="X45" s="319">
        <f t="shared" si="7"/>
        <v>1934.8175000000001</v>
      </c>
      <c r="Y45" s="320">
        <f t="shared" si="8"/>
        <v>2321.7809999999999</v>
      </c>
      <c r="Z45" s="233"/>
    </row>
    <row r="46" spans="1:26" ht="23.25" customHeight="1" x14ac:dyDescent="0.25">
      <c r="A46" s="304"/>
      <c r="B46" s="81" t="s">
        <v>513</v>
      </c>
      <c r="C46" s="304"/>
      <c r="D46" s="315"/>
      <c r="E46" s="79"/>
      <c r="F46" s="305"/>
      <c r="G46" s="305"/>
      <c r="H46" s="75"/>
      <c r="I46" s="305"/>
      <c r="J46" s="305"/>
      <c r="K46" s="79"/>
      <c r="L46" s="306"/>
      <c r="Q46" s="329">
        <f t="shared" si="2"/>
        <v>0</v>
      </c>
      <c r="R46" s="319"/>
      <c r="S46" s="320">
        <f t="shared" si="3"/>
        <v>0</v>
      </c>
      <c r="T46" s="320">
        <f t="shared" si="4"/>
        <v>0</v>
      </c>
      <c r="U46" s="321"/>
      <c r="V46" s="320">
        <f t="shared" si="5"/>
        <v>0</v>
      </c>
      <c r="W46" s="320">
        <f t="shared" si="6"/>
        <v>0</v>
      </c>
      <c r="X46" s="319">
        <f t="shared" si="7"/>
        <v>0</v>
      </c>
      <c r="Y46" s="320">
        <f t="shared" si="8"/>
        <v>0</v>
      </c>
      <c r="Z46" s="233"/>
    </row>
    <row r="47" spans="1:26" ht="28.5" customHeight="1" x14ac:dyDescent="0.25">
      <c r="A47" s="183">
        <f>A42+1</f>
        <v>21</v>
      </c>
      <c r="B47" s="178" t="s">
        <v>159</v>
      </c>
      <c r="C47" s="183" t="s">
        <v>13</v>
      </c>
      <c r="D47" s="184">
        <v>1109</v>
      </c>
      <c r="E47" s="176">
        <v>308.75</v>
      </c>
      <c r="F47" s="182">
        <f>E47*D47</f>
        <v>342403.75</v>
      </c>
      <c r="G47" s="182">
        <f>F47*1.2</f>
        <v>410884.5</v>
      </c>
      <c r="H47" s="462"/>
      <c r="I47" s="182"/>
      <c r="J47" s="182"/>
      <c r="K47" s="176">
        <f>F47</f>
        <v>342403.75</v>
      </c>
      <c r="L47" s="182">
        <f>G47</f>
        <v>410884.5</v>
      </c>
      <c r="Q47" s="329">
        <f t="shared" si="2"/>
        <v>1109</v>
      </c>
      <c r="R47" s="319">
        <v>308.75</v>
      </c>
      <c r="S47" s="320">
        <f t="shared" si="3"/>
        <v>342403.75</v>
      </c>
      <c r="T47" s="320">
        <f t="shared" si="4"/>
        <v>410884.5</v>
      </c>
      <c r="U47" s="320"/>
      <c r="V47" s="320">
        <f t="shared" si="5"/>
        <v>0</v>
      </c>
      <c r="W47" s="320">
        <f t="shared" si="6"/>
        <v>0</v>
      </c>
      <c r="X47" s="319">
        <f t="shared" si="7"/>
        <v>342403.75</v>
      </c>
      <c r="Y47" s="320">
        <f t="shared" si="8"/>
        <v>410884.5</v>
      </c>
      <c r="Z47" s="233"/>
    </row>
    <row r="48" spans="1:26" ht="24" customHeight="1" x14ac:dyDescent="0.25">
      <c r="A48" s="88"/>
      <c r="B48" s="165" t="s">
        <v>164</v>
      </c>
      <c r="C48" s="121"/>
      <c r="D48" s="109"/>
      <c r="E48" s="91"/>
      <c r="F48" s="126"/>
      <c r="G48" s="126"/>
      <c r="H48" s="15"/>
      <c r="I48" s="91"/>
      <c r="J48" s="91"/>
      <c r="K48" s="18"/>
      <c r="L48" s="309"/>
      <c r="Q48" s="329">
        <f t="shared" si="2"/>
        <v>0</v>
      </c>
      <c r="R48" s="320"/>
      <c r="S48" s="320">
        <f t="shared" si="3"/>
        <v>0</v>
      </c>
      <c r="T48" s="320">
        <f t="shared" si="4"/>
        <v>0</v>
      </c>
      <c r="U48" s="321"/>
      <c r="V48" s="320">
        <f t="shared" si="5"/>
        <v>0</v>
      </c>
      <c r="W48" s="320">
        <f t="shared" si="6"/>
        <v>0</v>
      </c>
      <c r="X48" s="319">
        <f t="shared" si="7"/>
        <v>0</v>
      </c>
      <c r="Y48" s="320">
        <f t="shared" si="8"/>
        <v>0</v>
      </c>
      <c r="Z48" s="233"/>
    </row>
    <row r="49" spans="1:27" ht="18" customHeight="1" x14ac:dyDescent="0.25">
      <c r="A49" s="183">
        <f>A47+1</f>
        <v>22</v>
      </c>
      <c r="B49" s="178" t="s">
        <v>322</v>
      </c>
      <c r="C49" s="183" t="s">
        <v>17</v>
      </c>
      <c r="D49" s="184">
        <v>1752.22</v>
      </c>
      <c r="E49" s="177">
        <v>0</v>
      </c>
      <c r="F49" s="182">
        <f t="shared" ref="F49" si="16">ROUND(E49*D49,2)</f>
        <v>0</v>
      </c>
      <c r="G49" s="182">
        <f t="shared" ref="G49" si="17">ROUND(F49*1.2,2)</f>
        <v>0</v>
      </c>
      <c r="H49" s="177"/>
      <c r="I49" s="182"/>
      <c r="J49" s="182"/>
      <c r="K49" s="176">
        <f t="shared" ref="K49:L49" si="18">F49+I49</f>
        <v>0</v>
      </c>
      <c r="L49" s="182">
        <f t="shared" si="18"/>
        <v>0</v>
      </c>
      <c r="Q49" s="329">
        <v>0</v>
      </c>
      <c r="R49" s="321">
        <v>308.75</v>
      </c>
      <c r="S49" s="320">
        <f t="shared" si="3"/>
        <v>0</v>
      </c>
      <c r="T49" s="320">
        <f t="shared" si="4"/>
        <v>0</v>
      </c>
      <c r="U49" s="321"/>
      <c r="V49" s="320">
        <f t="shared" si="5"/>
        <v>0</v>
      </c>
      <c r="W49" s="320">
        <f t="shared" si="6"/>
        <v>0</v>
      </c>
      <c r="X49" s="319">
        <f t="shared" si="7"/>
        <v>0</v>
      </c>
      <c r="Y49" s="320">
        <f t="shared" si="8"/>
        <v>0</v>
      </c>
      <c r="Z49" s="233"/>
    </row>
    <row r="50" spans="1:27" ht="21.75" customHeight="1" x14ac:dyDescent="0.25">
      <c r="A50" s="640" t="s">
        <v>14</v>
      </c>
      <c r="B50" s="641"/>
      <c r="C50" s="641"/>
      <c r="D50" s="641"/>
      <c r="E50" s="642"/>
      <c r="F50" s="40">
        <f>SUM(F8:F49)</f>
        <v>10115671.552400002</v>
      </c>
      <c r="G50" s="40">
        <f>SUM(G8:G49)</f>
        <v>12138805.862880001</v>
      </c>
      <c r="I50" s="40">
        <f>SUM(I8:I49)</f>
        <v>6346070.9940219996</v>
      </c>
      <c r="J50" s="40">
        <f>SUM(J8:J49)</f>
        <v>7615285.1928263986</v>
      </c>
      <c r="K50" s="40">
        <f>SUM(K8:K49)</f>
        <v>16461742.546422001</v>
      </c>
      <c r="L50" s="40">
        <f>SUM(L8:L49)</f>
        <v>19754091.0557064</v>
      </c>
      <c r="Q50" s="330"/>
      <c r="R50" s="330"/>
      <c r="S50" s="322">
        <f>SUM(S8:S49)</f>
        <v>9591703.3511500005</v>
      </c>
      <c r="T50" s="322">
        <f t="shared" ref="T50:Y50" si="19">SUM(T8:T49)</f>
        <v>11510044.02138</v>
      </c>
      <c r="U50" s="322">
        <f t="shared" si="19"/>
        <v>24410.859999999997</v>
      </c>
      <c r="V50" s="322">
        <f t="shared" si="19"/>
        <v>6346070.9940219996</v>
      </c>
      <c r="W50" s="322">
        <f t="shared" si="19"/>
        <v>7615285.1928263986</v>
      </c>
      <c r="X50" s="322">
        <f t="shared" si="19"/>
        <v>15937774.345171999</v>
      </c>
      <c r="Y50" s="322">
        <f t="shared" si="19"/>
        <v>19125329.214206398</v>
      </c>
      <c r="Z50" s="443">
        <f>SUM(Z8:Z49)</f>
        <v>-628761.8415000001</v>
      </c>
    </row>
    <row r="52" spans="1:27" x14ac:dyDescent="0.25">
      <c r="B52" s="455" t="s">
        <v>339</v>
      </c>
    </row>
    <row r="53" spans="1:27" x14ac:dyDescent="0.25">
      <c r="B53" s="456" t="s">
        <v>340</v>
      </c>
      <c r="Y53" s="478"/>
      <c r="AA53" s="479"/>
    </row>
  </sheetData>
  <mergeCells count="10">
    <mergeCell ref="B6:D6"/>
    <mergeCell ref="A50:E50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3:Z49">
    <cfRule type="cellIs" dxfId="7" priority="2" operator="lessThan">
      <formula>0</formula>
    </cfRule>
  </conditionalFormatting>
  <conditionalFormatting sqref="Z3:Z49">
    <cfRule type="cellIs" dxfId="6" priority="1" operator="greaterThan">
      <formula>0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60D9-311E-4627-918D-0AAEAB2856CE}">
  <sheetPr>
    <tabColor rgb="FFFFFF00"/>
  </sheetPr>
  <dimension ref="A1:AA115"/>
  <sheetViews>
    <sheetView topLeftCell="C22" zoomScale="55" zoomScaleNormal="55" zoomScaleSheetLayoutView="100" workbookViewId="0">
      <selection activeCell="L30" sqref="L30"/>
    </sheetView>
  </sheetViews>
  <sheetFormatPr defaultColWidth="8.85546875" defaultRowHeight="15" x14ac:dyDescent="0.25"/>
  <cols>
    <col min="1" max="1" width="12.140625" style="64" bestFit="1" customWidth="1"/>
    <col min="2" max="2" width="65.140625" style="64" customWidth="1"/>
    <col min="3" max="3" width="12.28515625" style="64" customWidth="1"/>
    <col min="4" max="4" width="11" style="64" bestFit="1" customWidth="1"/>
    <col min="5" max="5" width="15.140625" style="64" customWidth="1"/>
    <col min="6" max="6" width="16" style="64" customWidth="1"/>
    <col min="7" max="7" width="17.140625" style="43" customWidth="1"/>
    <col min="8" max="8" width="16.140625" style="43" customWidth="1"/>
    <col min="9" max="12" width="16.140625" style="64" customWidth="1"/>
    <col min="13" max="16" width="0" style="64" hidden="1" customWidth="1"/>
    <col min="17" max="17" width="11" style="377" bestFit="1" customWidth="1"/>
    <col min="18" max="18" width="15.140625" style="377" customWidth="1"/>
    <col min="19" max="19" width="16" style="377" customWidth="1"/>
    <col min="20" max="20" width="17.140625" style="454" customWidth="1"/>
    <col min="21" max="21" width="16.140625" style="454" customWidth="1"/>
    <col min="22" max="25" width="16.140625" style="377" customWidth="1"/>
    <col min="26" max="26" width="17.140625" style="215" customWidth="1"/>
    <col min="27" max="27" width="51.85546875" style="64" customWidth="1"/>
    <col min="28" max="16384" width="8.85546875" style="64"/>
  </cols>
  <sheetData>
    <row r="1" spans="1:26" ht="14.45" customHeight="1" x14ac:dyDescent="0.25">
      <c r="A1" s="628" t="s">
        <v>0</v>
      </c>
      <c r="B1" s="631" t="s">
        <v>1</v>
      </c>
      <c r="C1" s="634" t="s">
        <v>2</v>
      </c>
      <c r="D1" s="634" t="s">
        <v>3</v>
      </c>
      <c r="E1" s="635" t="s">
        <v>4</v>
      </c>
      <c r="F1" s="636"/>
      <c r="G1" s="636"/>
      <c r="H1" s="636"/>
      <c r="I1" s="636"/>
      <c r="J1" s="636"/>
      <c r="K1" s="636"/>
      <c r="L1" s="636"/>
      <c r="Q1" s="643" t="s">
        <v>3</v>
      </c>
      <c r="R1" s="644" t="s">
        <v>4</v>
      </c>
      <c r="S1" s="645"/>
      <c r="T1" s="645"/>
      <c r="U1" s="645"/>
      <c r="V1" s="645"/>
      <c r="W1" s="645"/>
      <c r="X1" s="645"/>
      <c r="Y1" s="645"/>
    </row>
    <row r="2" spans="1:26" ht="14.45" customHeight="1" x14ac:dyDescent="0.25">
      <c r="A2" s="629"/>
      <c r="B2" s="632"/>
      <c r="C2" s="634"/>
      <c r="D2" s="634"/>
      <c r="E2" s="637"/>
      <c r="F2" s="638"/>
      <c r="G2" s="638"/>
      <c r="H2" s="638"/>
      <c r="I2" s="638"/>
      <c r="J2" s="638"/>
      <c r="K2" s="638"/>
      <c r="L2" s="638"/>
      <c r="Q2" s="643"/>
      <c r="R2" s="646"/>
      <c r="S2" s="647"/>
      <c r="T2" s="647"/>
      <c r="U2" s="647"/>
      <c r="V2" s="647"/>
      <c r="W2" s="647"/>
      <c r="X2" s="647"/>
      <c r="Y2" s="647"/>
      <c r="Z2" s="223"/>
    </row>
    <row r="3" spans="1:26" ht="27.75" customHeight="1" x14ac:dyDescent="0.25">
      <c r="A3" s="629"/>
      <c r="B3" s="632"/>
      <c r="C3" s="634"/>
      <c r="D3" s="634"/>
      <c r="E3" s="634" t="s">
        <v>5</v>
      </c>
      <c r="F3" s="634"/>
      <c r="G3" s="634"/>
      <c r="H3" s="634" t="s">
        <v>6</v>
      </c>
      <c r="I3" s="634"/>
      <c r="J3" s="634"/>
      <c r="K3" s="611" t="s">
        <v>7</v>
      </c>
      <c r="L3" s="611"/>
      <c r="Q3" s="643"/>
      <c r="R3" s="643" t="s">
        <v>5</v>
      </c>
      <c r="S3" s="643"/>
      <c r="T3" s="643"/>
      <c r="U3" s="643" t="s">
        <v>6</v>
      </c>
      <c r="V3" s="643"/>
      <c r="W3" s="643"/>
      <c r="X3" s="648" t="s">
        <v>7</v>
      </c>
      <c r="Y3" s="648"/>
      <c r="Z3" s="233"/>
    </row>
    <row r="4" spans="1:26" ht="56.1" customHeight="1" x14ac:dyDescent="0.25">
      <c r="A4" s="630"/>
      <c r="B4" s="633"/>
      <c r="C4" s="634"/>
      <c r="D4" s="634"/>
      <c r="E4" s="410" t="s">
        <v>8</v>
      </c>
      <c r="F4" s="410" t="s">
        <v>9</v>
      </c>
      <c r="G4" s="1" t="s">
        <v>10</v>
      </c>
      <c r="H4" s="410" t="s">
        <v>8</v>
      </c>
      <c r="I4" s="410" t="s">
        <v>9</v>
      </c>
      <c r="J4" s="1" t="s">
        <v>10</v>
      </c>
      <c r="K4" s="410" t="s">
        <v>11</v>
      </c>
      <c r="L4" s="410" t="s">
        <v>12</v>
      </c>
      <c r="Q4" s="643"/>
      <c r="R4" s="2" t="s">
        <v>8</v>
      </c>
      <c r="S4" s="2" t="s">
        <v>9</v>
      </c>
      <c r="T4" s="438" t="s">
        <v>10</v>
      </c>
      <c r="U4" s="2" t="s">
        <v>8</v>
      </c>
      <c r="V4" s="2" t="s">
        <v>9</v>
      </c>
      <c r="W4" s="438" t="s">
        <v>10</v>
      </c>
      <c r="X4" s="2" t="s">
        <v>11</v>
      </c>
      <c r="Y4" s="2" t="s">
        <v>12</v>
      </c>
      <c r="Z4" s="233"/>
    </row>
    <row r="5" spans="1:26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4"/>
      <c r="Q5" s="398">
        <v>4</v>
      </c>
      <c r="R5" s="398">
        <v>5</v>
      </c>
      <c r="S5" s="398">
        <v>6</v>
      </c>
      <c r="T5" s="398">
        <v>7</v>
      </c>
      <c r="U5" s="377"/>
      <c r="Z5" s="233"/>
    </row>
    <row r="6" spans="1:26" ht="20.25" customHeight="1" x14ac:dyDescent="0.25">
      <c r="A6" s="6"/>
      <c r="B6" s="617" t="s">
        <v>652</v>
      </c>
      <c r="C6" s="618"/>
      <c r="D6" s="618"/>
      <c r="E6" s="7"/>
      <c r="F6" s="8"/>
      <c r="G6" s="9"/>
      <c r="H6" s="9"/>
      <c r="I6" s="9"/>
      <c r="J6" s="9"/>
      <c r="K6" s="9"/>
      <c r="L6" s="9"/>
      <c r="R6" s="433"/>
      <c r="S6" s="434"/>
      <c r="T6" s="431"/>
      <c r="U6" s="431"/>
      <c r="V6" s="431"/>
      <c r="W6" s="431"/>
      <c r="X6" s="431"/>
      <c r="Y6" s="431"/>
      <c r="Z6" s="233"/>
    </row>
    <row r="7" spans="1:26" ht="20.25" customHeight="1" x14ac:dyDescent="0.25">
      <c r="A7" s="412"/>
      <c r="B7" s="380" t="s">
        <v>315</v>
      </c>
      <c r="C7" s="88"/>
      <c r="D7" s="89"/>
      <c r="E7" s="413"/>
      <c r="F7" s="381"/>
      <c r="G7" s="414"/>
      <c r="H7" s="444"/>
      <c r="I7" s="111"/>
      <c r="J7" s="111"/>
      <c r="K7" s="415"/>
      <c r="L7" s="111"/>
      <c r="Q7" s="435"/>
      <c r="R7" s="436"/>
      <c r="S7" s="436"/>
      <c r="T7" s="439"/>
      <c r="U7" s="132"/>
      <c r="V7" s="432"/>
      <c r="W7" s="432"/>
      <c r="X7" s="25"/>
      <c r="Y7" s="432"/>
      <c r="Z7" s="233"/>
    </row>
    <row r="8" spans="1:26" ht="20.25" customHeight="1" x14ac:dyDescent="0.25">
      <c r="A8" s="416" t="s">
        <v>653</v>
      </c>
      <c r="B8" s="171" t="s">
        <v>317</v>
      </c>
      <c r="C8" s="172" t="s">
        <v>15</v>
      </c>
      <c r="D8" s="173">
        <v>68.959999999999994</v>
      </c>
      <c r="E8" s="179">
        <v>1800</v>
      </c>
      <c r="F8" s="179">
        <f>ROUND(E8*D8,2)</f>
        <v>124128</v>
      </c>
      <c r="G8" s="179">
        <f>ROUND(F8*1.2,2)</f>
        <v>148953.60000000001</v>
      </c>
      <c r="H8" s="180"/>
      <c r="I8" s="179"/>
      <c r="J8" s="179"/>
      <c r="K8" s="174">
        <f t="shared" ref="K8:L11" si="0">F8+I8</f>
        <v>124128</v>
      </c>
      <c r="L8" s="179">
        <f t="shared" si="0"/>
        <v>148953.60000000001</v>
      </c>
      <c r="Q8" s="437">
        <v>68.959999999999994</v>
      </c>
      <c r="R8" s="432">
        <v>1800</v>
      </c>
      <c r="S8" s="432">
        <f>Q8*R8</f>
        <v>124127.99999999999</v>
      </c>
      <c r="T8" s="432">
        <f>1.2*S8</f>
        <v>148953.59999999998</v>
      </c>
      <c r="U8" s="27"/>
      <c r="V8" s="432">
        <f t="shared" ref="V8:V43" si="1">Q8*U8</f>
        <v>0</v>
      </c>
      <c r="W8" s="432">
        <f t="shared" ref="W8:W43" si="2">1.2*V8</f>
        <v>0</v>
      </c>
      <c r="X8" s="25">
        <f t="shared" ref="X8:Y23" si="3">S8+V8</f>
        <v>124127.99999999999</v>
      </c>
      <c r="Y8" s="432">
        <f t="shared" si="3"/>
        <v>148953.59999999998</v>
      </c>
      <c r="Z8" s="233"/>
    </row>
    <row r="9" spans="1:26" ht="20.25" customHeight="1" x14ac:dyDescent="0.25">
      <c r="A9" s="417">
        <f>A8+1</f>
        <v>2</v>
      </c>
      <c r="B9" s="178" t="s">
        <v>318</v>
      </c>
      <c r="C9" s="183" t="s">
        <v>13</v>
      </c>
      <c r="D9" s="184">
        <v>9.8699999999999992</v>
      </c>
      <c r="E9" s="182">
        <f>ROUND(65055.24/(297.03*0.05),2)</f>
        <v>4380.38</v>
      </c>
      <c r="F9" s="418">
        <f>ROUND(E9*D9,2)</f>
        <v>43234.35</v>
      </c>
      <c r="G9" s="418">
        <f>ROUND(F9*1.2,2)</f>
        <v>51881.22</v>
      </c>
      <c r="H9" s="177"/>
      <c r="I9" s="418"/>
      <c r="J9" s="418"/>
      <c r="K9" s="419">
        <f t="shared" si="0"/>
        <v>43234.35</v>
      </c>
      <c r="L9" s="418">
        <f t="shared" si="0"/>
        <v>51881.22</v>
      </c>
      <c r="Q9" s="437">
        <v>9.8699999999999992</v>
      </c>
      <c r="R9" s="432">
        <f>ROUND(65055.24/(297.03*0.05),2)</f>
        <v>4380.38</v>
      </c>
      <c r="S9" s="432">
        <f t="shared" ref="S9:S43" si="4">Q9*R9</f>
        <v>43234.350599999998</v>
      </c>
      <c r="T9" s="432">
        <f t="shared" ref="T9:T43" si="5">1.2*S9</f>
        <v>51881.220719999998</v>
      </c>
      <c r="U9" s="27"/>
      <c r="V9" s="432">
        <f t="shared" si="1"/>
        <v>0</v>
      </c>
      <c r="W9" s="432">
        <f t="shared" si="2"/>
        <v>0</v>
      </c>
      <c r="X9" s="25">
        <f t="shared" si="3"/>
        <v>43234.350599999998</v>
      </c>
      <c r="Y9" s="432">
        <f t="shared" si="3"/>
        <v>51881.220719999998</v>
      </c>
      <c r="Z9" s="233"/>
    </row>
    <row r="10" spans="1:26" ht="20.25" customHeight="1" x14ac:dyDescent="0.25">
      <c r="A10" s="417">
        <f>A9+1</f>
        <v>3</v>
      </c>
      <c r="B10" s="178" t="s">
        <v>319</v>
      </c>
      <c r="C10" s="183" t="s">
        <v>13</v>
      </c>
      <c r="D10" s="184">
        <v>16.45</v>
      </c>
      <c r="E10" s="176">
        <v>304</v>
      </c>
      <c r="F10" s="418">
        <f>ROUND(E10*D10,2)</f>
        <v>5000.8</v>
      </c>
      <c r="G10" s="418">
        <f>ROUND(F10*1.2,2)</f>
        <v>6000.96</v>
      </c>
      <c r="H10" s="418"/>
      <c r="I10" s="418"/>
      <c r="J10" s="418"/>
      <c r="K10" s="419">
        <f t="shared" si="0"/>
        <v>5000.8</v>
      </c>
      <c r="L10" s="418">
        <f t="shared" si="0"/>
        <v>6000.96</v>
      </c>
      <c r="Q10" s="437">
        <v>16.45</v>
      </c>
      <c r="R10" s="25">
        <v>304</v>
      </c>
      <c r="S10" s="432">
        <f t="shared" si="4"/>
        <v>5000.8</v>
      </c>
      <c r="T10" s="432">
        <f t="shared" si="5"/>
        <v>6000.96</v>
      </c>
      <c r="U10" s="432"/>
      <c r="V10" s="432">
        <f t="shared" si="1"/>
        <v>0</v>
      </c>
      <c r="W10" s="432">
        <f t="shared" si="2"/>
        <v>0</v>
      </c>
      <c r="X10" s="25">
        <f t="shared" si="3"/>
        <v>5000.8</v>
      </c>
      <c r="Y10" s="432">
        <f t="shared" si="3"/>
        <v>6000.96</v>
      </c>
      <c r="Z10" s="233"/>
    </row>
    <row r="11" spans="1:26" ht="20.25" customHeight="1" x14ac:dyDescent="0.25">
      <c r="A11" s="417">
        <f>A10+1</f>
        <v>4</v>
      </c>
      <c r="B11" s="178" t="s">
        <v>165</v>
      </c>
      <c r="C11" s="183" t="s">
        <v>17</v>
      </c>
      <c r="D11" s="184">
        <v>40.799999999999997</v>
      </c>
      <c r="E11" s="182">
        <v>335</v>
      </c>
      <c r="F11" s="418">
        <f>ROUND(E11*D11,2)</f>
        <v>13668</v>
      </c>
      <c r="G11" s="418">
        <f>ROUND(F11*1.2,2)</f>
        <v>16401.599999999999</v>
      </c>
      <c r="H11" s="177"/>
      <c r="I11" s="418"/>
      <c r="J11" s="418"/>
      <c r="K11" s="419">
        <f t="shared" si="0"/>
        <v>13668</v>
      </c>
      <c r="L11" s="418">
        <f t="shared" si="0"/>
        <v>16401.599999999999</v>
      </c>
      <c r="Q11" s="437">
        <v>40.799999999999997</v>
      </c>
      <c r="R11" s="432">
        <v>335</v>
      </c>
      <c r="S11" s="432">
        <f t="shared" si="4"/>
        <v>13667.999999999998</v>
      </c>
      <c r="T11" s="432">
        <f t="shared" si="5"/>
        <v>16401.599999999999</v>
      </c>
      <c r="U11" s="27"/>
      <c r="V11" s="432">
        <f t="shared" si="1"/>
        <v>0</v>
      </c>
      <c r="W11" s="432">
        <f t="shared" si="2"/>
        <v>0</v>
      </c>
      <c r="X11" s="25">
        <f t="shared" si="3"/>
        <v>13667.999999999998</v>
      </c>
      <c r="Y11" s="432">
        <f t="shared" si="3"/>
        <v>16401.599999999999</v>
      </c>
      <c r="Z11" s="233"/>
    </row>
    <row r="12" spans="1:26" ht="18.75" customHeight="1" x14ac:dyDescent="0.25">
      <c r="A12" s="11"/>
      <c r="B12" s="420" t="s">
        <v>59</v>
      </c>
      <c r="C12" s="121"/>
      <c r="D12" s="421"/>
      <c r="E12" s="15"/>
      <c r="F12" s="91"/>
      <c r="G12" s="91"/>
      <c r="H12" s="15"/>
      <c r="I12" s="91"/>
      <c r="J12" s="91"/>
      <c r="K12" s="18"/>
      <c r="L12" s="91"/>
      <c r="Q12" s="435"/>
      <c r="R12" s="27"/>
      <c r="S12" s="432">
        <f t="shared" si="4"/>
        <v>0</v>
      </c>
      <c r="T12" s="432">
        <f t="shared" si="5"/>
        <v>0</v>
      </c>
      <c r="U12" s="27"/>
      <c r="V12" s="432">
        <f t="shared" si="1"/>
        <v>0</v>
      </c>
      <c r="W12" s="432">
        <f t="shared" si="2"/>
        <v>0</v>
      </c>
      <c r="X12" s="25">
        <f t="shared" si="3"/>
        <v>0</v>
      </c>
      <c r="Y12" s="432">
        <f t="shared" si="3"/>
        <v>0</v>
      </c>
      <c r="Z12" s="233"/>
    </row>
    <row r="13" spans="1:26" ht="18.75" customHeight="1" x14ac:dyDescent="0.25">
      <c r="A13" s="422">
        <f>A11+1</f>
        <v>5</v>
      </c>
      <c r="B13" s="178" t="s">
        <v>654</v>
      </c>
      <c r="C13" s="183" t="s">
        <v>13</v>
      </c>
      <c r="D13" s="184">
        <v>52.96</v>
      </c>
      <c r="E13" s="177">
        <v>308.75</v>
      </c>
      <c r="F13" s="418">
        <f>ROUND(E13*D13,2)</f>
        <v>16351.4</v>
      </c>
      <c r="G13" s="418">
        <f>ROUND(F13*1.2,2)</f>
        <v>19621.68</v>
      </c>
      <c r="H13" s="177"/>
      <c r="I13" s="182"/>
      <c r="J13" s="182"/>
      <c r="K13" s="176">
        <f t="shared" ref="K13:L25" si="6">F13+I13</f>
        <v>16351.4</v>
      </c>
      <c r="L13" s="182">
        <f t="shared" si="6"/>
        <v>19621.68</v>
      </c>
      <c r="Q13" s="437">
        <v>52.96</v>
      </c>
      <c r="R13" s="27">
        <v>308.75</v>
      </c>
      <c r="S13" s="432">
        <f t="shared" si="4"/>
        <v>16351.4</v>
      </c>
      <c r="T13" s="432">
        <f t="shared" si="5"/>
        <v>19621.68</v>
      </c>
      <c r="U13" s="27"/>
      <c r="V13" s="432">
        <f t="shared" si="1"/>
        <v>0</v>
      </c>
      <c r="W13" s="432">
        <f t="shared" si="2"/>
        <v>0</v>
      </c>
      <c r="X13" s="25">
        <f t="shared" si="3"/>
        <v>16351.4</v>
      </c>
      <c r="Y13" s="432">
        <f t="shared" si="3"/>
        <v>19621.68</v>
      </c>
      <c r="Z13" s="233"/>
    </row>
    <row r="14" spans="1:26" ht="18.75" customHeight="1" x14ac:dyDescent="0.25">
      <c r="A14" s="422">
        <f>A13+1</f>
        <v>6</v>
      </c>
      <c r="B14" s="178" t="s">
        <v>320</v>
      </c>
      <c r="C14" s="183" t="s">
        <v>13</v>
      </c>
      <c r="D14" s="184">
        <v>1.08</v>
      </c>
      <c r="E14" s="177">
        <v>1688.15</v>
      </c>
      <c r="F14" s="418">
        <f>ROUND(E14*D14,2)</f>
        <v>1823.2</v>
      </c>
      <c r="G14" s="418">
        <f>ROUND(F14*1.2,2)</f>
        <v>2187.84</v>
      </c>
      <c r="H14" s="177"/>
      <c r="I14" s="182"/>
      <c r="J14" s="182"/>
      <c r="K14" s="176">
        <f t="shared" si="6"/>
        <v>1823.2</v>
      </c>
      <c r="L14" s="182">
        <f t="shared" si="6"/>
        <v>2187.84</v>
      </c>
      <c r="Q14" s="437">
        <v>1.08</v>
      </c>
      <c r="R14" s="27">
        <v>1688.15</v>
      </c>
      <c r="S14" s="432">
        <f t="shared" si="4"/>
        <v>1823.2020000000002</v>
      </c>
      <c r="T14" s="432">
        <f t="shared" si="5"/>
        <v>2187.8424</v>
      </c>
      <c r="U14" s="27"/>
      <c r="V14" s="432">
        <f t="shared" si="1"/>
        <v>0</v>
      </c>
      <c r="W14" s="432">
        <f t="shared" si="2"/>
        <v>0</v>
      </c>
      <c r="X14" s="25">
        <f t="shared" si="3"/>
        <v>1823.2020000000002</v>
      </c>
      <c r="Y14" s="432">
        <f t="shared" si="3"/>
        <v>2187.8424</v>
      </c>
      <c r="Z14" s="233"/>
    </row>
    <row r="15" spans="1:26" ht="20.25" customHeight="1" x14ac:dyDescent="0.25">
      <c r="A15" s="423">
        <f>A14+1</f>
        <v>7</v>
      </c>
      <c r="B15" s="178" t="s">
        <v>655</v>
      </c>
      <c r="C15" s="183" t="s">
        <v>13</v>
      </c>
      <c r="D15" s="184">
        <v>6.12</v>
      </c>
      <c r="E15" s="177">
        <v>1310.05</v>
      </c>
      <c r="F15" s="418">
        <f>ROUND(E15*D15,2)</f>
        <v>8017.51</v>
      </c>
      <c r="G15" s="418">
        <f>ROUND(F15*1.2,2)</f>
        <v>9621.01</v>
      </c>
      <c r="H15" s="445"/>
      <c r="I15" s="424"/>
      <c r="J15" s="424"/>
      <c r="K15" s="176">
        <f t="shared" si="6"/>
        <v>8017.51</v>
      </c>
      <c r="L15" s="182">
        <f t="shared" si="6"/>
        <v>9621.01</v>
      </c>
      <c r="Q15" s="437">
        <v>6.12</v>
      </c>
      <c r="R15" s="27">
        <v>1310.05</v>
      </c>
      <c r="S15" s="432">
        <f t="shared" si="4"/>
        <v>8017.5060000000003</v>
      </c>
      <c r="T15" s="432">
        <f t="shared" si="5"/>
        <v>9621.0072</v>
      </c>
      <c r="U15" s="132"/>
      <c r="V15" s="432">
        <f t="shared" si="1"/>
        <v>0</v>
      </c>
      <c r="W15" s="432">
        <f t="shared" si="2"/>
        <v>0</v>
      </c>
      <c r="X15" s="25">
        <f t="shared" si="3"/>
        <v>8017.5060000000003</v>
      </c>
      <c r="Y15" s="432">
        <f t="shared" si="3"/>
        <v>9621.0072</v>
      </c>
      <c r="Z15" s="233"/>
    </row>
    <row r="16" spans="1:26" ht="20.25" customHeight="1" x14ac:dyDescent="0.25">
      <c r="A16" s="38" t="s">
        <v>69</v>
      </c>
      <c r="B16" s="19" t="s">
        <v>136</v>
      </c>
      <c r="C16" s="114" t="s">
        <v>13</v>
      </c>
      <c r="D16" s="115">
        <f>(6.12)*1.1</f>
        <v>6.7320000000000011</v>
      </c>
      <c r="E16" s="21"/>
      <c r="F16" s="22"/>
      <c r="G16" s="22"/>
      <c r="H16" s="22">
        <v>1191.3</v>
      </c>
      <c r="I16" s="22">
        <f>ROUND(H16*D16,2)</f>
        <v>8019.83</v>
      </c>
      <c r="J16" s="22">
        <f>ROUND(I16*1.2,2)</f>
        <v>9623.7999999999993</v>
      </c>
      <c r="K16" s="23">
        <f t="shared" si="6"/>
        <v>8019.83</v>
      </c>
      <c r="L16" s="22">
        <f t="shared" si="6"/>
        <v>9623.7999999999993</v>
      </c>
      <c r="Q16" s="437">
        <f>(6.12)*1.1</f>
        <v>6.7320000000000011</v>
      </c>
      <c r="R16" s="27"/>
      <c r="S16" s="432">
        <f t="shared" si="4"/>
        <v>0</v>
      </c>
      <c r="T16" s="432">
        <f t="shared" si="5"/>
        <v>0</v>
      </c>
      <c r="U16" s="432">
        <v>1191.3</v>
      </c>
      <c r="V16" s="432">
        <f t="shared" si="1"/>
        <v>8019.8316000000013</v>
      </c>
      <c r="W16" s="432">
        <f t="shared" si="2"/>
        <v>9623.7979200000009</v>
      </c>
      <c r="X16" s="25">
        <f t="shared" si="3"/>
        <v>8019.8316000000013</v>
      </c>
      <c r="Y16" s="432">
        <f t="shared" si="3"/>
        <v>9623.7979200000009</v>
      </c>
      <c r="Z16" s="233"/>
    </row>
    <row r="17" spans="1:27" ht="28.5" customHeight="1" x14ac:dyDescent="0.25">
      <c r="A17" s="423">
        <f>A15+1</f>
        <v>8</v>
      </c>
      <c r="B17" s="178" t="s">
        <v>656</v>
      </c>
      <c r="C17" s="183" t="s">
        <v>13</v>
      </c>
      <c r="D17" s="184">
        <v>15.4</v>
      </c>
      <c r="E17" s="177">
        <v>1310.05</v>
      </c>
      <c r="F17" s="418">
        <f>ROUND(E17*D17,2)</f>
        <v>20174.77</v>
      </c>
      <c r="G17" s="418">
        <f>ROUND(F17*1.2,2)</f>
        <v>24209.72</v>
      </c>
      <c r="H17" s="445"/>
      <c r="I17" s="182"/>
      <c r="J17" s="182"/>
      <c r="K17" s="176">
        <f t="shared" si="6"/>
        <v>20174.77</v>
      </c>
      <c r="L17" s="182">
        <f t="shared" si="6"/>
        <v>24209.72</v>
      </c>
      <c r="Q17" s="437">
        <v>15.4</v>
      </c>
      <c r="R17" s="27">
        <v>1310.05</v>
      </c>
      <c r="S17" s="432">
        <f t="shared" si="4"/>
        <v>20174.77</v>
      </c>
      <c r="T17" s="432">
        <f t="shared" si="5"/>
        <v>24209.723999999998</v>
      </c>
      <c r="U17" s="132"/>
      <c r="V17" s="432">
        <f t="shared" si="1"/>
        <v>0</v>
      </c>
      <c r="W17" s="432">
        <f t="shared" si="2"/>
        <v>0</v>
      </c>
      <c r="X17" s="25">
        <f t="shared" si="3"/>
        <v>20174.77</v>
      </c>
      <c r="Y17" s="432">
        <f t="shared" si="3"/>
        <v>24209.723999999998</v>
      </c>
      <c r="Z17" s="233"/>
    </row>
    <row r="18" spans="1:27" ht="20.25" customHeight="1" x14ac:dyDescent="0.25">
      <c r="A18" s="38" t="s">
        <v>643</v>
      </c>
      <c r="B18" s="19" t="s">
        <v>136</v>
      </c>
      <c r="C18" s="114" t="s">
        <v>13</v>
      </c>
      <c r="D18" s="115">
        <f>(15.34)*1.1</f>
        <v>16.874000000000002</v>
      </c>
      <c r="E18" s="21"/>
      <c r="F18" s="22"/>
      <c r="G18" s="22"/>
      <c r="H18" s="22">
        <v>1191.3</v>
      </c>
      <c r="I18" s="22">
        <f>ROUND(H18*D18,2)</f>
        <v>20102</v>
      </c>
      <c r="J18" s="22">
        <f>ROUND(I18*1.2,2)</f>
        <v>24122.400000000001</v>
      </c>
      <c r="K18" s="23">
        <f t="shared" si="6"/>
        <v>20102</v>
      </c>
      <c r="L18" s="22">
        <f t="shared" si="6"/>
        <v>24122.400000000001</v>
      </c>
      <c r="Q18" s="437">
        <f>(15.34)*1.1</f>
        <v>16.874000000000002</v>
      </c>
      <c r="R18" s="27"/>
      <c r="S18" s="432">
        <f t="shared" si="4"/>
        <v>0</v>
      </c>
      <c r="T18" s="432">
        <f t="shared" si="5"/>
        <v>0</v>
      </c>
      <c r="U18" s="432">
        <v>1191.3</v>
      </c>
      <c r="V18" s="432">
        <f t="shared" si="1"/>
        <v>20101.996200000001</v>
      </c>
      <c r="W18" s="432">
        <f t="shared" si="2"/>
        <v>24122.39544</v>
      </c>
      <c r="X18" s="25">
        <f t="shared" si="3"/>
        <v>20101.996200000001</v>
      </c>
      <c r="Y18" s="432">
        <f t="shared" si="3"/>
        <v>24122.39544</v>
      </c>
      <c r="Z18" s="233"/>
    </row>
    <row r="19" spans="1:27" ht="18" customHeight="1" x14ac:dyDescent="0.25">
      <c r="A19" s="423">
        <f>A17+1</f>
        <v>9</v>
      </c>
      <c r="B19" s="178" t="s">
        <v>509</v>
      </c>
      <c r="C19" s="183" t="s">
        <v>13</v>
      </c>
      <c r="D19" s="184">
        <v>19</v>
      </c>
      <c r="E19" s="177">
        <v>1310.05</v>
      </c>
      <c r="F19" s="418">
        <f>ROUND(E19*D19,2)</f>
        <v>24890.95</v>
      </c>
      <c r="G19" s="418">
        <f>ROUND(F19*1.2,2)</f>
        <v>29869.14</v>
      </c>
      <c r="H19" s="445"/>
      <c r="I19" s="182"/>
      <c r="J19" s="182"/>
      <c r="K19" s="176">
        <f t="shared" si="6"/>
        <v>24890.95</v>
      </c>
      <c r="L19" s="182">
        <f t="shared" si="6"/>
        <v>29869.14</v>
      </c>
      <c r="Q19" s="437">
        <v>19</v>
      </c>
      <c r="R19" s="27">
        <v>1310.05</v>
      </c>
      <c r="S19" s="432">
        <f t="shared" si="4"/>
        <v>24890.95</v>
      </c>
      <c r="T19" s="432">
        <f t="shared" si="5"/>
        <v>29869.14</v>
      </c>
      <c r="U19" s="132"/>
      <c r="V19" s="432">
        <f t="shared" si="1"/>
        <v>0</v>
      </c>
      <c r="W19" s="432">
        <f t="shared" si="2"/>
        <v>0</v>
      </c>
      <c r="X19" s="25">
        <f t="shared" si="3"/>
        <v>24890.95</v>
      </c>
      <c r="Y19" s="432">
        <f t="shared" si="3"/>
        <v>29869.14</v>
      </c>
      <c r="Z19" s="233"/>
    </row>
    <row r="20" spans="1:27" ht="20.25" customHeight="1" x14ac:dyDescent="0.25">
      <c r="A20" s="38" t="s">
        <v>70</v>
      </c>
      <c r="B20" s="19" t="s">
        <v>136</v>
      </c>
      <c r="C20" s="114" t="s">
        <v>13</v>
      </c>
      <c r="D20" s="115">
        <f>(19)*1.1</f>
        <v>20.900000000000002</v>
      </c>
      <c r="E20" s="21"/>
      <c r="F20" s="22"/>
      <c r="G20" s="22"/>
      <c r="H20" s="22">
        <v>1191.3</v>
      </c>
      <c r="I20" s="22">
        <f>ROUND(H20*D20,2)</f>
        <v>24898.17</v>
      </c>
      <c r="J20" s="22">
        <f>ROUND(I20*1.2,2)</f>
        <v>29877.8</v>
      </c>
      <c r="K20" s="23">
        <f t="shared" si="6"/>
        <v>24898.17</v>
      </c>
      <c r="L20" s="22">
        <f t="shared" si="6"/>
        <v>29877.8</v>
      </c>
      <c r="Q20" s="437">
        <f>(19)*1.1</f>
        <v>20.900000000000002</v>
      </c>
      <c r="R20" s="27"/>
      <c r="S20" s="432">
        <f t="shared" si="4"/>
        <v>0</v>
      </c>
      <c r="T20" s="432">
        <f t="shared" si="5"/>
        <v>0</v>
      </c>
      <c r="U20" s="432">
        <v>1191.3</v>
      </c>
      <c r="V20" s="432">
        <f t="shared" si="1"/>
        <v>24898.170000000002</v>
      </c>
      <c r="W20" s="432">
        <f t="shared" si="2"/>
        <v>29877.804</v>
      </c>
      <c r="X20" s="25">
        <f t="shared" si="3"/>
        <v>24898.170000000002</v>
      </c>
      <c r="Y20" s="432">
        <f t="shared" si="3"/>
        <v>29877.804</v>
      </c>
      <c r="Z20" s="233"/>
    </row>
    <row r="21" spans="1:27" ht="20.25" customHeight="1" x14ac:dyDescent="0.25">
      <c r="A21" s="183">
        <f>A19+1</f>
        <v>10</v>
      </c>
      <c r="B21" s="178" t="s">
        <v>657</v>
      </c>
      <c r="C21" s="183" t="s">
        <v>13</v>
      </c>
      <c r="D21" s="184">
        <v>24.7</v>
      </c>
      <c r="E21" s="177">
        <v>1350.8999999999999</v>
      </c>
      <c r="F21" s="182">
        <f>ROUND(E21*D21,2)</f>
        <v>33367.230000000003</v>
      </c>
      <c r="G21" s="182">
        <f>ROUND(F21*1.2,2)</f>
        <v>40040.68</v>
      </c>
      <c r="H21" s="177"/>
      <c r="I21" s="182"/>
      <c r="J21" s="182"/>
      <c r="K21" s="176">
        <f t="shared" si="6"/>
        <v>33367.230000000003</v>
      </c>
      <c r="L21" s="182">
        <f t="shared" si="6"/>
        <v>40040.68</v>
      </c>
      <c r="Q21" s="437">
        <v>24.7</v>
      </c>
      <c r="R21" s="27">
        <v>1350.8999999999999</v>
      </c>
      <c r="S21" s="432">
        <f t="shared" si="4"/>
        <v>33367.229999999996</v>
      </c>
      <c r="T21" s="432">
        <f t="shared" si="5"/>
        <v>40040.675999999992</v>
      </c>
      <c r="U21" s="27"/>
      <c r="V21" s="432">
        <f t="shared" si="1"/>
        <v>0</v>
      </c>
      <c r="W21" s="432">
        <f t="shared" si="2"/>
        <v>0</v>
      </c>
      <c r="X21" s="25">
        <f t="shared" si="3"/>
        <v>33367.229999999996</v>
      </c>
      <c r="Y21" s="432">
        <f t="shared" si="3"/>
        <v>40040.675999999992</v>
      </c>
      <c r="Z21" s="233"/>
    </row>
    <row r="22" spans="1:27" ht="20.25" customHeight="1" x14ac:dyDescent="0.25">
      <c r="A22" s="38" t="s">
        <v>18</v>
      </c>
      <c r="B22" s="19" t="s">
        <v>658</v>
      </c>
      <c r="C22" s="114" t="s">
        <v>13</v>
      </c>
      <c r="D22" s="115">
        <f>24.7*1.26</f>
        <v>31.122</v>
      </c>
      <c r="E22" s="21"/>
      <c r="F22" s="134"/>
      <c r="G22" s="134"/>
      <c r="H22" s="21">
        <v>1299.5999999999999</v>
      </c>
      <c r="I22" s="22">
        <f>ROUND(H22*D22,2)</f>
        <v>40446.15</v>
      </c>
      <c r="J22" s="22">
        <f>ROUND(I22*1.2,2)</f>
        <v>48535.38</v>
      </c>
      <c r="K22" s="23">
        <f t="shared" si="6"/>
        <v>40446.15</v>
      </c>
      <c r="L22" s="22">
        <f t="shared" si="6"/>
        <v>48535.38</v>
      </c>
      <c r="Q22" s="437">
        <f>24.7*1.26</f>
        <v>31.122</v>
      </c>
      <c r="R22" s="27"/>
      <c r="S22" s="432">
        <f t="shared" si="4"/>
        <v>0</v>
      </c>
      <c r="T22" s="432">
        <f t="shared" si="5"/>
        <v>0</v>
      </c>
      <c r="U22" s="27">
        <v>1299.5999999999999</v>
      </c>
      <c r="V22" s="432">
        <f t="shared" si="1"/>
        <v>40446.1512</v>
      </c>
      <c r="W22" s="432">
        <f t="shared" si="2"/>
        <v>48535.381439999997</v>
      </c>
      <c r="X22" s="25">
        <f t="shared" si="3"/>
        <v>40446.1512</v>
      </c>
      <c r="Y22" s="432">
        <f t="shared" si="3"/>
        <v>48535.381439999997</v>
      </c>
      <c r="Z22" s="233"/>
    </row>
    <row r="23" spans="1:27" ht="18.75" customHeight="1" x14ac:dyDescent="0.25">
      <c r="A23" s="423">
        <f>A21+1</f>
        <v>11</v>
      </c>
      <c r="B23" s="178" t="s">
        <v>589</v>
      </c>
      <c r="C23" s="183" t="s">
        <v>13</v>
      </c>
      <c r="D23" s="184">
        <v>12.18</v>
      </c>
      <c r="E23" s="177">
        <v>118.75</v>
      </c>
      <c r="F23" s="418">
        <f>ROUND(E23*D23,2)</f>
        <v>1446.38</v>
      </c>
      <c r="G23" s="418">
        <f>ROUND(F23*1.2,2)</f>
        <v>1735.66</v>
      </c>
      <c r="H23" s="177"/>
      <c r="I23" s="182"/>
      <c r="J23" s="182"/>
      <c r="K23" s="176">
        <f t="shared" si="6"/>
        <v>1446.38</v>
      </c>
      <c r="L23" s="182">
        <f t="shared" si="6"/>
        <v>1735.66</v>
      </c>
      <c r="Q23" s="437">
        <v>12.18</v>
      </c>
      <c r="R23" s="27">
        <v>118.75</v>
      </c>
      <c r="S23" s="432">
        <f t="shared" si="4"/>
        <v>1446.375</v>
      </c>
      <c r="T23" s="432">
        <f t="shared" si="5"/>
        <v>1735.6499999999999</v>
      </c>
      <c r="U23" s="27"/>
      <c r="V23" s="432">
        <f t="shared" si="1"/>
        <v>0</v>
      </c>
      <c r="W23" s="432">
        <f t="shared" si="2"/>
        <v>0</v>
      </c>
      <c r="X23" s="25">
        <f t="shared" si="3"/>
        <v>1446.375</v>
      </c>
      <c r="Y23" s="432">
        <f t="shared" si="3"/>
        <v>1735.6499999999999</v>
      </c>
      <c r="Z23" s="233"/>
    </row>
    <row r="24" spans="1:27" ht="18.75" customHeight="1" x14ac:dyDescent="0.25">
      <c r="A24" s="423">
        <f>A23+1</f>
        <v>12</v>
      </c>
      <c r="B24" s="178" t="s">
        <v>590</v>
      </c>
      <c r="C24" s="183" t="s">
        <v>13</v>
      </c>
      <c r="D24" s="184">
        <v>12.18</v>
      </c>
      <c r="E24" s="177">
        <v>188.1</v>
      </c>
      <c r="F24" s="418">
        <f>ROUND(E24*D24,2)</f>
        <v>2291.06</v>
      </c>
      <c r="G24" s="418">
        <f>ROUND(F24*1.2,2)</f>
        <v>2749.27</v>
      </c>
      <c r="H24" s="176"/>
      <c r="I24" s="418"/>
      <c r="J24" s="418"/>
      <c r="K24" s="176">
        <f t="shared" si="6"/>
        <v>2291.06</v>
      </c>
      <c r="L24" s="182">
        <f t="shared" si="6"/>
        <v>2749.27</v>
      </c>
      <c r="Q24" s="437">
        <v>12.18</v>
      </c>
      <c r="R24" s="27">
        <v>188.1</v>
      </c>
      <c r="S24" s="432">
        <f t="shared" si="4"/>
        <v>2291.058</v>
      </c>
      <c r="T24" s="432">
        <f t="shared" si="5"/>
        <v>2749.2696000000001</v>
      </c>
      <c r="U24" s="25"/>
      <c r="V24" s="432">
        <f t="shared" si="1"/>
        <v>0</v>
      </c>
      <c r="W24" s="432">
        <f t="shared" si="2"/>
        <v>0</v>
      </c>
      <c r="X24" s="25">
        <f t="shared" ref="X24:Y43" si="7">S24+V24</f>
        <v>2291.058</v>
      </c>
      <c r="Y24" s="432">
        <f t="shared" si="7"/>
        <v>2749.2696000000001</v>
      </c>
      <c r="Z24" s="233"/>
    </row>
    <row r="25" spans="1:27" ht="18.75" customHeight="1" x14ac:dyDescent="0.25">
      <c r="A25" s="423">
        <f>A24+1</f>
        <v>13</v>
      </c>
      <c r="B25" s="178" t="s">
        <v>16</v>
      </c>
      <c r="C25" s="183" t="s">
        <v>17</v>
      </c>
      <c r="D25" s="184">
        <v>79.53</v>
      </c>
      <c r="E25" s="177">
        <v>308.75</v>
      </c>
      <c r="F25" s="418">
        <f>ROUND(E25*D25,2)</f>
        <v>24554.89</v>
      </c>
      <c r="G25" s="418">
        <f>ROUND(F25*1.2,2)</f>
        <v>29465.87</v>
      </c>
      <c r="H25" s="177"/>
      <c r="I25" s="182"/>
      <c r="J25" s="182"/>
      <c r="K25" s="176">
        <f t="shared" si="6"/>
        <v>24554.89</v>
      </c>
      <c r="L25" s="182">
        <f t="shared" si="6"/>
        <v>29465.87</v>
      </c>
      <c r="Q25" s="437">
        <v>79.53</v>
      </c>
      <c r="R25" s="27">
        <v>308.75</v>
      </c>
      <c r="S25" s="432">
        <f t="shared" si="4"/>
        <v>24554.887500000001</v>
      </c>
      <c r="T25" s="432">
        <f t="shared" si="5"/>
        <v>29465.865000000002</v>
      </c>
      <c r="U25" s="27"/>
      <c r="V25" s="432">
        <f t="shared" si="1"/>
        <v>0</v>
      </c>
      <c r="W25" s="432">
        <f t="shared" si="2"/>
        <v>0</v>
      </c>
      <c r="X25" s="25">
        <f t="shared" si="7"/>
        <v>24554.887500000001</v>
      </c>
      <c r="Y25" s="432">
        <f t="shared" si="7"/>
        <v>29465.865000000002</v>
      </c>
      <c r="Z25" s="233"/>
    </row>
    <row r="26" spans="1:27" ht="18.75" customHeight="1" x14ac:dyDescent="0.25">
      <c r="A26" s="11"/>
      <c r="B26" s="420" t="s">
        <v>659</v>
      </c>
      <c r="C26" s="121"/>
      <c r="D26" s="425"/>
      <c r="E26" s="15"/>
      <c r="F26" s="14"/>
      <c r="G26" s="14"/>
      <c r="H26" s="15"/>
      <c r="I26" s="91"/>
      <c r="J26" s="91"/>
      <c r="K26" s="18"/>
      <c r="L26" s="91"/>
      <c r="Q26" s="437"/>
      <c r="R26" s="27"/>
      <c r="S26" s="432">
        <f t="shared" si="4"/>
        <v>0</v>
      </c>
      <c r="T26" s="432">
        <f t="shared" si="5"/>
        <v>0</v>
      </c>
      <c r="U26" s="27"/>
      <c r="V26" s="432">
        <f t="shared" si="1"/>
        <v>0</v>
      </c>
      <c r="W26" s="432">
        <f t="shared" si="2"/>
        <v>0</v>
      </c>
      <c r="X26" s="25">
        <f t="shared" si="7"/>
        <v>0</v>
      </c>
      <c r="Y26" s="432">
        <f t="shared" si="7"/>
        <v>0</v>
      </c>
      <c r="Z26" s="233"/>
    </row>
    <row r="27" spans="1:27" ht="18.75" customHeight="1" x14ac:dyDescent="0.25">
      <c r="A27" s="423">
        <f>A25+1</f>
        <v>14</v>
      </c>
      <c r="B27" s="178" t="s">
        <v>660</v>
      </c>
      <c r="C27" s="183" t="s">
        <v>15</v>
      </c>
      <c r="D27" s="184">
        <v>320.16000000000003</v>
      </c>
      <c r="E27" s="177">
        <v>146.30000000000001</v>
      </c>
      <c r="F27" s="418">
        <f>ROUND(E27*D27,2)</f>
        <v>46839.41</v>
      </c>
      <c r="G27" s="418">
        <f>ROUND(F27*1.2,2)</f>
        <v>56207.29</v>
      </c>
      <c r="H27" s="445"/>
      <c r="I27" s="424"/>
      <c r="J27" s="424"/>
      <c r="K27" s="176">
        <f t="shared" ref="K27:L41" si="8">F27+I27</f>
        <v>46839.41</v>
      </c>
      <c r="L27" s="182">
        <f t="shared" si="8"/>
        <v>56207.29</v>
      </c>
      <c r="Q27" s="437">
        <v>320.16000000000003</v>
      </c>
      <c r="R27" s="27">
        <v>146.30000000000001</v>
      </c>
      <c r="S27" s="432">
        <f t="shared" si="4"/>
        <v>46839.40800000001</v>
      </c>
      <c r="T27" s="432">
        <f t="shared" si="5"/>
        <v>56207.289600000011</v>
      </c>
      <c r="U27" s="132"/>
      <c r="V27" s="432">
        <f t="shared" si="1"/>
        <v>0</v>
      </c>
      <c r="W27" s="432">
        <f t="shared" si="2"/>
        <v>0</v>
      </c>
      <c r="X27" s="25">
        <f t="shared" si="7"/>
        <v>46839.40800000001</v>
      </c>
      <c r="Y27" s="432">
        <f t="shared" si="7"/>
        <v>56207.289600000011</v>
      </c>
      <c r="Z27" s="233"/>
    </row>
    <row r="28" spans="1:27" ht="18.75" customHeight="1" x14ac:dyDescent="0.25">
      <c r="A28" s="38" t="s">
        <v>74</v>
      </c>
      <c r="B28" s="19" t="s">
        <v>661</v>
      </c>
      <c r="C28" s="114" t="s">
        <v>15</v>
      </c>
      <c r="D28" s="115">
        <f>1.02*320.16</f>
        <v>326.56320000000005</v>
      </c>
      <c r="E28" s="21"/>
      <c r="F28" s="22"/>
      <c r="G28" s="22"/>
      <c r="H28" s="134">
        <f>ROUND(137.5*1.15,2)</f>
        <v>158.13</v>
      </c>
      <c r="I28" s="22">
        <f>ROUND(H28*D28,2)</f>
        <v>51639.44</v>
      </c>
      <c r="J28" s="22">
        <f>ROUND(I28*1.2,2)</f>
        <v>61967.33</v>
      </c>
      <c r="K28" s="23">
        <f t="shared" si="8"/>
        <v>51639.44</v>
      </c>
      <c r="L28" s="22">
        <f t="shared" si="8"/>
        <v>61967.33</v>
      </c>
      <c r="Q28" s="437">
        <f>1.02*320.16</f>
        <v>326.56320000000005</v>
      </c>
      <c r="R28" s="27"/>
      <c r="S28" s="432">
        <f t="shared" si="4"/>
        <v>0</v>
      </c>
      <c r="T28" s="432">
        <f t="shared" si="5"/>
        <v>0</v>
      </c>
      <c r="U28" s="432">
        <f>ROUND(137.5*1.15,2)</f>
        <v>158.13</v>
      </c>
      <c r="V28" s="432">
        <f t="shared" si="1"/>
        <v>51639.438816000009</v>
      </c>
      <c r="W28" s="432">
        <f t="shared" si="2"/>
        <v>61967.326579200009</v>
      </c>
      <c r="X28" s="25">
        <f t="shared" si="7"/>
        <v>51639.438816000009</v>
      </c>
      <c r="Y28" s="432">
        <f t="shared" si="7"/>
        <v>61967.326579200009</v>
      </c>
      <c r="Z28" s="233"/>
    </row>
    <row r="29" spans="1:27" ht="18.75" customHeight="1" x14ac:dyDescent="0.25">
      <c r="A29" s="183">
        <f>A27+1</f>
        <v>15</v>
      </c>
      <c r="B29" s="185" t="s">
        <v>662</v>
      </c>
      <c r="C29" s="183" t="s">
        <v>35</v>
      </c>
      <c r="D29" s="308">
        <v>24</v>
      </c>
      <c r="E29" s="177">
        <v>1877.2569999999998</v>
      </c>
      <c r="F29" s="418">
        <f>ROUND(E29*D29,2)</f>
        <v>45054.17</v>
      </c>
      <c r="G29" s="418">
        <f>ROUND(F29*1.2,2)</f>
        <v>54065</v>
      </c>
      <c r="H29" s="445"/>
      <c r="I29" s="424"/>
      <c r="J29" s="424"/>
      <c r="K29" s="176">
        <f t="shared" si="8"/>
        <v>45054.17</v>
      </c>
      <c r="L29" s="182">
        <f t="shared" si="8"/>
        <v>54065</v>
      </c>
      <c r="Q29" s="435">
        <v>24</v>
      </c>
      <c r="R29" s="27">
        <v>1877.2569999999998</v>
      </c>
      <c r="S29" s="432">
        <f t="shared" si="4"/>
        <v>45054.167999999998</v>
      </c>
      <c r="T29" s="432">
        <f t="shared" si="5"/>
        <v>54065.001599999996</v>
      </c>
      <c r="U29" s="132"/>
      <c r="V29" s="432">
        <f t="shared" si="1"/>
        <v>0</v>
      </c>
      <c r="W29" s="432">
        <f t="shared" si="2"/>
        <v>0</v>
      </c>
      <c r="X29" s="25">
        <f t="shared" si="7"/>
        <v>45054.167999999998</v>
      </c>
      <c r="Y29" s="432">
        <f t="shared" si="7"/>
        <v>54065.001599999996</v>
      </c>
      <c r="Z29" s="233"/>
    </row>
    <row r="30" spans="1:27" ht="18.75" customHeight="1" x14ac:dyDescent="0.25">
      <c r="A30" s="38" t="s">
        <v>75</v>
      </c>
      <c r="B30" s="19" t="s">
        <v>663</v>
      </c>
      <c r="C30" s="114" t="s">
        <v>35</v>
      </c>
      <c r="D30" s="426">
        <v>24</v>
      </c>
      <c r="E30" s="21"/>
      <c r="F30" s="22"/>
      <c r="G30" s="22"/>
      <c r="H30" s="22">
        <v>7628.5</v>
      </c>
      <c r="I30" s="22">
        <f>ROUND(H30*D30,2)</f>
        <v>183084</v>
      </c>
      <c r="J30" s="22">
        <f>ROUND(I30*1.2,2)</f>
        <v>219700.8</v>
      </c>
      <c r="K30" s="23">
        <f t="shared" si="8"/>
        <v>183084</v>
      </c>
      <c r="L30" s="22">
        <f t="shared" si="8"/>
        <v>219700.8</v>
      </c>
      <c r="Q30" s="440">
        <v>2</v>
      </c>
      <c r="R30" s="27"/>
      <c r="S30" s="432">
        <f t="shared" si="4"/>
        <v>0</v>
      </c>
      <c r="T30" s="432">
        <f t="shared" si="5"/>
        <v>0</v>
      </c>
      <c r="U30" s="432">
        <v>7628.5</v>
      </c>
      <c r="V30" s="432">
        <f t="shared" si="1"/>
        <v>15257</v>
      </c>
      <c r="W30" s="432">
        <f t="shared" si="2"/>
        <v>18308.399999999998</v>
      </c>
      <c r="X30" s="25">
        <f t="shared" si="7"/>
        <v>15257</v>
      </c>
      <c r="Y30" s="441">
        <f t="shared" si="7"/>
        <v>18308.399999999998</v>
      </c>
      <c r="Z30" s="233">
        <f t="shared" ref="Z30" si="9">Y30-L30</f>
        <v>-201392.4</v>
      </c>
      <c r="AA30" s="376" t="s">
        <v>680</v>
      </c>
    </row>
    <row r="31" spans="1:27" ht="18.75" customHeight="1" x14ac:dyDescent="0.25">
      <c r="A31" s="172">
        <f>A29+1</f>
        <v>16</v>
      </c>
      <c r="B31" s="171" t="s">
        <v>664</v>
      </c>
      <c r="C31" s="172" t="s">
        <v>35</v>
      </c>
      <c r="D31" s="190">
        <v>16</v>
      </c>
      <c r="E31" s="180">
        <v>1632.8</v>
      </c>
      <c r="F31" s="427">
        <f>ROUND(E31*D31,2)</f>
        <v>26124.799999999999</v>
      </c>
      <c r="G31" s="427">
        <f>ROUND(F31*1.2,2)</f>
        <v>31349.759999999998</v>
      </c>
      <c r="H31" s="446"/>
      <c r="I31" s="428"/>
      <c r="J31" s="428"/>
      <c r="K31" s="174">
        <f t="shared" si="8"/>
        <v>26124.799999999999</v>
      </c>
      <c r="L31" s="179">
        <f t="shared" si="8"/>
        <v>31349.759999999998</v>
      </c>
      <c r="Q31" s="435">
        <v>16</v>
      </c>
      <c r="R31" s="27">
        <v>1632.8</v>
      </c>
      <c r="S31" s="432">
        <f t="shared" si="4"/>
        <v>26124.799999999999</v>
      </c>
      <c r="T31" s="432">
        <f t="shared" si="5"/>
        <v>31349.759999999998</v>
      </c>
      <c r="U31" s="132"/>
      <c r="V31" s="432">
        <f t="shared" si="1"/>
        <v>0</v>
      </c>
      <c r="W31" s="432">
        <f t="shared" si="2"/>
        <v>0</v>
      </c>
      <c r="X31" s="25">
        <f t="shared" si="7"/>
        <v>26124.799999999999</v>
      </c>
      <c r="Y31" s="432">
        <f t="shared" si="7"/>
        <v>31349.759999999998</v>
      </c>
      <c r="Z31" s="233"/>
    </row>
    <row r="32" spans="1:27" ht="18.75" customHeight="1" x14ac:dyDescent="0.25">
      <c r="A32" s="38" t="s">
        <v>76</v>
      </c>
      <c r="B32" s="150" t="s">
        <v>665</v>
      </c>
      <c r="C32" s="114" t="s">
        <v>15</v>
      </c>
      <c r="D32" s="151">
        <v>16</v>
      </c>
      <c r="E32" s="21"/>
      <c r="F32" s="22"/>
      <c r="G32" s="22"/>
      <c r="H32" s="134">
        <f>ROUND(2236.42/1.2*1.15,2)</f>
        <v>2143.2399999999998</v>
      </c>
      <c r="I32" s="22">
        <f>ROUND(H32*D32,2)</f>
        <v>34291.839999999997</v>
      </c>
      <c r="J32" s="22">
        <f>ROUND(I32*1.2,2)</f>
        <v>41150.21</v>
      </c>
      <c r="K32" s="23">
        <f t="shared" si="8"/>
        <v>34291.839999999997</v>
      </c>
      <c r="L32" s="22">
        <f t="shared" si="8"/>
        <v>41150.21</v>
      </c>
      <c r="Q32" s="435">
        <v>16</v>
      </c>
      <c r="R32" s="27"/>
      <c r="S32" s="432">
        <f t="shared" si="4"/>
        <v>0</v>
      </c>
      <c r="T32" s="432">
        <f t="shared" si="5"/>
        <v>0</v>
      </c>
      <c r="U32" s="432">
        <f>ROUND(2236.42/1.2*1.15,2)</f>
        <v>2143.2399999999998</v>
      </c>
      <c r="V32" s="432">
        <f t="shared" si="1"/>
        <v>34291.839999999997</v>
      </c>
      <c r="W32" s="432">
        <f t="shared" si="2"/>
        <v>41150.207999999991</v>
      </c>
      <c r="X32" s="25">
        <f t="shared" si="7"/>
        <v>34291.839999999997</v>
      </c>
      <c r="Y32" s="432">
        <f t="shared" si="7"/>
        <v>41150.207999999991</v>
      </c>
      <c r="Z32" s="233"/>
    </row>
    <row r="33" spans="1:26" ht="22.5" customHeight="1" x14ac:dyDescent="0.25">
      <c r="A33" s="38" t="s">
        <v>666</v>
      </c>
      <c r="B33" s="19" t="s">
        <v>667</v>
      </c>
      <c r="C33" s="114" t="s">
        <v>35</v>
      </c>
      <c r="D33" s="151">
        <v>2</v>
      </c>
      <c r="E33" s="21"/>
      <c r="F33" s="22"/>
      <c r="G33" s="22"/>
      <c r="H33" s="134">
        <f>ROUND(2244/1.2*1.15,2)</f>
        <v>2150.5</v>
      </c>
      <c r="I33" s="22">
        <f>ROUND(H33*D33,2)</f>
        <v>4301</v>
      </c>
      <c r="J33" s="22">
        <f>ROUND(I33*1.2,2)</f>
        <v>5161.2</v>
      </c>
      <c r="K33" s="23">
        <f t="shared" si="8"/>
        <v>4301</v>
      </c>
      <c r="L33" s="22">
        <f t="shared" si="8"/>
        <v>5161.2</v>
      </c>
      <c r="Q33" s="435">
        <v>2</v>
      </c>
      <c r="R33" s="27"/>
      <c r="S33" s="432">
        <f t="shared" si="4"/>
        <v>0</v>
      </c>
      <c r="T33" s="432">
        <f t="shared" si="5"/>
        <v>0</v>
      </c>
      <c r="U33" s="432">
        <f>ROUND(2244/1.2*1.15,2)</f>
        <v>2150.5</v>
      </c>
      <c r="V33" s="432">
        <f t="shared" si="1"/>
        <v>4301</v>
      </c>
      <c r="W33" s="432">
        <f t="shared" si="2"/>
        <v>5161.2</v>
      </c>
      <c r="X33" s="25">
        <f t="shared" si="7"/>
        <v>4301</v>
      </c>
      <c r="Y33" s="432">
        <f t="shared" si="7"/>
        <v>5161.2</v>
      </c>
      <c r="Z33" s="233"/>
    </row>
    <row r="34" spans="1:26" ht="33.75" customHeight="1" x14ac:dyDescent="0.25">
      <c r="A34" s="183">
        <f>A31+1</f>
        <v>17</v>
      </c>
      <c r="B34" s="178" t="s">
        <v>668</v>
      </c>
      <c r="C34" s="183" t="s">
        <v>15</v>
      </c>
      <c r="D34" s="184">
        <v>180.57</v>
      </c>
      <c r="E34" s="177">
        <v>167.2</v>
      </c>
      <c r="F34" s="418">
        <f>ROUND(E34*D34,2)</f>
        <v>30191.3</v>
      </c>
      <c r="G34" s="418">
        <f>ROUND(F34*1.2,2)</f>
        <v>36229.56</v>
      </c>
      <c r="H34" s="445"/>
      <c r="I34" s="424"/>
      <c r="J34" s="424"/>
      <c r="K34" s="176">
        <f t="shared" si="8"/>
        <v>30191.3</v>
      </c>
      <c r="L34" s="182">
        <f t="shared" si="8"/>
        <v>36229.56</v>
      </c>
      <c r="Q34" s="437">
        <v>180.57</v>
      </c>
      <c r="R34" s="27">
        <v>167.2</v>
      </c>
      <c r="S34" s="432">
        <f t="shared" si="4"/>
        <v>30191.303999999996</v>
      </c>
      <c r="T34" s="432">
        <f t="shared" si="5"/>
        <v>36229.564799999993</v>
      </c>
      <c r="U34" s="132"/>
      <c r="V34" s="432">
        <f t="shared" si="1"/>
        <v>0</v>
      </c>
      <c r="W34" s="432">
        <f t="shared" si="2"/>
        <v>0</v>
      </c>
      <c r="X34" s="25">
        <f t="shared" si="7"/>
        <v>30191.303999999996</v>
      </c>
      <c r="Y34" s="432">
        <f t="shared" si="7"/>
        <v>36229.564799999993</v>
      </c>
      <c r="Z34" s="233"/>
    </row>
    <row r="35" spans="1:26" ht="18.75" customHeight="1" x14ac:dyDescent="0.25">
      <c r="A35" s="38" t="s">
        <v>669</v>
      </c>
      <c r="B35" s="19" t="s">
        <v>670</v>
      </c>
      <c r="C35" s="114" t="s">
        <v>15</v>
      </c>
      <c r="D35" s="115">
        <f>181.03*1.02</f>
        <v>184.6506</v>
      </c>
      <c r="E35" s="21"/>
      <c r="F35" s="22"/>
      <c r="G35" s="22"/>
      <c r="H35" s="134">
        <f>ROUND(816.38*1.15,2)</f>
        <v>938.84</v>
      </c>
      <c r="I35" s="22">
        <f>ROUND(H35*D35,2)</f>
        <v>173357.37</v>
      </c>
      <c r="J35" s="22">
        <f>ROUND(I35*1.2,2)</f>
        <v>208028.84</v>
      </c>
      <c r="K35" s="23">
        <f t="shared" si="8"/>
        <v>173357.37</v>
      </c>
      <c r="L35" s="22">
        <f t="shared" si="8"/>
        <v>208028.84</v>
      </c>
      <c r="Q35" s="437">
        <f>181.03*1.02</f>
        <v>184.6506</v>
      </c>
      <c r="R35" s="27"/>
      <c r="S35" s="432">
        <f t="shared" si="4"/>
        <v>0</v>
      </c>
      <c r="T35" s="432">
        <f t="shared" si="5"/>
        <v>0</v>
      </c>
      <c r="U35" s="432">
        <f>ROUND(816.38*1.15,2)</f>
        <v>938.84</v>
      </c>
      <c r="V35" s="432">
        <f t="shared" si="1"/>
        <v>173357.36930399999</v>
      </c>
      <c r="W35" s="432">
        <f t="shared" si="2"/>
        <v>208028.8431648</v>
      </c>
      <c r="X35" s="25">
        <f t="shared" si="7"/>
        <v>173357.36930399999</v>
      </c>
      <c r="Y35" s="432">
        <f t="shared" si="7"/>
        <v>208028.8431648</v>
      </c>
      <c r="Z35" s="233"/>
    </row>
    <row r="36" spans="1:26" ht="30" customHeight="1" x14ac:dyDescent="0.25">
      <c r="A36" s="183">
        <f>A34+1</f>
        <v>18</v>
      </c>
      <c r="B36" s="178" t="s">
        <v>671</v>
      </c>
      <c r="C36" s="183" t="s">
        <v>15</v>
      </c>
      <c r="D36" s="184">
        <v>61.34</v>
      </c>
      <c r="E36" s="177">
        <v>167.2</v>
      </c>
      <c r="F36" s="418">
        <f>ROUND(E36*D36,2)</f>
        <v>10256.049999999999</v>
      </c>
      <c r="G36" s="418">
        <f>ROUND(F36*1.2,2)</f>
        <v>12307.26</v>
      </c>
      <c r="H36" s="445"/>
      <c r="I36" s="424"/>
      <c r="J36" s="424"/>
      <c r="K36" s="176">
        <f t="shared" si="8"/>
        <v>10256.049999999999</v>
      </c>
      <c r="L36" s="182">
        <f t="shared" si="8"/>
        <v>12307.26</v>
      </c>
      <c r="Q36" s="437">
        <v>61.34</v>
      </c>
      <c r="R36" s="27">
        <v>167.2</v>
      </c>
      <c r="S36" s="432">
        <f t="shared" si="4"/>
        <v>10256.048000000001</v>
      </c>
      <c r="T36" s="432">
        <f t="shared" si="5"/>
        <v>12307.257600000001</v>
      </c>
      <c r="U36" s="132"/>
      <c r="V36" s="432">
        <f t="shared" si="1"/>
        <v>0</v>
      </c>
      <c r="W36" s="432">
        <f t="shared" si="2"/>
        <v>0</v>
      </c>
      <c r="X36" s="25">
        <f t="shared" si="7"/>
        <v>10256.048000000001</v>
      </c>
      <c r="Y36" s="432">
        <f t="shared" si="7"/>
        <v>12307.257600000001</v>
      </c>
      <c r="Z36" s="233"/>
    </row>
    <row r="37" spans="1:26" ht="21" customHeight="1" x14ac:dyDescent="0.25">
      <c r="A37" s="38" t="s">
        <v>77</v>
      </c>
      <c r="B37" s="19" t="s">
        <v>672</v>
      </c>
      <c r="C37" s="114" t="s">
        <v>15</v>
      </c>
      <c r="D37" s="115">
        <f>61.34*1.02</f>
        <v>62.566800000000008</v>
      </c>
      <c r="E37" s="21"/>
      <c r="F37" s="22"/>
      <c r="G37" s="22"/>
      <c r="H37" s="134">
        <f>ROUND(1080.66*1.15,2)</f>
        <v>1242.76</v>
      </c>
      <c r="I37" s="22">
        <f>ROUND(H37*D37,2)</f>
        <v>77755.520000000004</v>
      </c>
      <c r="J37" s="22">
        <f>ROUND(I37*1.2,2)</f>
        <v>93306.62</v>
      </c>
      <c r="K37" s="23">
        <f t="shared" si="8"/>
        <v>77755.520000000004</v>
      </c>
      <c r="L37" s="22">
        <f t="shared" si="8"/>
        <v>93306.62</v>
      </c>
      <c r="Q37" s="437">
        <f>61.34*1.02</f>
        <v>62.566800000000008</v>
      </c>
      <c r="R37" s="27"/>
      <c r="S37" s="432">
        <f t="shared" si="4"/>
        <v>0</v>
      </c>
      <c r="T37" s="432">
        <f t="shared" si="5"/>
        <v>0</v>
      </c>
      <c r="U37" s="432">
        <f>ROUND(1080.66*1.15,2)</f>
        <v>1242.76</v>
      </c>
      <c r="V37" s="432">
        <f t="shared" si="1"/>
        <v>77755.516368000011</v>
      </c>
      <c r="W37" s="432">
        <f t="shared" si="2"/>
        <v>93306.619641600017</v>
      </c>
      <c r="X37" s="25">
        <f t="shared" si="7"/>
        <v>77755.516368000011</v>
      </c>
      <c r="Y37" s="432">
        <f t="shared" si="7"/>
        <v>93306.619641600017</v>
      </c>
      <c r="Z37" s="233"/>
    </row>
    <row r="38" spans="1:26" ht="21" customHeight="1" x14ac:dyDescent="0.25">
      <c r="A38" s="183">
        <f>A36+1</f>
        <v>19</v>
      </c>
      <c r="B38" s="185" t="s">
        <v>673</v>
      </c>
      <c r="C38" s="183" t="s">
        <v>15</v>
      </c>
      <c r="D38" s="184">
        <v>44.44</v>
      </c>
      <c r="E38" s="177">
        <v>17.53</v>
      </c>
      <c r="F38" s="418">
        <f>ROUND(E38*D38,2)</f>
        <v>779.03</v>
      </c>
      <c r="G38" s="418">
        <f>ROUND(F38*1.2,2)</f>
        <v>934.84</v>
      </c>
      <c r="H38" s="445"/>
      <c r="I38" s="424"/>
      <c r="J38" s="424"/>
      <c r="K38" s="176">
        <f t="shared" si="8"/>
        <v>779.03</v>
      </c>
      <c r="L38" s="182">
        <f t="shared" si="8"/>
        <v>934.84</v>
      </c>
      <c r="Q38" s="437">
        <v>44.44</v>
      </c>
      <c r="R38" s="27">
        <v>17.53</v>
      </c>
      <c r="S38" s="432">
        <f t="shared" si="4"/>
        <v>779.03319999999997</v>
      </c>
      <c r="T38" s="432">
        <f t="shared" si="5"/>
        <v>934.83983999999987</v>
      </c>
      <c r="U38" s="132"/>
      <c r="V38" s="432">
        <f t="shared" si="1"/>
        <v>0</v>
      </c>
      <c r="W38" s="432">
        <f t="shared" si="2"/>
        <v>0</v>
      </c>
      <c r="X38" s="25">
        <f t="shared" si="7"/>
        <v>779.03319999999997</v>
      </c>
      <c r="Y38" s="432">
        <f t="shared" si="7"/>
        <v>934.83983999999987</v>
      </c>
      <c r="Z38" s="233"/>
    </row>
    <row r="39" spans="1:26" ht="21" customHeight="1" x14ac:dyDescent="0.25">
      <c r="A39" s="38" t="s">
        <v>78</v>
      </c>
      <c r="B39" s="19" t="s">
        <v>674</v>
      </c>
      <c r="C39" s="114" t="s">
        <v>15</v>
      </c>
      <c r="D39" s="115">
        <v>44.44</v>
      </c>
      <c r="E39" s="21"/>
      <c r="F39" s="22"/>
      <c r="G39" s="22"/>
      <c r="H39" s="22">
        <v>18.34</v>
      </c>
      <c r="I39" s="22">
        <f>ROUND(H39*D39,2)</f>
        <v>815.03</v>
      </c>
      <c r="J39" s="22">
        <f>ROUND(I39*1.2,2)</f>
        <v>978.04</v>
      </c>
      <c r="K39" s="23">
        <f t="shared" si="8"/>
        <v>815.03</v>
      </c>
      <c r="L39" s="22">
        <f t="shared" si="8"/>
        <v>978.04</v>
      </c>
      <c r="Q39" s="437">
        <v>44.44</v>
      </c>
      <c r="R39" s="27"/>
      <c r="S39" s="432">
        <f t="shared" si="4"/>
        <v>0</v>
      </c>
      <c r="T39" s="432">
        <f t="shared" si="5"/>
        <v>0</v>
      </c>
      <c r="U39" s="432">
        <v>18.34</v>
      </c>
      <c r="V39" s="432">
        <f t="shared" si="1"/>
        <v>815.02959999999996</v>
      </c>
      <c r="W39" s="432">
        <f t="shared" si="2"/>
        <v>978.03551999999991</v>
      </c>
      <c r="X39" s="25">
        <f t="shared" si="7"/>
        <v>815.02959999999996</v>
      </c>
      <c r="Y39" s="432">
        <f t="shared" si="7"/>
        <v>978.03551999999991</v>
      </c>
      <c r="Z39" s="233"/>
    </row>
    <row r="40" spans="1:26" ht="21" customHeight="1" x14ac:dyDescent="0.25">
      <c r="A40" s="183">
        <f>A38+1</f>
        <v>20</v>
      </c>
      <c r="B40" s="178" t="s">
        <v>675</v>
      </c>
      <c r="C40" s="183" t="s">
        <v>35</v>
      </c>
      <c r="D40" s="308">
        <v>16</v>
      </c>
      <c r="E40" s="177">
        <v>6715.55</v>
      </c>
      <c r="F40" s="418">
        <f>ROUND(E40*D40,2)</f>
        <v>107448.8</v>
      </c>
      <c r="G40" s="418">
        <f>ROUND(F40*1.2,2)</f>
        <v>128938.56</v>
      </c>
      <c r="H40" s="445"/>
      <c r="I40" s="424"/>
      <c r="J40" s="424"/>
      <c r="K40" s="176">
        <f t="shared" si="8"/>
        <v>107448.8</v>
      </c>
      <c r="L40" s="182">
        <f t="shared" si="8"/>
        <v>128938.56</v>
      </c>
      <c r="Q40" s="435">
        <v>16</v>
      </c>
      <c r="R40" s="27">
        <v>6715.55</v>
      </c>
      <c r="S40" s="432">
        <f t="shared" si="4"/>
        <v>107448.8</v>
      </c>
      <c r="T40" s="432">
        <f t="shared" si="5"/>
        <v>128938.56</v>
      </c>
      <c r="U40" s="132"/>
      <c r="V40" s="432">
        <f t="shared" si="1"/>
        <v>0</v>
      </c>
      <c r="W40" s="432">
        <f t="shared" si="2"/>
        <v>0</v>
      </c>
      <c r="X40" s="25">
        <f t="shared" si="7"/>
        <v>107448.8</v>
      </c>
      <c r="Y40" s="432">
        <f t="shared" si="7"/>
        <v>128938.56</v>
      </c>
      <c r="Z40" s="233"/>
    </row>
    <row r="41" spans="1:26" ht="21" customHeight="1" x14ac:dyDescent="0.25">
      <c r="A41" s="38" t="s">
        <v>139</v>
      </c>
      <c r="B41" s="19" t="s">
        <v>676</v>
      </c>
      <c r="C41" s="114" t="s">
        <v>35</v>
      </c>
      <c r="D41" s="151">
        <v>16</v>
      </c>
      <c r="E41" s="21"/>
      <c r="F41" s="22"/>
      <c r="G41" s="22"/>
      <c r="H41" s="22">
        <v>7106</v>
      </c>
      <c r="I41" s="22">
        <f>ROUND(H41*D41,2)</f>
        <v>113696</v>
      </c>
      <c r="J41" s="22">
        <f>ROUND(I41*1.2,2)</f>
        <v>136435.20000000001</v>
      </c>
      <c r="K41" s="23">
        <f t="shared" si="8"/>
        <v>113696</v>
      </c>
      <c r="L41" s="22">
        <f t="shared" si="8"/>
        <v>136435.20000000001</v>
      </c>
      <c r="Q41" s="435">
        <v>16</v>
      </c>
      <c r="R41" s="27"/>
      <c r="S41" s="432">
        <f t="shared" si="4"/>
        <v>0</v>
      </c>
      <c r="T41" s="432">
        <f t="shared" si="5"/>
        <v>0</v>
      </c>
      <c r="U41" s="432">
        <v>7106</v>
      </c>
      <c r="V41" s="432">
        <f t="shared" si="1"/>
        <v>113696</v>
      </c>
      <c r="W41" s="432">
        <f t="shared" si="2"/>
        <v>136435.19999999998</v>
      </c>
      <c r="X41" s="25">
        <f t="shared" si="7"/>
        <v>113696</v>
      </c>
      <c r="Y41" s="432">
        <f t="shared" si="7"/>
        <v>136435.19999999998</v>
      </c>
      <c r="Z41" s="233"/>
    </row>
    <row r="42" spans="1:26" ht="15.75" x14ac:dyDescent="0.25">
      <c r="A42" s="11"/>
      <c r="B42" s="429" t="s">
        <v>677</v>
      </c>
      <c r="C42" s="121"/>
      <c r="D42" s="425"/>
      <c r="E42" s="27"/>
      <c r="F42" s="16"/>
      <c r="G42" s="16"/>
      <c r="H42" s="447"/>
      <c r="I42" s="16"/>
      <c r="J42" s="16"/>
      <c r="K42" s="18"/>
      <c r="L42" s="91"/>
      <c r="Q42" s="437"/>
      <c r="R42" s="27"/>
      <c r="S42" s="432">
        <f t="shared" si="4"/>
        <v>0</v>
      </c>
      <c r="T42" s="432">
        <f t="shared" si="5"/>
        <v>0</v>
      </c>
      <c r="U42" s="132"/>
      <c r="V42" s="432">
        <f t="shared" si="1"/>
        <v>0</v>
      </c>
      <c r="W42" s="432">
        <f t="shared" si="2"/>
        <v>0</v>
      </c>
      <c r="X42" s="25">
        <f t="shared" si="7"/>
        <v>0</v>
      </c>
      <c r="Y42" s="432">
        <f t="shared" si="7"/>
        <v>0</v>
      </c>
      <c r="Z42" s="233"/>
    </row>
    <row r="43" spans="1:26" ht="21" customHeight="1" x14ac:dyDescent="0.25">
      <c r="A43" s="430">
        <f>A40+1</f>
        <v>21</v>
      </c>
      <c r="B43" s="171" t="s">
        <v>678</v>
      </c>
      <c r="C43" s="172" t="s">
        <v>679</v>
      </c>
      <c r="D43" s="190">
        <v>16</v>
      </c>
      <c r="E43" s="180">
        <v>12000</v>
      </c>
      <c r="F43" s="427">
        <f>ROUND(E43*D43,2)</f>
        <v>192000</v>
      </c>
      <c r="G43" s="427">
        <f>ROUND(F43*1.2,2)</f>
        <v>230400</v>
      </c>
      <c r="H43" s="448"/>
      <c r="I43" s="427"/>
      <c r="J43" s="427"/>
      <c r="K43" s="174">
        <f>F43+I43</f>
        <v>192000</v>
      </c>
      <c r="L43" s="179">
        <f>G43+J43</f>
        <v>230400</v>
      </c>
      <c r="Q43" s="435">
        <v>16</v>
      </c>
      <c r="R43" s="27">
        <v>12000</v>
      </c>
      <c r="S43" s="432">
        <f t="shared" si="4"/>
        <v>192000</v>
      </c>
      <c r="T43" s="432">
        <f t="shared" si="5"/>
        <v>230400</v>
      </c>
      <c r="U43" s="132"/>
      <c r="V43" s="432">
        <f t="shared" si="1"/>
        <v>0</v>
      </c>
      <c r="W43" s="432">
        <f t="shared" si="2"/>
        <v>0</v>
      </c>
      <c r="X43" s="25">
        <f t="shared" si="7"/>
        <v>192000</v>
      </c>
      <c r="Y43" s="432">
        <f t="shared" si="7"/>
        <v>230400</v>
      </c>
      <c r="Z43" s="233"/>
    </row>
    <row r="44" spans="1:26" s="451" customFormat="1" ht="22.5" customHeight="1" x14ac:dyDescent="0.25">
      <c r="A44" s="614" t="s">
        <v>14</v>
      </c>
      <c r="B44" s="615"/>
      <c r="C44" s="615"/>
      <c r="D44" s="615"/>
      <c r="E44" s="616"/>
      <c r="F44" s="449">
        <f>SUM(F7:F43)</f>
        <v>777642.10000000009</v>
      </c>
      <c r="G44" s="449">
        <f>ROUND(F44*1.2,2)</f>
        <v>933170.52</v>
      </c>
      <c r="H44" s="450"/>
      <c r="I44" s="449">
        <f>SUM(I7:I43)</f>
        <v>732406.35</v>
      </c>
      <c r="J44" s="449">
        <f>ROUND(I44*1.2,2)</f>
        <v>878887.62</v>
      </c>
      <c r="K44" s="449">
        <f>SUM(K7:K43)</f>
        <v>1510048.4500000002</v>
      </c>
      <c r="L44" s="449">
        <f>ROUND(K44*1.2,2)</f>
        <v>1812058.14</v>
      </c>
      <c r="Q44" s="378"/>
      <c r="R44" s="378"/>
      <c r="S44" s="452">
        <f>SUM(S7:S43)</f>
        <v>777642.09030000004</v>
      </c>
      <c r="T44" s="452">
        <f t="shared" ref="T44:Y44" si="10">SUM(T7:T43)</f>
        <v>933170.50835999986</v>
      </c>
      <c r="U44" s="452">
        <f t="shared" si="10"/>
        <v>26259.81</v>
      </c>
      <c r="V44" s="452">
        <f t="shared" si="10"/>
        <v>564579.34308800008</v>
      </c>
      <c r="W44" s="452">
        <f t="shared" si="10"/>
        <v>677495.21170560003</v>
      </c>
      <c r="X44" s="452">
        <f t="shared" si="10"/>
        <v>1342221.4333879999</v>
      </c>
      <c r="Y44" s="452">
        <f t="shared" si="10"/>
        <v>1610665.7200655998</v>
      </c>
      <c r="Z44" s="453">
        <f>SUM(Z8:Z43)</f>
        <v>-201392.4</v>
      </c>
    </row>
    <row r="45" spans="1:26" x14ac:dyDescent="0.25">
      <c r="Z45" s="233"/>
    </row>
    <row r="46" spans="1:26" x14ac:dyDescent="0.25">
      <c r="B46" s="455" t="s">
        <v>339</v>
      </c>
      <c r="Z46" s="233"/>
    </row>
    <row r="47" spans="1:26" x14ac:dyDescent="0.25">
      <c r="B47" s="456" t="s">
        <v>340</v>
      </c>
      <c r="Z47" s="233"/>
    </row>
    <row r="48" spans="1:26" x14ac:dyDescent="0.25">
      <c r="Z48" s="233"/>
    </row>
    <row r="49" spans="26:26" x14ac:dyDescent="0.25">
      <c r="Z49" s="233"/>
    </row>
    <row r="50" spans="26:26" x14ac:dyDescent="0.25">
      <c r="Z50" s="233"/>
    </row>
    <row r="51" spans="26:26" x14ac:dyDescent="0.25">
      <c r="Z51" s="233"/>
    </row>
    <row r="52" spans="26:26" x14ac:dyDescent="0.25">
      <c r="Z52" s="233"/>
    </row>
    <row r="53" spans="26:26" x14ac:dyDescent="0.25">
      <c r="Z53" s="233"/>
    </row>
    <row r="54" spans="26:26" x14ac:dyDescent="0.25">
      <c r="Z54" s="233"/>
    </row>
    <row r="55" spans="26:26" x14ac:dyDescent="0.25">
      <c r="Z55" s="233"/>
    </row>
    <row r="56" spans="26:26" x14ac:dyDescent="0.25">
      <c r="Z56" s="233"/>
    </row>
    <row r="57" spans="26:26" x14ac:dyDescent="0.25">
      <c r="Z57" s="233"/>
    </row>
    <row r="58" spans="26:26" x14ac:dyDescent="0.25">
      <c r="Z58" s="233"/>
    </row>
    <row r="59" spans="26:26" x14ac:dyDescent="0.25">
      <c r="Z59" s="233"/>
    </row>
    <row r="60" spans="26:26" x14ac:dyDescent="0.25">
      <c r="Z60" s="233"/>
    </row>
    <row r="61" spans="26:26" x14ac:dyDescent="0.25">
      <c r="Z61" s="233"/>
    </row>
    <row r="62" spans="26:26" x14ac:dyDescent="0.25">
      <c r="Z62" s="233"/>
    </row>
    <row r="63" spans="26:26" x14ac:dyDescent="0.25">
      <c r="Z63" s="233"/>
    </row>
    <row r="64" spans="26:26" x14ac:dyDescent="0.25">
      <c r="Z64" s="233"/>
    </row>
    <row r="65" spans="26:26" x14ac:dyDescent="0.25">
      <c r="Z65" s="233"/>
    </row>
    <row r="66" spans="26:26" x14ac:dyDescent="0.25">
      <c r="Z66" s="233"/>
    </row>
    <row r="67" spans="26:26" x14ac:dyDescent="0.25">
      <c r="Z67" s="233"/>
    </row>
    <row r="68" spans="26:26" x14ac:dyDescent="0.25">
      <c r="Z68" s="233"/>
    </row>
    <row r="69" spans="26:26" x14ac:dyDescent="0.25">
      <c r="Z69" s="233"/>
    </row>
    <row r="70" spans="26:26" x14ac:dyDescent="0.25">
      <c r="Z70" s="233"/>
    </row>
    <row r="71" spans="26:26" x14ac:dyDescent="0.25">
      <c r="Z71" s="233"/>
    </row>
    <row r="72" spans="26:26" x14ac:dyDescent="0.25">
      <c r="Z72" s="233"/>
    </row>
    <row r="73" spans="26:26" x14ac:dyDescent="0.25">
      <c r="Z73" s="233"/>
    </row>
    <row r="74" spans="26:26" x14ac:dyDescent="0.25">
      <c r="Z74" s="233"/>
    </row>
    <row r="75" spans="26:26" x14ac:dyDescent="0.25">
      <c r="Z75" s="233"/>
    </row>
    <row r="76" spans="26:26" x14ac:dyDescent="0.25">
      <c r="Z76" s="233"/>
    </row>
    <row r="77" spans="26:26" x14ac:dyDescent="0.25">
      <c r="Z77" s="233"/>
    </row>
    <row r="78" spans="26:26" x14ac:dyDescent="0.25">
      <c r="Z78" s="233"/>
    </row>
    <row r="79" spans="26:26" x14ac:dyDescent="0.25">
      <c r="Z79" s="233"/>
    </row>
    <row r="80" spans="26:26" x14ac:dyDescent="0.25">
      <c r="Z80" s="233"/>
    </row>
    <row r="81" spans="26:26" x14ac:dyDescent="0.25">
      <c r="Z81" s="233"/>
    </row>
    <row r="82" spans="26:26" x14ac:dyDescent="0.25">
      <c r="Z82" s="233"/>
    </row>
    <row r="83" spans="26:26" x14ac:dyDescent="0.25">
      <c r="Z83" s="233"/>
    </row>
    <row r="84" spans="26:26" x14ac:dyDescent="0.25">
      <c r="Z84" s="233"/>
    </row>
    <row r="85" spans="26:26" x14ac:dyDescent="0.25">
      <c r="Z85" s="233"/>
    </row>
    <row r="86" spans="26:26" x14ac:dyDescent="0.25">
      <c r="Z86" s="233"/>
    </row>
    <row r="87" spans="26:26" x14ac:dyDescent="0.25">
      <c r="Z87" s="233"/>
    </row>
    <row r="88" spans="26:26" x14ac:dyDescent="0.25">
      <c r="Z88" s="233"/>
    </row>
    <row r="89" spans="26:26" x14ac:dyDescent="0.25">
      <c r="Z89" s="233"/>
    </row>
    <row r="90" spans="26:26" x14ac:dyDescent="0.25">
      <c r="Z90" s="233"/>
    </row>
    <row r="91" spans="26:26" x14ac:dyDescent="0.25">
      <c r="Z91" s="233"/>
    </row>
    <row r="92" spans="26:26" x14ac:dyDescent="0.25">
      <c r="Z92" s="233"/>
    </row>
    <row r="93" spans="26:26" x14ac:dyDescent="0.25">
      <c r="Z93" s="233"/>
    </row>
    <row r="94" spans="26:26" x14ac:dyDescent="0.25">
      <c r="Z94" s="233"/>
    </row>
    <row r="95" spans="26:26" x14ac:dyDescent="0.25">
      <c r="Z95" s="233"/>
    </row>
    <row r="96" spans="26:26" x14ac:dyDescent="0.25">
      <c r="Z96" s="233"/>
    </row>
    <row r="97" spans="26:26" x14ac:dyDescent="0.25">
      <c r="Z97" s="233"/>
    </row>
    <row r="98" spans="26:26" x14ac:dyDescent="0.25">
      <c r="Z98" s="233"/>
    </row>
    <row r="99" spans="26:26" x14ac:dyDescent="0.25">
      <c r="Z99" s="233"/>
    </row>
    <row r="100" spans="26:26" x14ac:dyDescent="0.25">
      <c r="Z100" s="233"/>
    </row>
    <row r="101" spans="26:26" x14ac:dyDescent="0.25">
      <c r="Z101" s="233"/>
    </row>
    <row r="102" spans="26:26" x14ac:dyDescent="0.25">
      <c r="Z102" s="233"/>
    </row>
    <row r="103" spans="26:26" x14ac:dyDescent="0.25">
      <c r="Z103" s="233"/>
    </row>
    <row r="104" spans="26:26" x14ac:dyDescent="0.25">
      <c r="Z104" s="233"/>
    </row>
    <row r="105" spans="26:26" x14ac:dyDescent="0.25">
      <c r="Z105" s="233"/>
    </row>
    <row r="106" spans="26:26" x14ac:dyDescent="0.25">
      <c r="Z106" s="233"/>
    </row>
    <row r="107" spans="26:26" x14ac:dyDescent="0.25">
      <c r="Z107" s="233"/>
    </row>
    <row r="108" spans="26:26" x14ac:dyDescent="0.25">
      <c r="Z108" s="233"/>
    </row>
    <row r="109" spans="26:26" x14ac:dyDescent="0.25">
      <c r="Z109" s="233"/>
    </row>
    <row r="110" spans="26:26" x14ac:dyDescent="0.25">
      <c r="Z110" s="233"/>
    </row>
    <row r="111" spans="26:26" x14ac:dyDescent="0.25">
      <c r="Z111" s="233"/>
    </row>
    <row r="112" spans="26:26" x14ac:dyDescent="0.25">
      <c r="Z112" s="233"/>
    </row>
    <row r="113" spans="26:26" x14ac:dyDescent="0.25">
      <c r="Z113" s="233"/>
    </row>
    <row r="114" spans="26:26" x14ac:dyDescent="0.25">
      <c r="Z114" s="233"/>
    </row>
    <row r="115" spans="26:26" x14ac:dyDescent="0.25">
      <c r="Z115" s="233"/>
    </row>
  </sheetData>
  <mergeCells count="15">
    <mergeCell ref="B6:D6"/>
    <mergeCell ref="A44:E44"/>
    <mergeCell ref="Q1:Q4"/>
    <mergeCell ref="R1:Y2"/>
    <mergeCell ref="R3:T3"/>
    <mergeCell ref="U3:W3"/>
    <mergeCell ref="X3:Y3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3:Z43 Z45:Z115">
    <cfRule type="cellIs" dxfId="5" priority="2" operator="lessThan">
      <formula>-1</formula>
    </cfRule>
  </conditionalFormatting>
  <conditionalFormatting sqref="Z3:Z43 Z45:Z115">
    <cfRule type="cellIs" dxfId="4" priority="1" operator="greaterThan">
      <formula>1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8DDD-2F7C-4B33-8EA6-6BEB8B81A27D}">
  <sheetPr>
    <tabColor rgb="FFFFFF00"/>
  </sheetPr>
  <dimension ref="A1:AL115"/>
  <sheetViews>
    <sheetView topLeftCell="G52" zoomScale="70" zoomScaleNormal="70" zoomScaleSheetLayoutView="100" workbookViewId="0">
      <selection activeCell="T117" sqref="T117"/>
    </sheetView>
  </sheetViews>
  <sheetFormatPr defaultColWidth="8.85546875" defaultRowHeight="15" x14ac:dyDescent="0.25"/>
  <cols>
    <col min="1" max="1" width="8.85546875" style="66"/>
    <col min="2" max="2" width="65.140625" style="66" customWidth="1"/>
    <col min="3" max="3" width="9.28515625" style="66" customWidth="1"/>
    <col min="4" max="4" width="11" style="66" bestFit="1" customWidth="1"/>
    <col min="5" max="5" width="15.140625" style="66" customWidth="1"/>
    <col min="6" max="6" width="16" style="66" customWidth="1"/>
    <col min="7" max="7" width="17.140625" style="316" customWidth="1"/>
    <col min="8" max="8" width="16.140625" style="316" customWidth="1"/>
    <col min="9" max="12" width="16.140625" style="66" customWidth="1"/>
    <col min="13" max="16" width="0" style="66" hidden="1" customWidth="1"/>
    <col min="17" max="17" width="11" style="457" bestFit="1" customWidth="1"/>
    <col min="18" max="18" width="15.140625" style="457" customWidth="1"/>
    <col min="19" max="19" width="16" style="457" customWidth="1"/>
    <col min="20" max="20" width="17.140625" style="465" customWidth="1"/>
    <col min="21" max="21" width="16.140625" style="465" customWidth="1"/>
    <col min="22" max="25" width="16.140625" style="457" customWidth="1"/>
    <col min="26" max="26" width="18" style="215" customWidth="1"/>
    <col min="27" max="27" width="39" style="397" customWidth="1"/>
    <col min="28" max="38" width="8.85546875" style="377"/>
    <col min="39" max="16384" width="8.85546875" style="66"/>
  </cols>
  <sheetData>
    <row r="1" spans="1:38" ht="14.45" customHeight="1" x14ac:dyDescent="0.25">
      <c r="A1" s="628" t="s">
        <v>0</v>
      </c>
      <c r="B1" s="631" t="s">
        <v>1</v>
      </c>
      <c r="C1" s="634" t="s">
        <v>2</v>
      </c>
      <c r="D1" s="634" t="s">
        <v>3</v>
      </c>
      <c r="E1" s="635" t="s">
        <v>4</v>
      </c>
      <c r="F1" s="636"/>
      <c r="G1" s="636"/>
      <c r="H1" s="636"/>
      <c r="I1" s="636"/>
      <c r="J1" s="636"/>
      <c r="K1" s="636"/>
      <c r="L1" s="636"/>
      <c r="Q1" s="649" t="s">
        <v>3</v>
      </c>
      <c r="R1" s="650" t="s">
        <v>514</v>
      </c>
      <c r="S1" s="651"/>
      <c r="T1" s="651"/>
      <c r="U1" s="651"/>
      <c r="V1" s="651"/>
      <c r="W1" s="651"/>
      <c r="X1" s="651"/>
      <c r="Y1" s="651"/>
    </row>
    <row r="2" spans="1:38" ht="14.45" customHeight="1" x14ac:dyDescent="0.25">
      <c r="A2" s="629"/>
      <c r="B2" s="632"/>
      <c r="C2" s="634"/>
      <c r="D2" s="634"/>
      <c r="E2" s="637"/>
      <c r="F2" s="638"/>
      <c r="G2" s="638"/>
      <c r="H2" s="638"/>
      <c r="I2" s="638"/>
      <c r="J2" s="638"/>
      <c r="K2" s="638"/>
      <c r="L2" s="638"/>
      <c r="Q2" s="649"/>
      <c r="R2" s="652"/>
      <c r="S2" s="653"/>
      <c r="T2" s="653"/>
      <c r="U2" s="653"/>
      <c r="V2" s="653"/>
      <c r="W2" s="653"/>
      <c r="X2" s="653"/>
      <c r="Y2" s="653"/>
      <c r="Z2" s="223"/>
    </row>
    <row r="3" spans="1:38" ht="27.75" customHeight="1" x14ac:dyDescent="0.25">
      <c r="A3" s="629"/>
      <c r="B3" s="632"/>
      <c r="C3" s="634"/>
      <c r="D3" s="634"/>
      <c r="E3" s="634" t="s">
        <v>5</v>
      </c>
      <c r="F3" s="634"/>
      <c r="G3" s="634"/>
      <c r="H3" s="634" t="s">
        <v>6</v>
      </c>
      <c r="I3" s="634"/>
      <c r="J3" s="634"/>
      <c r="K3" s="639" t="s">
        <v>7</v>
      </c>
      <c r="L3" s="639"/>
      <c r="Q3" s="649"/>
      <c r="R3" s="649" t="s">
        <v>5</v>
      </c>
      <c r="S3" s="649"/>
      <c r="T3" s="649"/>
      <c r="U3" s="649" t="s">
        <v>6</v>
      </c>
      <c r="V3" s="649"/>
      <c r="W3" s="649"/>
      <c r="X3" s="654" t="s">
        <v>7</v>
      </c>
      <c r="Y3" s="654"/>
      <c r="Z3" s="233"/>
    </row>
    <row r="4" spans="1:38" ht="56.1" customHeight="1" x14ac:dyDescent="0.25">
      <c r="A4" s="630"/>
      <c r="B4" s="633"/>
      <c r="C4" s="634"/>
      <c r="D4" s="634"/>
      <c r="E4" s="410" t="s">
        <v>8</v>
      </c>
      <c r="F4" s="410" t="s">
        <v>9</v>
      </c>
      <c r="G4" s="302" t="s">
        <v>10</v>
      </c>
      <c r="H4" s="410" t="s">
        <v>8</v>
      </c>
      <c r="I4" s="410" t="s">
        <v>9</v>
      </c>
      <c r="J4" s="302" t="s">
        <v>10</v>
      </c>
      <c r="K4" s="410" t="s">
        <v>11</v>
      </c>
      <c r="L4" s="410" t="s">
        <v>12</v>
      </c>
      <c r="Q4" s="649"/>
      <c r="R4" s="411" t="s">
        <v>8</v>
      </c>
      <c r="S4" s="411" t="s">
        <v>9</v>
      </c>
      <c r="T4" s="390" t="s">
        <v>10</v>
      </c>
      <c r="U4" s="411" t="s">
        <v>8</v>
      </c>
      <c r="V4" s="411" t="s">
        <v>9</v>
      </c>
      <c r="W4" s="390" t="s">
        <v>10</v>
      </c>
      <c r="X4" s="411" t="s">
        <v>11</v>
      </c>
      <c r="Y4" s="411" t="s">
        <v>12</v>
      </c>
      <c r="Z4" s="233"/>
    </row>
    <row r="5" spans="1:38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6"/>
      <c r="Q5" s="398">
        <v>4</v>
      </c>
      <c r="R5" s="398">
        <v>5</v>
      </c>
      <c r="S5" s="398">
        <v>6</v>
      </c>
      <c r="T5" s="398">
        <v>7</v>
      </c>
      <c r="U5" s="457"/>
      <c r="Z5" s="233"/>
    </row>
    <row r="6" spans="1:38" ht="20.25" customHeight="1" x14ac:dyDescent="0.25">
      <c r="A6" s="6"/>
      <c r="B6" s="617" t="s">
        <v>606</v>
      </c>
      <c r="C6" s="618"/>
      <c r="D6" s="618"/>
      <c r="E6" s="7"/>
      <c r="F6" s="8"/>
      <c r="G6" s="9"/>
      <c r="H6" s="9"/>
      <c r="I6" s="9"/>
      <c r="J6" s="9"/>
      <c r="K6" s="9"/>
      <c r="L6" s="9"/>
      <c r="Q6" s="458"/>
      <c r="R6" s="399"/>
      <c r="S6" s="400"/>
      <c r="T6" s="391"/>
      <c r="U6" s="391"/>
      <c r="V6" s="391"/>
      <c r="W6" s="391"/>
      <c r="X6" s="391"/>
      <c r="Y6" s="391"/>
      <c r="Z6" s="233"/>
    </row>
    <row r="7" spans="1:38" ht="24" customHeight="1" x14ac:dyDescent="0.25">
      <c r="A7" s="158"/>
      <c r="B7" s="379" t="s">
        <v>607</v>
      </c>
      <c r="C7" s="459"/>
      <c r="D7" s="459"/>
      <c r="E7" s="160"/>
      <c r="F7" s="163"/>
      <c r="G7" s="163"/>
      <c r="H7" s="160"/>
      <c r="I7" s="163"/>
      <c r="J7" s="163"/>
      <c r="K7" s="160"/>
      <c r="L7" s="163"/>
      <c r="Q7" s="460"/>
      <c r="R7" s="392"/>
      <c r="S7" s="393"/>
      <c r="T7" s="393"/>
      <c r="U7" s="394"/>
      <c r="V7" s="393"/>
      <c r="W7" s="393"/>
      <c r="X7" s="392"/>
      <c r="Y7" s="393"/>
      <c r="Z7" s="233"/>
    </row>
    <row r="8" spans="1:38" ht="18" customHeight="1" x14ac:dyDescent="0.25">
      <c r="A8" s="183"/>
      <c r="B8" s="178" t="s">
        <v>330</v>
      </c>
      <c r="C8" s="183" t="s">
        <v>13</v>
      </c>
      <c r="D8" s="184">
        <v>13.3</v>
      </c>
      <c r="E8" s="182">
        <f>ROUND(65055.24/(297.03*0.05),2)</f>
        <v>4380.38</v>
      </c>
      <c r="F8" s="182">
        <f>E8*D8</f>
        <v>58259.054000000004</v>
      </c>
      <c r="G8" s="182">
        <f>ROUND(F8*1.2,2)</f>
        <v>69910.86</v>
      </c>
      <c r="H8" s="176"/>
      <c r="I8" s="182"/>
      <c r="J8" s="182"/>
      <c r="K8" s="176">
        <f t="shared" ref="K8:L9" si="0">F8+I8</f>
        <v>58259.054000000004</v>
      </c>
      <c r="L8" s="182">
        <f t="shared" si="0"/>
        <v>69910.86</v>
      </c>
      <c r="Q8" s="401">
        <v>13.3</v>
      </c>
      <c r="R8" s="393">
        <f>ROUND(65055.24/(297.03*0.05),2)</f>
        <v>4380.38</v>
      </c>
      <c r="S8" s="393">
        <f>Q8*R8</f>
        <v>58259.054000000004</v>
      </c>
      <c r="T8" s="393">
        <f>1.2*S8</f>
        <v>69910.864799999996</v>
      </c>
      <c r="U8" s="392"/>
      <c r="V8" s="393">
        <f>U8*Q8</f>
        <v>0</v>
      </c>
      <c r="W8" s="393">
        <f>1.2*V8</f>
        <v>0</v>
      </c>
      <c r="X8" s="392">
        <f>S8+V8</f>
        <v>58259.054000000004</v>
      </c>
      <c r="Y8" s="393">
        <f>T8+W8</f>
        <v>69910.864799999996</v>
      </c>
      <c r="Z8" s="233"/>
    </row>
    <row r="9" spans="1:38" ht="20.25" customHeight="1" x14ac:dyDescent="0.25">
      <c r="A9" s="183"/>
      <c r="B9" s="178" t="s">
        <v>331</v>
      </c>
      <c r="C9" s="183" t="s">
        <v>13</v>
      </c>
      <c r="D9" s="184"/>
      <c r="E9" s="176">
        <v>304</v>
      </c>
      <c r="F9" s="182">
        <f t="shared" ref="F9" si="1">ROUND(E9*D9,2)</f>
        <v>0</v>
      </c>
      <c r="G9" s="182">
        <f t="shared" ref="G9" si="2">ROUND(F9*1.2,2)</f>
        <v>0</v>
      </c>
      <c r="H9" s="182"/>
      <c r="I9" s="182"/>
      <c r="J9" s="182"/>
      <c r="K9" s="176">
        <f t="shared" si="0"/>
        <v>0</v>
      </c>
      <c r="L9" s="182">
        <f t="shared" si="0"/>
        <v>0</v>
      </c>
      <c r="Q9" s="401"/>
      <c r="R9" s="392">
        <v>304</v>
      </c>
      <c r="S9" s="393">
        <f t="shared" ref="S9:S60" si="3">Q9*R9</f>
        <v>0</v>
      </c>
      <c r="T9" s="393">
        <f t="shared" ref="T9:T60" si="4">1.2*S9</f>
        <v>0</v>
      </c>
      <c r="U9" s="393"/>
      <c r="V9" s="393">
        <f t="shared" ref="V9:V60" si="5">U9*Q9</f>
        <v>0</v>
      </c>
      <c r="W9" s="393">
        <f t="shared" ref="W9:W60" si="6">1.2*V9</f>
        <v>0</v>
      </c>
      <c r="X9" s="392">
        <f t="shared" ref="X9:Y60" si="7">S9+V9</f>
        <v>0</v>
      </c>
      <c r="Y9" s="393">
        <f t="shared" si="7"/>
        <v>0</v>
      </c>
      <c r="Z9" s="233"/>
    </row>
    <row r="10" spans="1:38" ht="20.25" customHeight="1" x14ac:dyDescent="0.25">
      <c r="A10" s="113"/>
      <c r="B10" s="380" t="s">
        <v>164</v>
      </c>
      <c r="C10" s="88"/>
      <c r="D10" s="89"/>
      <c r="E10" s="381"/>
      <c r="F10" s="381"/>
      <c r="G10" s="382"/>
      <c r="H10" s="461"/>
      <c r="I10" s="91"/>
      <c r="J10" s="91"/>
      <c r="K10" s="18"/>
      <c r="L10" s="91"/>
      <c r="Q10" s="402"/>
      <c r="R10" s="403"/>
      <c r="S10" s="393">
        <f t="shared" si="3"/>
        <v>0</v>
      </c>
      <c r="T10" s="393">
        <f t="shared" si="4"/>
        <v>0</v>
      </c>
      <c r="U10" s="396"/>
      <c r="V10" s="393">
        <f t="shared" si="5"/>
        <v>0</v>
      </c>
      <c r="W10" s="393">
        <f t="shared" si="6"/>
        <v>0</v>
      </c>
      <c r="X10" s="392">
        <f t="shared" si="7"/>
        <v>0</v>
      </c>
      <c r="Y10" s="393">
        <f t="shared" si="7"/>
        <v>0</v>
      </c>
      <c r="Z10" s="233"/>
    </row>
    <row r="11" spans="1:38" ht="21" customHeight="1" x14ac:dyDescent="0.25">
      <c r="A11" s="183"/>
      <c r="B11" s="178" t="s">
        <v>165</v>
      </c>
      <c r="C11" s="183" t="s">
        <v>608</v>
      </c>
      <c r="D11" s="188">
        <f>15.217+3.804</f>
        <v>19.021000000000001</v>
      </c>
      <c r="E11" s="176">
        <v>335</v>
      </c>
      <c r="F11" s="182">
        <f>E11*D11</f>
        <v>6372.0349999999999</v>
      </c>
      <c r="G11" s="182">
        <f>ROUND(F11*1.2,2)</f>
        <v>7646.44</v>
      </c>
      <c r="H11" s="462"/>
      <c r="I11" s="182"/>
      <c r="J11" s="182"/>
      <c r="K11" s="176">
        <f t="shared" ref="K11:L11" si="8">F11+I11</f>
        <v>6372.0349999999999</v>
      </c>
      <c r="L11" s="182">
        <f t="shared" si="8"/>
        <v>7646.44</v>
      </c>
      <c r="Q11" s="404">
        <f>15.217+3.804</f>
        <v>19.021000000000001</v>
      </c>
      <c r="R11" s="392">
        <f>'[11]Резка+погр'!I3</f>
        <v>335</v>
      </c>
      <c r="S11" s="393">
        <f t="shared" si="3"/>
        <v>6372.0349999999999</v>
      </c>
      <c r="T11" s="393">
        <f t="shared" si="4"/>
        <v>7646.4419999999991</v>
      </c>
      <c r="U11" s="396"/>
      <c r="V11" s="393">
        <f t="shared" si="5"/>
        <v>0</v>
      </c>
      <c r="W11" s="393">
        <f t="shared" si="6"/>
        <v>0</v>
      </c>
      <c r="X11" s="392">
        <f t="shared" si="7"/>
        <v>6372.0349999999999</v>
      </c>
      <c r="Y11" s="393">
        <f t="shared" si="7"/>
        <v>7646.4419999999991</v>
      </c>
      <c r="Z11" s="233"/>
    </row>
    <row r="12" spans="1:38" ht="22.5" customHeight="1" x14ac:dyDescent="0.25">
      <c r="A12" s="158"/>
      <c r="B12" s="383" t="s">
        <v>609</v>
      </c>
      <c r="C12" s="158"/>
      <c r="D12" s="159"/>
      <c r="E12" s="160"/>
      <c r="F12" s="163"/>
      <c r="G12" s="163"/>
      <c r="H12" s="160"/>
      <c r="I12" s="163"/>
      <c r="J12" s="163"/>
      <c r="K12" s="160"/>
      <c r="L12" s="163"/>
      <c r="Q12" s="401"/>
      <c r="R12" s="394"/>
      <c r="S12" s="393">
        <f t="shared" si="3"/>
        <v>0</v>
      </c>
      <c r="T12" s="393">
        <f t="shared" si="4"/>
        <v>0</v>
      </c>
      <c r="U12" s="394"/>
      <c r="V12" s="393">
        <f t="shared" si="5"/>
        <v>0</v>
      </c>
      <c r="W12" s="393">
        <f t="shared" si="6"/>
        <v>0</v>
      </c>
      <c r="X12" s="392">
        <f t="shared" si="7"/>
        <v>0</v>
      </c>
      <c r="Y12" s="393">
        <f t="shared" si="7"/>
        <v>0</v>
      </c>
      <c r="Z12" s="233"/>
    </row>
    <row r="13" spans="1:38" ht="20.25" customHeight="1" x14ac:dyDescent="0.25">
      <c r="A13" s="183"/>
      <c r="B13" s="178" t="s">
        <v>159</v>
      </c>
      <c r="C13" s="183" t="s">
        <v>13</v>
      </c>
      <c r="D13" s="184">
        <v>52</v>
      </c>
      <c r="E13" s="176">
        <v>308.75</v>
      </c>
      <c r="F13" s="182">
        <f t="shared" ref="F13:F17" si="9">E13*D13</f>
        <v>16055</v>
      </c>
      <c r="G13" s="182">
        <f t="shared" ref="G13:G18" si="10">ROUND(F13*1.2,2)</f>
        <v>19266</v>
      </c>
      <c r="H13" s="462"/>
      <c r="I13" s="182"/>
      <c r="J13" s="182"/>
      <c r="K13" s="176">
        <f t="shared" ref="K13:L19" si="11">F13+I13</f>
        <v>16055</v>
      </c>
      <c r="L13" s="182">
        <f t="shared" si="11"/>
        <v>19266</v>
      </c>
      <c r="Q13" s="401">
        <v>52</v>
      </c>
      <c r="R13" s="392">
        <v>308.75</v>
      </c>
      <c r="S13" s="393">
        <f t="shared" si="3"/>
        <v>16055</v>
      </c>
      <c r="T13" s="393">
        <f t="shared" si="4"/>
        <v>19266</v>
      </c>
      <c r="U13" s="396"/>
      <c r="V13" s="393">
        <f t="shared" si="5"/>
        <v>0</v>
      </c>
      <c r="W13" s="393">
        <f t="shared" si="6"/>
        <v>0</v>
      </c>
      <c r="X13" s="392">
        <f t="shared" si="7"/>
        <v>16055</v>
      </c>
      <c r="Y13" s="393">
        <f t="shared" si="7"/>
        <v>19266</v>
      </c>
      <c r="Z13" s="233"/>
    </row>
    <row r="14" spans="1:38" ht="24" customHeight="1" x14ac:dyDescent="0.25">
      <c r="A14" s="183"/>
      <c r="B14" s="178" t="s">
        <v>320</v>
      </c>
      <c r="C14" s="183" t="s">
        <v>13</v>
      </c>
      <c r="D14" s="184">
        <v>2.7</v>
      </c>
      <c r="E14" s="176">
        <v>1688.15</v>
      </c>
      <c r="F14" s="182">
        <f t="shared" si="9"/>
        <v>4558.0050000000001</v>
      </c>
      <c r="G14" s="182">
        <f t="shared" si="10"/>
        <v>5469.61</v>
      </c>
      <c r="H14" s="462"/>
      <c r="I14" s="182"/>
      <c r="J14" s="182"/>
      <c r="K14" s="176">
        <f t="shared" si="11"/>
        <v>4558.0050000000001</v>
      </c>
      <c r="L14" s="182">
        <f t="shared" si="11"/>
        <v>5469.61</v>
      </c>
      <c r="Q14" s="401">
        <v>2.7</v>
      </c>
      <c r="R14" s="392">
        <v>1688.15</v>
      </c>
      <c r="S14" s="393">
        <f t="shared" si="3"/>
        <v>4558.0050000000001</v>
      </c>
      <c r="T14" s="393">
        <f t="shared" si="4"/>
        <v>5469.6059999999998</v>
      </c>
      <c r="U14" s="396"/>
      <c r="V14" s="393">
        <f t="shared" si="5"/>
        <v>0</v>
      </c>
      <c r="W14" s="393">
        <f t="shared" si="6"/>
        <v>0</v>
      </c>
      <c r="X14" s="392">
        <f t="shared" si="7"/>
        <v>4558.0050000000001</v>
      </c>
      <c r="Y14" s="393">
        <f t="shared" si="7"/>
        <v>5469.6059999999998</v>
      </c>
      <c r="Z14" s="233"/>
    </row>
    <row r="15" spans="1:38" s="148" customFormat="1" ht="21.75" customHeight="1" x14ac:dyDescent="0.25">
      <c r="A15" s="183"/>
      <c r="B15" s="178" t="s">
        <v>589</v>
      </c>
      <c r="C15" s="183" t="s">
        <v>13</v>
      </c>
      <c r="D15" s="184">
        <v>38</v>
      </c>
      <c r="E15" s="176">
        <v>308.75</v>
      </c>
      <c r="F15" s="182">
        <f t="shared" si="9"/>
        <v>11732.5</v>
      </c>
      <c r="G15" s="182">
        <f t="shared" si="10"/>
        <v>14079</v>
      </c>
      <c r="H15" s="462"/>
      <c r="I15" s="182"/>
      <c r="J15" s="182"/>
      <c r="K15" s="176">
        <f t="shared" si="11"/>
        <v>11732.5</v>
      </c>
      <c r="L15" s="182">
        <f t="shared" si="11"/>
        <v>14079</v>
      </c>
      <c r="Q15" s="401">
        <v>38</v>
      </c>
      <c r="R15" s="392">
        <v>308.75</v>
      </c>
      <c r="S15" s="393">
        <f t="shared" si="3"/>
        <v>11732.5</v>
      </c>
      <c r="T15" s="393">
        <f t="shared" si="4"/>
        <v>14079</v>
      </c>
      <c r="U15" s="396"/>
      <c r="V15" s="393">
        <f t="shared" si="5"/>
        <v>0</v>
      </c>
      <c r="W15" s="393">
        <f t="shared" si="6"/>
        <v>0</v>
      </c>
      <c r="X15" s="392">
        <f t="shared" si="7"/>
        <v>11732.5</v>
      </c>
      <c r="Y15" s="393">
        <f t="shared" si="7"/>
        <v>14079</v>
      </c>
      <c r="Z15" s="233"/>
      <c r="AA15" s="39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</row>
    <row r="16" spans="1:38" s="148" customFormat="1" ht="21.75" customHeight="1" x14ac:dyDescent="0.25">
      <c r="A16" s="183"/>
      <c r="B16" s="178" t="s">
        <v>332</v>
      </c>
      <c r="C16" s="183" t="s">
        <v>13</v>
      </c>
      <c r="D16" s="184">
        <v>9.6</v>
      </c>
      <c r="E16" s="176">
        <v>854.05</v>
      </c>
      <c r="F16" s="182">
        <f t="shared" si="9"/>
        <v>8198.8799999999992</v>
      </c>
      <c r="G16" s="182">
        <f t="shared" si="10"/>
        <v>9838.66</v>
      </c>
      <c r="H16" s="462"/>
      <c r="I16" s="182"/>
      <c r="J16" s="182"/>
      <c r="K16" s="176">
        <f t="shared" si="11"/>
        <v>8198.8799999999992</v>
      </c>
      <c r="L16" s="182">
        <f t="shared" si="11"/>
        <v>9838.66</v>
      </c>
      <c r="Q16" s="401">
        <v>9.6</v>
      </c>
      <c r="R16" s="392">
        <v>854.05</v>
      </c>
      <c r="S16" s="393">
        <f t="shared" si="3"/>
        <v>8198.8799999999992</v>
      </c>
      <c r="T16" s="393">
        <f t="shared" si="4"/>
        <v>9838.655999999999</v>
      </c>
      <c r="U16" s="396"/>
      <c r="V16" s="393">
        <f t="shared" si="5"/>
        <v>0</v>
      </c>
      <c r="W16" s="393">
        <f t="shared" si="6"/>
        <v>0</v>
      </c>
      <c r="X16" s="392">
        <f t="shared" si="7"/>
        <v>8198.8799999999992</v>
      </c>
      <c r="Y16" s="393">
        <f t="shared" si="7"/>
        <v>9838.655999999999</v>
      </c>
      <c r="Z16" s="233"/>
      <c r="AA16" s="397"/>
      <c r="AB16" s="377"/>
      <c r="AC16" s="377"/>
      <c r="AD16" s="377"/>
      <c r="AE16" s="377"/>
      <c r="AF16" s="377"/>
      <c r="AG16" s="377"/>
      <c r="AH16" s="377"/>
      <c r="AI16" s="377"/>
      <c r="AJ16" s="377"/>
      <c r="AK16" s="377"/>
      <c r="AL16" s="377"/>
    </row>
    <row r="17" spans="1:27" ht="18" customHeight="1" x14ac:dyDescent="0.25">
      <c r="A17" s="183"/>
      <c r="B17" s="178" t="s">
        <v>16</v>
      </c>
      <c r="C17" s="183" t="s">
        <v>17</v>
      </c>
      <c r="D17" s="188">
        <f>87.28+60.24</f>
        <v>147.52000000000001</v>
      </c>
      <c r="E17" s="176">
        <v>308.75</v>
      </c>
      <c r="F17" s="182">
        <f t="shared" si="9"/>
        <v>45546.8</v>
      </c>
      <c r="G17" s="182">
        <f t="shared" si="10"/>
        <v>54656.160000000003</v>
      </c>
      <c r="H17" s="462"/>
      <c r="I17" s="182"/>
      <c r="J17" s="182"/>
      <c r="K17" s="176">
        <f t="shared" si="11"/>
        <v>45546.8</v>
      </c>
      <c r="L17" s="182">
        <f t="shared" si="11"/>
        <v>54656.160000000003</v>
      </c>
      <c r="Q17" s="404">
        <f>87.28+60.24</f>
        <v>147.52000000000001</v>
      </c>
      <c r="R17" s="392">
        <v>308.75</v>
      </c>
      <c r="S17" s="393">
        <f t="shared" si="3"/>
        <v>45546.8</v>
      </c>
      <c r="T17" s="393">
        <f t="shared" si="4"/>
        <v>54656.160000000003</v>
      </c>
      <c r="U17" s="396"/>
      <c r="V17" s="393">
        <f t="shared" si="5"/>
        <v>0</v>
      </c>
      <c r="W17" s="393">
        <f t="shared" si="6"/>
        <v>0</v>
      </c>
      <c r="X17" s="392">
        <f t="shared" si="7"/>
        <v>45546.8</v>
      </c>
      <c r="Y17" s="393">
        <f t="shared" si="7"/>
        <v>54656.160000000003</v>
      </c>
      <c r="Z17" s="233"/>
    </row>
    <row r="18" spans="1:27" ht="18" customHeight="1" x14ac:dyDescent="0.25">
      <c r="A18" s="172"/>
      <c r="B18" s="171" t="s">
        <v>610</v>
      </c>
      <c r="C18" s="172" t="s">
        <v>17</v>
      </c>
      <c r="D18" s="173">
        <f>87.28+60.24</f>
        <v>147.52000000000001</v>
      </c>
      <c r="E18" s="174">
        <v>350</v>
      </c>
      <c r="F18" s="179">
        <f t="shared" ref="F18" si="12">ROUND(E18*D18,2)</f>
        <v>51632</v>
      </c>
      <c r="G18" s="179">
        <f t="shared" si="10"/>
        <v>61958.400000000001</v>
      </c>
      <c r="H18" s="174"/>
      <c r="I18" s="179"/>
      <c r="J18" s="179"/>
      <c r="K18" s="174">
        <f t="shared" si="11"/>
        <v>51632</v>
      </c>
      <c r="L18" s="179">
        <f t="shared" si="11"/>
        <v>61958.400000000001</v>
      </c>
      <c r="Q18" s="401">
        <f>87.28+60.24</f>
        <v>147.52000000000001</v>
      </c>
      <c r="R18" s="394">
        <v>350</v>
      </c>
      <c r="S18" s="393">
        <f t="shared" si="3"/>
        <v>51632</v>
      </c>
      <c r="T18" s="393">
        <f t="shared" si="4"/>
        <v>61958.399999999994</v>
      </c>
      <c r="U18" s="394"/>
      <c r="V18" s="393">
        <f t="shared" si="5"/>
        <v>0</v>
      </c>
      <c r="W18" s="393">
        <f t="shared" si="6"/>
        <v>0</v>
      </c>
      <c r="X18" s="392">
        <f t="shared" si="7"/>
        <v>51632</v>
      </c>
      <c r="Y18" s="393">
        <f t="shared" si="7"/>
        <v>61958.399999999994</v>
      </c>
      <c r="Z18" s="233"/>
    </row>
    <row r="19" spans="1:27" ht="18" customHeight="1" x14ac:dyDescent="0.25">
      <c r="A19" s="183"/>
      <c r="B19" s="178" t="s">
        <v>16</v>
      </c>
      <c r="C19" s="183" t="s">
        <v>17</v>
      </c>
      <c r="D19" s="188">
        <f>22.85*1.9</f>
        <v>43.414999999999999</v>
      </c>
      <c r="E19" s="176">
        <v>308.75</v>
      </c>
      <c r="F19" s="182">
        <f>E19*D19</f>
        <v>13404.38125</v>
      </c>
      <c r="G19" s="182">
        <f>ROUND(F19*1.2,2)</f>
        <v>16085.26</v>
      </c>
      <c r="H19" s="462"/>
      <c r="I19" s="182"/>
      <c r="J19" s="182"/>
      <c r="K19" s="176">
        <f t="shared" si="11"/>
        <v>13404.38125</v>
      </c>
      <c r="L19" s="182">
        <f t="shared" si="11"/>
        <v>16085.26</v>
      </c>
      <c r="Q19" s="404">
        <f>22.85*1.9</f>
        <v>43.414999999999999</v>
      </c>
      <c r="R19" s="392">
        <v>308.75</v>
      </c>
      <c r="S19" s="393">
        <f t="shared" si="3"/>
        <v>13404.38125</v>
      </c>
      <c r="T19" s="393">
        <f t="shared" si="4"/>
        <v>16085.2575</v>
      </c>
      <c r="U19" s="396"/>
      <c r="V19" s="393">
        <f t="shared" si="5"/>
        <v>0</v>
      </c>
      <c r="W19" s="393">
        <f t="shared" si="6"/>
        <v>0</v>
      </c>
      <c r="X19" s="392">
        <f t="shared" si="7"/>
        <v>13404.38125</v>
      </c>
      <c r="Y19" s="393">
        <f t="shared" si="7"/>
        <v>16085.2575</v>
      </c>
      <c r="Z19" s="233"/>
    </row>
    <row r="20" spans="1:27" ht="20.25" customHeight="1" x14ac:dyDescent="0.25">
      <c r="A20" s="384"/>
      <c r="B20" s="383" t="s">
        <v>611</v>
      </c>
      <c r="C20" s="158"/>
      <c r="D20" s="159"/>
      <c r="E20" s="160"/>
      <c r="F20" s="163"/>
      <c r="G20" s="163"/>
      <c r="H20" s="160"/>
      <c r="I20" s="163"/>
      <c r="J20" s="163"/>
      <c r="K20" s="160"/>
      <c r="L20" s="163"/>
      <c r="Q20" s="401"/>
      <c r="R20" s="394"/>
      <c r="S20" s="393">
        <f t="shared" si="3"/>
        <v>0</v>
      </c>
      <c r="T20" s="393">
        <f t="shared" si="4"/>
        <v>0</v>
      </c>
      <c r="U20" s="392"/>
      <c r="V20" s="393">
        <f t="shared" si="5"/>
        <v>0</v>
      </c>
      <c r="W20" s="393">
        <f t="shared" si="6"/>
        <v>0</v>
      </c>
      <c r="X20" s="392">
        <f t="shared" si="7"/>
        <v>0</v>
      </c>
      <c r="Y20" s="393">
        <f t="shared" si="7"/>
        <v>0</v>
      </c>
      <c r="Z20" s="233"/>
    </row>
    <row r="21" spans="1:27" ht="18" customHeight="1" x14ac:dyDescent="0.25">
      <c r="A21" s="183"/>
      <c r="B21" s="185" t="s">
        <v>612</v>
      </c>
      <c r="C21" s="183" t="s">
        <v>13</v>
      </c>
      <c r="D21" s="184">
        <v>2.8</v>
      </c>
      <c r="E21" s="176">
        <v>2637.2</v>
      </c>
      <c r="F21" s="182">
        <f>E21*D21</f>
        <v>7384.1599999999989</v>
      </c>
      <c r="G21" s="182">
        <f>ROUND(F21*1.2,2)</f>
        <v>8860.99</v>
      </c>
      <c r="H21" s="176"/>
      <c r="I21" s="182"/>
      <c r="J21" s="182"/>
      <c r="K21" s="176">
        <v>27480.959999999999</v>
      </c>
      <c r="L21" s="182">
        <v>32977.15</v>
      </c>
      <c r="Q21" s="401">
        <v>2.8</v>
      </c>
      <c r="R21" s="392">
        <v>2637.2</v>
      </c>
      <c r="S21" s="393">
        <f t="shared" si="3"/>
        <v>7384.1599999999989</v>
      </c>
      <c r="T21" s="393">
        <f t="shared" si="4"/>
        <v>8860.9919999999984</v>
      </c>
      <c r="U21" s="394"/>
      <c r="V21" s="393">
        <f t="shared" si="5"/>
        <v>0</v>
      </c>
      <c r="W21" s="393">
        <f t="shared" si="6"/>
        <v>0</v>
      </c>
      <c r="X21" s="392">
        <f t="shared" si="7"/>
        <v>7384.1599999999989</v>
      </c>
      <c r="Y21" s="408">
        <f t="shared" si="7"/>
        <v>8860.9919999999984</v>
      </c>
      <c r="Z21" s="233">
        <f t="shared" ref="Z21:Z41" si="13">Y21-L21</f>
        <v>-24116.158000000003</v>
      </c>
      <c r="AA21" s="409" t="s">
        <v>650</v>
      </c>
    </row>
    <row r="22" spans="1:27" ht="18" customHeight="1" x14ac:dyDescent="0.25">
      <c r="A22" s="113"/>
      <c r="B22" s="19" t="s">
        <v>613</v>
      </c>
      <c r="C22" s="114" t="s">
        <v>13</v>
      </c>
      <c r="D22" s="385">
        <v>2.8250000000000002</v>
      </c>
      <c r="E22" s="28"/>
      <c r="F22" s="134"/>
      <c r="G22" s="134"/>
      <c r="H22" s="28">
        <v>4370</v>
      </c>
      <c r="I22" s="134">
        <f>ROUND(H22*D22,2)</f>
        <v>12345.25</v>
      </c>
      <c r="J22" s="134">
        <f>ROUND(I22*1.2,2)</f>
        <v>14814.3</v>
      </c>
      <c r="K22" s="28">
        <f t="shared" ref="K22:L34" si="14">F22+I22</f>
        <v>12345.25</v>
      </c>
      <c r="L22" s="134">
        <f t="shared" si="14"/>
        <v>14814.3</v>
      </c>
      <c r="Q22" s="405">
        <v>2.8250000000000002</v>
      </c>
      <c r="R22" s="394"/>
      <c r="S22" s="393">
        <f t="shared" si="3"/>
        <v>0</v>
      </c>
      <c r="T22" s="393">
        <f t="shared" si="4"/>
        <v>0</v>
      </c>
      <c r="U22" s="392">
        <v>4370</v>
      </c>
      <c r="V22" s="393">
        <f t="shared" si="5"/>
        <v>12345.25</v>
      </c>
      <c r="W22" s="393">
        <f t="shared" si="6"/>
        <v>14814.3</v>
      </c>
      <c r="X22" s="392">
        <f t="shared" si="7"/>
        <v>12345.25</v>
      </c>
      <c r="Y22" s="393">
        <f t="shared" si="7"/>
        <v>14814.3</v>
      </c>
      <c r="Z22" s="233"/>
    </row>
    <row r="23" spans="1:27" ht="21" customHeight="1" x14ac:dyDescent="0.25">
      <c r="A23" s="183"/>
      <c r="B23" s="178" t="s">
        <v>614</v>
      </c>
      <c r="C23" s="183" t="s">
        <v>13</v>
      </c>
      <c r="D23" s="184">
        <v>13.9</v>
      </c>
      <c r="E23" s="176">
        <v>8275.4499999999989</v>
      </c>
      <c r="F23" s="182">
        <f>E23*D23</f>
        <v>115028.75499999999</v>
      </c>
      <c r="G23" s="182">
        <f>ROUND(F23*1.2,2)</f>
        <v>138034.51</v>
      </c>
      <c r="H23" s="176"/>
      <c r="I23" s="182"/>
      <c r="J23" s="182"/>
      <c r="K23" s="176">
        <f t="shared" si="14"/>
        <v>115028.75499999999</v>
      </c>
      <c r="L23" s="182">
        <f t="shared" si="14"/>
        <v>138034.51</v>
      </c>
      <c r="Q23" s="401">
        <v>13.9</v>
      </c>
      <c r="R23" s="392">
        <v>8275.4499999999989</v>
      </c>
      <c r="S23" s="393">
        <f t="shared" si="3"/>
        <v>115028.75499999999</v>
      </c>
      <c r="T23" s="393">
        <f t="shared" si="4"/>
        <v>138034.50599999999</v>
      </c>
      <c r="U23" s="392"/>
      <c r="V23" s="393">
        <f t="shared" si="5"/>
        <v>0</v>
      </c>
      <c r="W23" s="393">
        <f t="shared" si="6"/>
        <v>0</v>
      </c>
      <c r="X23" s="392">
        <f t="shared" si="7"/>
        <v>115028.75499999999</v>
      </c>
      <c r="Y23" s="393">
        <f t="shared" si="7"/>
        <v>138034.50599999999</v>
      </c>
      <c r="Z23" s="233"/>
    </row>
    <row r="24" spans="1:27" ht="20.25" customHeight="1" x14ac:dyDescent="0.25">
      <c r="A24" s="113"/>
      <c r="B24" s="150" t="s">
        <v>615</v>
      </c>
      <c r="C24" s="114" t="s">
        <v>13</v>
      </c>
      <c r="D24" s="115">
        <f>0.169+17.278</f>
        <v>17.446999999999999</v>
      </c>
      <c r="E24" s="28"/>
      <c r="F24" s="134"/>
      <c r="G24" s="134"/>
      <c r="H24" s="28">
        <v>4655</v>
      </c>
      <c r="I24" s="134">
        <f t="shared" ref="I24:I29" si="15">ROUND(H24*D24,2)</f>
        <v>81215.789999999994</v>
      </c>
      <c r="J24" s="134">
        <f t="shared" ref="J24:J29" si="16">ROUND(I24*1.2,2)</f>
        <v>97458.95</v>
      </c>
      <c r="K24" s="28">
        <f t="shared" si="14"/>
        <v>81215.789999999994</v>
      </c>
      <c r="L24" s="134">
        <f t="shared" si="14"/>
        <v>97458.95</v>
      </c>
      <c r="Q24" s="401">
        <f>0.169+17.278</f>
        <v>17.446999999999999</v>
      </c>
      <c r="R24" s="394"/>
      <c r="S24" s="393">
        <f t="shared" si="3"/>
        <v>0</v>
      </c>
      <c r="T24" s="393">
        <f t="shared" si="4"/>
        <v>0</v>
      </c>
      <c r="U24" s="392">
        <v>4655</v>
      </c>
      <c r="V24" s="393">
        <f t="shared" si="5"/>
        <v>81215.784999999989</v>
      </c>
      <c r="W24" s="393">
        <f t="shared" si="6"/>
        <v>97458.941999999981</v>
      </c>
      <c r="X24" s="392">
        <f t="shared" si="7"/>
        <v>81215.784999999989</v>
      </c>
      <c r="Y24" s="393">
        <f t="shared" si="7"/>
        <v>97458.941999999981</v>
      </c>
      <c r="Z24" s="233"/>
    </row>
    <row r="25" spans="1:27" ht="20.25" customHeight="1" x14ac:dyDescent="0.25">
      <c r="A25" s="113"/>
      <c r="B25" s="150" t="s">
        <v>616</v>
      </c>
      <c r="C25" s="114" t="s">
        <v>58</v>
      </c>
      <c r="D25" s="115">
        <v>171</v>
      </c>
      <c r="E25" s="28"/>
      <c r="F25" s="134"/>
      <c r="G25" s="134"/>
      <c r="H25" s="28">
        <v>80.75</v>
      </c>
      <c r="I25" s="134">
        <f t="shared" si="15"/>
        <v>13808.25</v>
      </c>
      <c r="J25" s="134">
        <f t="shared" si="16"/>
        <v>16569.900000000001</v>
      </c>
      <c r="K25" s="28">
        <f t="shared" si="14"/>
        <v>13808.25</v>
      </c>
      <c r="L25" s="134">
        <f t="shared" si="14"/>
        <v>16569.900000000001</v>
      </c>
      <c r="Q25" s="401">
        <v>171</v>
      </c>
      <c r="R25" s="394"/>
      <c r="S25" s="393">
        <f t="shared" si="3"/>
        <v>0</v>
      </c>
      <c r="T25" s="393">
        <f t="shared" si="4"/>
        <v>0</v>
      </c>
      <c r="U25" s="392">
        <v>80.75</v>
      </c>
      <c r="V25" s="393">
        <f t="shared" si="5"/>
        <v>13808.25</v>
      </c>
      <c r="W25" s="393">
        <f t="shared" si="6"/>
        <v>16569.899999999998</v>
      </c>
      <c r="X25" s="392">
        <f t="shared" si="7"/>
        <v>13808.25</v>
      </c>
      <c r="Y25" s="393">
        <f t="shared" si="7"/>
        <v>16569.899999999998</v>
      </c>
      <c r="Z25" s="233"/>
    </row>
    <row r="26" spans="1:27" ht="20.25" customHeight="1" x14ac:dyDescent="0.25">
      <c r="A26" s="113"/>
      <c r="B26" s="150" t="s">
        <v>617</v>
      </c>
      <c r="C26" s="114" t="s">
        <v>58</v>
      </c>
      <c r="D26" s="115">
        <v>442</v>
      </c>
      <c r="E26" s="28"/>
      <c r="F26" s="134"/>
      <c r="G26" s="134"/>
      <c r="H26" s="28">
        <v>80.75</v>
      </c>
      <c r="I26" s="134">
        <f t="shared" si="15"/>
        <v>35691.5</v>
      </c>
      <c r="J26" s="134">
        <f t="shared" si="16"/>
        <v>42829.8</v>
      </c>
      <c r="K26" s="28">
        <f t="shared" si="14"/>
        <v>35691.5</v>
      </c>
      <c r="L26" s="134">
        <f t="shared" si="14"/>
        <v>42829.8</v>
      </c>
      <c r="Q26" s="401">
        <v>442</v>
      </c>
      <c r="R26" s="394"/>
      <c r="S26" s="393">
        <f t="shared" si="3"/>
        <v>0</v>
      </c>
      <c r="T26" s="393">
        <f t="shared" si="4"/>
        <v>0</v>
      </c>
      <c r="U26" s="392">
        <v>80.75</v>
      </c>
      <c r="V26" s="393">
        <f t="shared" si="5"/>
        <v>35691.5</v>
      </c>
      <c r="W26" s="393">
        <f t="shared" si="6"/>
        <v>42829.799999999996</v>
      </c>
      <c r="X26" s="392">
        <f t="shared" si="7"/>
        <v>35691.5</v>
      </c>
      <c r="Y26" s="393">
        <f t="shared" si="7"/>
        <v>42829.799999999996</v>
      </c>
      <c r="Z26" s="233"/>
    </row>
    <row r="27" spans="1:27" ht="20.25" customHeight="1" x14ac:dyDescent="0.25">
      <c r="A27" s="113"/>
      <c r="B27" s="150" t="s">
        <v>618</v>
      </c>
      <c r="C27" s="114" t="s">
        <v>58</v>
      </c>
      <c r="D27" s="115">
        <v>167</v>
      </c>
      <c r="E27" s="28"/>
      <c r="F27" s="134"/>
      <c r="G27" s="134"/>
      <c r="H27" s="28">
        <v>80.75</v>
      </c>
      <c r="I27" s="134">
        <f t="shared" si="15"/>
        <v>13485.25</v>
      </c>
      <c r="J27" s="134">
        <f t="shared" si="16"/>
        <v>16182.3</v>
      </c>
      <c r="K27" s="28">
        <f t="shared" si="14"/>
        <v>13485.25</v>
      </c>
      <c r="L27" s="134">
        <f t="shared" si="14"/>
        <v>16182.3</v>
      </c>
      <c r="Q27" s="401">
        <v>167</v>
      </c>
      <c r="R27" s="394"/>
      <c r="S27" s="393">
        <f t="shared" si="3"/>
        <v>0</v>
      </c>
      <c r="T27" s="393">
        <f t="shared" si="4"/>
        <v>0</v>
      </c>
      <c r="U27" s="392">
        <v>80.75</v>
      </c>
      <c r="V27" s="393">
        <f t="shared" si="5"/>
        <v>13485.25</v>
      </c>
      <c r="W27" s="393">
        <f t="shared" si="6"/>
        <v>16182.3</v>
      </c>
      <c r="X27" s="392">
        <f t="shared" si="7"/>
        <v>13485.25</v>
      </c>
      <c r="Y27" s="393">
        <f t="shared" si="7"/>
        <v>16182.3</v>
      </c>
      <c r="Z27" s="233"/>
    </row>
    <row r="28" spans="1:27" ht="20.25" customHeight="1" x14ac:dyDescent="0.25">
      <c r="A28" s="113"/>
      <c r="B28" s="150" t="s">
        <v>619</v>
      </c>
      <c r="C28" s="114" t="s">
        <v>58</v>
      </c>
      <c r="D28" s="115">
        <v>189</v>
      </c>
      <c r="E28" s="28"/>
      <c r="F28" s="134"/>
      <c r="G28" s="134"/>
      <c r="H28" s="28">
        <v>80.75</v>
      </c>
      <c r="I28" s="134">
        <f t="shared" si="15"/>
        <v>15261.75</v>
      </c>
      <c r="J28" s="134">
        <f t="shared" si="16"/>
        <v>18314.099999999999</v>
      </c>
      <c r="K28" s="28">
        <f t="shared" si="14"/>
        <v>15261.75</v>
      </c>
      <c r="L28" s="134">
        <f t="shared" si="14"/>
        <v>18314.099999999999</v>
      </c>
      <c r="Q28" s="401">
        <v>189</v>
      </c>
      <c r="R28" s="394"/>
      <c r="S28" s="393">
        <f t="shared" si="3"/>
        <v>0</v>
      </c>
      <c r="T28" s="393">
        <f t="shared" si="4"/>
        <v>0</v>
      </c>
      <c r="U28" s="392">
        <v>80.75</v>
      </c>
      <c r="V28" s="393">
        <f t="shared" si="5"/>
        <v>15261.75</v>
      </c>
      <c r="W28" s="393">
        <f t="shared" si="6"/>
        <v>18314.099999999999</v>
      </c>
      <c r="X28" s="392">
        <f t="shared" si="7"/>
        <v>15261.75</v>
      </c>
      <c r="Y28" s="393">
        <f t="shared" si="7"/>
        <v>18314.099999999999</v>
      </c>
      <c r="Z28" s="233"/>
    </row>
    <row r="29" spans="1:27" ht="20.25" customHeight="1" x14ac:dyDescent="0.25">
      <c r="A29" s="113"/>
      <c r="B29" s="150" t="s">
        <v>620</v>
      </c>
      <c r="C29" s="114" t="s">
        <v>58</v>
      </c>
      <c r="D29" s="115">
        <v>26</v>
      </c>
      <c r="E29" s="28"/>
      <c r="F29" s="134"/>
      <c r="G29" s="134"/>
      <c r="H29" s="28">
        <v>71.25</v>
      </c>
      <c r="I29" s="134">
        <f t="shared" si="15"/>
        <v>1852.5</v>
      </c>
      <c r="J29" s="134">
        <f t="shared" si="16"/>
        <v>2223</v>
      </c>
      <c r="K29" s="28">
        <f t="shared" si="14"/>
        <v>1852.5</v>
      </c>
      <c r="L29" s="134">
        <f t="shared" si="14"/>
        <v>2223</v>
      </c>
      <c r="Q29" s="401">
        <v>26</v>
      </c>
      <c r="R29" s="394"/>
      <c r="S29" s="393">
        <f t="shared" si="3"/>
        <v>0</v>
      </c>
      <c r="T29" s="393">
        <f t="shared" si="4"/>
        <v>0</v>
      </c>
      <c r="U29" s="392">
        <v>71.25</v>
      </c>
      <c r="V29" s="393">
        <f t="shared" si="5"/>
        <v>1852.5</v>
      </c>
      <c r="W29" s="393">
        <f t="shared" si="6"/>
        <v>2223</v>
      </c>
      <c r="X29" s="392">
        <f t="shared" si="7"/>
        <v>1852.5</v>
      </c>
      <c r="Y29" s="393">
        <f t="shared" si="7"/>
        <v>2223</v>
      </c>
      <c r="Z29" s="233"/>
    </row>
    <row r="30" spans="1:27" ht="34.5" customHeight="1" x14ac:dyDescent="0.25">
      <c r="A30" s="183"/>
      <c r="B30" s="178" t="s">
        <v>621</v>
      </c>
      <c r="C30" s="183" t="s">
        <v>41</v>
      </c>
      <c r="D30" s="314">
        <v>81.91</v>
      </c>
      <c r="E30" s="176">
        <v>909.45</v>
      </c>
      <c r="F30" s="182">
        <f t="shared" ref="F30:F31" si="17">E30*D30</f>
        <v>74493.049499999994</v>
      </c>
      <c r="G30" s="182">
        <f t="shared" ref="G30:G31" si="18">ROUND(F30*1.2,2)</f>
        <v>89391.66</v>
      </c>
      <c r="H30" s="176"/>
      <c r="I30" s="182"/>
      <c r="J30" s="182"/>
      <c r="K30" s="176">
        <f t="shared" si="14"/>
        <v>74493.049499999994</v>
      </c>
      <c r="L30" s="182">
        <f t="shared" si="14"/>
        <v>89391.66</v>
      </c>
      <c r="Q30" s="406">
        <v>81.91</v>
      </c>
      <c r="R30" s="392">
        <v>909.45</v>
      </c>
      <c r="S30" s="393">
        <f t="shared" si="3"/>
        <v>74493.049499999994</v>
      </c>
      <c r="T30" s="393">
        <f t="shared" si="4"/>
        <v>89391.65939999999</v>
      </c>
      <c r="U30" s="392"/>
      <c r="V30" s="393">
        <f t="shared" si="5"/>
        <v>0</v>
      </c>
      <c r="W30" s="393">
        <f t="shared" si="6"/>
        <v>0</v>
      </c>
      <c r="X30" s="392">
        <f t="shared" si="7"/>
        <v>74493.049499999994</v>
      </c>
      <c r="Y30" s="393">
        <f t="shared" si="7"/>
        <v>89391.65939999999</v>
      </c>
      <c r="Z30" s="233"/>
    </row>
    <row r="31" spans="1:27" ht="20.25" customHeight="1" x14ac:dyDescent="0.25">
      <c r="A31" s="183"/>
      <c r="B31" s="178" t="s">
        <v>622</v>
      </c>
      <c r="C31" s="183" t="s">
        <v>41</v>
      </c>
      <c r="D31" s="314">
        <v>81.900000000000006</v>
      </c>
      <c r="E31" s="176">
        <v>144.4</v>
      </c>
      <c r="F31" s="182">
        <f t="shared" si="17"/>
        <v>11826.36</v>
      </c>
      <c r="G31" s="182">
        <f t="shared" si="18"/>
        <v>14191.63</v>
      </c>
      <c r="H31" s="176"/>
      <c r="I31" s="182"/>
      <c r="J31" s="182"/>
      <c r="K31" s="176">
        <f t="shared" si="14"/>
        <v>11826.36</v>
      </c>
      <c r="L31" s="182">
        <f t="shared" si="14"/>
        <v>14191.63</v>
      </c>
      <c r="Q31" s="406">
        <v>81.900000000000006</v>
      </c>
      <c r="R31" s="392">
        <v>144.4</v>
      </c>
      <c r="S31" s="393">
        <f t="shared" si="3"/>
        <v>11826.36</v>
      </c>
      <c r="T31" s="393">
        <f t="shared" si="4"/>
        <v>14191.632</v>
      </c>
      <c r="U31" s="392"/>
      <c r="V31" s="393">
        <f t="shared" si="5"/>
        <v>0</v>
      </c>
      <c r="W31" s="393">
        <f t="shared" si="6"/>
        <v>0</v>
      </c>
      <c r="X31" s="392">
        <f t="shared" si="7"/>
        <v>11826.36</v>
      </c>
      <c r="Y31" s="393">
        <f t="shared" si="7"/>
        <v>14191.632</v>
      </c>
      <c r="Z31" s="233"/>
    </row>
    <row r="32" spans="1:27" ht="17.25" customHeight="1" x14ac:dyDescent="0.25">
      <c r="A32" s="113"/>
      <c r="B32" s="150" t="s">
        <v>203</v>
      </c>
      <c r="C32" s="114" t="s">
        <v>204</v>
      </c>
      <c r="D32" s="153">
        <f>25*20/16</f>
        <v>31.25</v>
      </c>
      <c r="E32" s="28"/>
      <c r="F32" s="134"/>
      <c r="G32" s="134"/>
      <c r="H32" s="361">
        <v>237.5</v>
      </c>
      <c r="I32" s="134">
        <f>ROUND(H32*D32,2)</f>
        <v>7421.88</v>
      </c>
      <c r="J32" s="134">
        <f>ROUND(I32*1.2,2)</f>
        <v>8906.26</v>
      </c>
      <c r="K32" s="28">
        <f t="shared" si="14"/>
        <v>7421.88</v>
      </c>
      <c r="L32" s="134">
        <f t="shared" si="14"/>
        <v>8906.26</v>
      </c>
      <c r="Q32" s="406">
        <f>25*20/16</f>
        <v>31.25</v>
      </c>
      <c r="R32" s="392"/>
      <c r="S32" s="393">
        <f t="shared" si="3"/>
        <v>0</v>
      </c>
      <c r="T32" s="393">
        <f t="shared" si="4"/>
        <v>0</v>
      </c>
      <c r="U32" s="396">
        <v>237.5</v>
      </c>
      <c r="V32" s="393">
        <f t="shared" si="5"/>
        <v>7421.875</v>
      </c>
      <c r="W32" s="393">
        <f t="shared" si="6"/>
        <v>8906.25</v>
      </c>
      <c r="X32" s="392">
        <f t="shared" si="7"/>
        <v>7421.875</v>
      </c>
      <c r="Y32" s="393">
        <f t="shared" si="7"/>
        <v>8906.25</v>
      </c>
      <c r="Z32" s="233"/>
    </row>
    <row r="33" spans="1:27" ht="21.75" customHeight="1" x14ac:dyDescent="0.25">
      <c r="A33" s="183"/>
      <c r="B33" s="178" t="s">
        <v>623</v>
      </c>
      <c r="C33" s="183" t="s">
        <v>41</v>
      </c>
      <c r="D33" s="314">
        <v>81.900000000000006</v>
      </c>
      <c r="E33" s="176">
        <v>299.76</v>
      </c>
      <c r="F33" s="182">
        <f>E33*D33</f>
        <v>24550.344000000001</v>
      </c>
      <c r="G33" s="182">
        <f>ROUND(F33*1.2,2)</f>
        <v>29460.41</v>
      </c>
      <c r="H33" s="176"/>
      <c r="I33" s="182"/>
      <c r="J33" s="182"/>
      <c r="K33" s="176">
        <f t="shared" si="14"/>
        <v>24550.344000000001</v>
      </c>
      <c r="L33" s="182">
        <f t="shared" si="14"/>
        <v>29460.41</v>
      </c>
      <c r="Q33" s="406">
        <v>81.900000000000006</v>
      </c>
      <c r="R33" s="392">
        <v>299.76</v>
      </c>
      <c r="S33" s="393">
        <f t="shared" si="3"/>
        <v>24550.344000000001</v>
      </c>
      <c r="T33" s="393">
        <f t="shared" si="4"/>
        <v>29460.412800000002</v>
      </c>
      <c r="U33" s="392"/>
      <c r="V33" s="393">
        <f t="shared" si="5"/>
        <v>0</v>
      </c>
      <c r="W33" s="393">
        <f t="shared" si="6"/>
        <v>0</v>
      </c>
      <c r="X33" s="392">
        <f t="shared" si="7"/>
        <v>24550.344000000001</v>
      </c>
      <c r="Y33" s="393">
        <f t="shared" si="7"/>
        <v>29460.412800000002</v>
      </c>
      <c r="Z33" s="233"/>
    </row>
    <row r="34" spans="1:27" x14ac:dyDescent="0.25">
      <c r="A34" s="113"/>
      <c r="B34" s="150" t="s">
        <v>205</v>
      </c>
      <c r="C34" s="114" t="s">
        <v>58</v>
      </c>
      <c r="D34" s="115">
        <v>115</v>
      </c>
      <c r="E34" s="28"/>
      <c r="F34" s="134"/>
      <c r="G34" s="134"/>
      <c r="H34" s="361">
        <v>296.39999999999998</v>
      </c>
      <c r="I34" s="134">
        <f>ROUND(H34*D34,2)</f>
        <v>34086</v>
      </c>
      <c r="J34" s="134">
        <f>ROUND(I34*1.2,2)</f>
        <v>40903.199999999997</v>
      </c>
      <c r="K34" s="28">
        <f t="shared" si="14"/>
        <v>34086</v>
      </c>
      <c r="L34" s="134">
        <f t="shared" si="14"/>
        <v>40903.199999999997</v>
      </c>
      <c r="Q34" s="401">
        <v>115</v>
      </c>
      <c r="R34" s="392"/>
      <c r="S34" s="393">
        <f t="shared" si="3"/>
        <v>0</v>
      </c>
      <c r="T34" s="393">
        <f t="shared" si="4"/>
        <v>0</v>
      </c>
      <c r="U34" s="396">
        <v>296.39999999999998</v>
      </c>
      <c r="V34" s="393">
        <f t="shared" si="5"/>
        <v>34086</v>
      </c>
      <c r="W34" s="393">
        <f t="shared" si="6"/>
        <v>40903.199999999997</v>
      </c>
      <c r="X34" s="392">
        <f t="shared" si="7"/>
        <v>34086</v>
      </c>
      <c r="Y34" s="393">
        <f t="shared" si="7"/>
        <v>40903.199999999997</v>
      </c>
      <c r="Z34" s="233"/>
    </row>
    <row r="35" spans="1:27" ht="20.25" customHeight="1" x14ac:dyDescent="0.25">
      <c r="A35" s="158"/>
      <c r="B35" s="379" t="s">
        <v>624</v>
      </c>
      <c r="C35" s="459"/>
      <c r="D35" s="459"/>
      <c r="E35" s="160"/>
      <c r="F35" s="163"/>
      <c r="G35" s="163"/>
      <c r="H35" s="160"/>
      <c r="I35" s="163"/>
      <c r="J35" s="163"/>
      <c r="K35" s="160"/>
      <c r="L35" s="163"/>
      <c r="Q35" s="460"/>
      <c r="R35" s="392"/>
      <c r="S35" s="393">
        <f t="shared" si="3"/>
        <v>0</v>
      </c>
      <c r="T35" s="393">
        <f t="shared" si="4"/>
        <v>0</v>
      </c>
      <c r="U35" s="394"/>
      <c r="V35" s="393">
        <f t="shared" si="5"/>
        <v>0</v>
      </c>
      <c r="W35" s="393">
        <f t="shared" si="6"/>
        <v>0</v>
      </c>
      <c r="X35" s="392">
        <f t="shared" si="7"/>
        <v>0</v>
      </c>
      <c r="Y35" s="393">
        <f t="shared" si="7"/>
        <v>0</v>
      </c>
      <c r="Z35" s="233"/>
    </row>
    <row r="36" spans="1:27" ht="24" customHeight="1" x14ac:dyDescent="0.25">
      <c r="A36" s="158"/>
      <c r="B36" s="379" t="s">
        <v>625</v>
      </c>
      <c r="C36" s="459"/>
      <c r="D36" s="459"/>
      <c r="E36" s="160"/>
      <c r="F36" s="163"/>
      <c r="G36" s="163"/>
      <c r="H36" s="160"/>
      <c r="I36" s="163"/>
      <c r="J36" s="163"/>
      <c r="K36" s="160"/>
      <c r="L36" s="163"/>
      <c r="Q36" s="460"/>
      <c r="R36" s="392"/>
      <c r="S36" s="393">
        <f t="shared" si="3"/>
        <v>0</v>
      </c>
      <c r="T36" s="393">
        <f t="shared" si="4"/>
        <v>0</v>
      </c>
      <c r="U36" s="394"/>
      <c r="V36" s="393">
        <f t="shared" si="5"/>
        <v>0</v>
      </c>
      <c r="W36" s="393">
        <f t="shared" si="6"/>
        <v>0</v>
      </c>
      <c r="X36" s="392">
        <f t="shared" si="7"/>
        <v>0</v>
      </c>
      <c r="Y36" s="393">
        <f t="shared" si="7"/>
        <v>0</v>
      </c>
      <c r="Z36" s="233"/>
    </row>
    <row r="37" spans="1:27" ht="45" x14ac:dyDescent="0.25">
      <c r="A37" s="172">
        <v>1</v>
      </c>
      <c r="B37" s="171" t="s">
        <v>626</v>
      </c>
      <c r="C37" s="172" t="s">
        <v>58</v>
      </c>
      <c r="D37" s="173">
        <v>14951</v>
      </c>
      <c r="E37" s="386">
        <f>E41*0.7</f>
        <v>71.413999999999987</v>
      </c>
      <c r="F37" s="179">
        <f t="shared" ref="F37" si="19">ROUND(E37*D37,2)</f>
        <v>1067710.71</v>
      </c>
      <c r="G37" s="179">
        <f t="shared" ref="G37:G39" si="20">ROUND(F37*1.2,2)</f>
        <v>1281252.8500000001</v>
      </c>
      <c r="H37" s="174"/>
      <c r="I37" s="179"/>
      <c r="J37" s="179"/>
      <c r="K37" s="174">
        <f t="shared" ref="K37:L39" si="21">F37+I37</f>
        <v>1067710.71</v>
      </c>
      <c r="L37" s="179">
        <f t="shared" si="21"/>
        <v>1281252.8500000001</v>
      </c>
      <c r="Q37" s="401">
        <v>14951</v>
      </c>
      <c r="R37" s="393">
        <f>ROUND(159.41*0.7,2)</f>
        <v>111.59</v>
      </c>
      <c r="S37" s="393">
        <v>1047346</v>
      </c>
      <c r="T37" s="393">
        <f>1.2*S37</f>
        <v>1256815.2</v>
      </c>
      <c r="U37" s="392"/>
      <c r="V37" s="393">
        <f t="shared" si="5"/>
        <v>0</v>
      </c>
      <c r="W37" s="393">
        <f t="shared" si="6"/>
        <v>0</v>
      </c>
      <c r="X37" s="392">
        <f t="shared" si="7"/>
        <v>1047346</v>
      </c>
      <c r="Y37" s="408">
        <f>T37+W37</f>
        <v>1256815.2</v>
      </c>
      <c r="Z37" s="233">
        <f t="shared" si="13"/>
        <v>-24437.65000000014</v>
      </c>
      <c r="AA37" s="409" t="s">
        <v>651</v>
      </c>
    </row>
    <row r="38" spans="1:27" ht="21" customHeight="1" x14ac:dyDescent="0.25">
      <c r="A38" s="183">
        <f>A37+1</f>
        <v>2</v>
      </c>
      <c r="B38" s="178" t="s">
        <v>165</v>
      </c>
      <c r="C38" s="183" t="s">
        <v>608</v>
      </c>
      <c r="D38" s="188">
        <f>14951/1000</f>
        <v>14.951000000000001</v>
      </c>
      <c r="E38" s="182">
        <v>0</v>
      </c>
      <c r="F38" s="182">
        <f>ROUND(E38*D38,2)</f>
        <v>0</v>
      </c>
      <c r="G38" s="182">
        <f t="shared" si="20"/>
        <v>0</v>
      </c>
      <c r="H38" s="462"/>
      <c r="I38" s="182"/>
      <c r="J38" s="182"/>
      <c r="K38" s="176">
        <f t="shared" si="21"/>
        <v>0</v>
      </c>
      <c r="L38" s="182">
        <f t="shared" si="21"/>
        <v>0</v>
      </c>
      <c r="Q38" s="404">
        <f>14951/1000</f>
        <v>14.951000000000001</v>
      </c>
      <c r="R38" s="393">
        <v>0</v>
      </c>
      <c r="S38" s="393">
        <f t="shared" si="3"/>
        <v>0</v>
      </c>
      <c r="T38" s="393">
        <f t="shared" si="4"/>
        <v>0</v>
      </c>
      <c r="U38" s="396"/>
      <c r="V38" s="393">
        <f t="shared" si="5"/>
        <v>0</v>
      </c>
      <c r="W38" s="393">
        <f t="shared" si="6"/>
        <v>0</v>
      </c>
      <c r="X38" s="392">
        <f t="shared" si="7"/>
        <v>0</v>
      </c>
      <c r="Y38" s="393">
        <f t="shared" si="7"/>
        <v>0</v>
      </c>
      <c r="Z38" s="233"/>
    </row>
    <row r="39" spans="1:27" ht="25.5" customHeight="1" x14ac:dyDescent="0.25">
      <c r="A39" s="172">
        <f>A38+1</f>
        <v>3</v>
      </c>
      <c r="B39" s="171" t="s">
        <v>627</v>
      </c>
      <c r="C39" s="172" t="s">
        <v>608</v>
      </c>
      <c r="D39" s="387">
        <f>14951/1000</f>
        <v>14.951000000000001</v>
      </c>
      <c r="E39" s="179">
        <v>0</v>
      </c>
      <c r="F39" s="179">
        <f>ROUND(E39*D39,2)</f>
        <v>0</v>
      </c>
      <c r="G39" s="179">
        <f t="shared" si="20"/>
        <v>0</v>
      </c>
      <c r="H39" s="463"/>
      <c r="I39" s="179"/>
      <c r="J39" s="179"/>
      <c r="K39" s="174">
        <f t="shared" si="21"/>
        <v>0</v>
      </c>
      <c r="L39" s="179">
        <f t="shared" si="21"/>
        <v>0</v>
      </c>
      <c r="Q39" s="404">
        <f>14951/1000</f>
        <v>14.951000000000001</v>
      </c>
      <c r="R39" s="393">
        <v>0</v>
      </c>
      <c r="S39" s="393">
        <f t="shared" si="3"/>
        <v>0</v>
      </c>
      <c r="T39" s="393">
        <f t="shared" si="4"/>
        <v>0</v>
      </c>
      <c r="U39" s="396"/>
      <c r="V39" s="393">
        <f t="shared" si="5"/>
        <v>0</v>
      </c>
      <c r="W39" s="393">
        <f t="shared" si="6"/>
        <v>0</v>
      </c>
      <c r="X39" s="392">
        <f t="shared" si="7"/>
        <v>0</v>
      </c>
      <c r="Y39" s="393">
        <f t="shared" si="7"/>
        <v>0</v>
      </c>
      <c r="Z39" s="233"/>
    </row>
    <row r="40" spans="1:27" ht="24" customHeight="1" x14ac:dyDescent="0.25">
      <c r="A40" s="158"/>
      <c r="B40" s="379" t="s">
        <v>628</v>
      </c>
      <c r="C40" s="459"/>
      <c r="D40" s="459"/>
      <c r="E40" s="160"/>
      <c r="F40" s="163"/>
      <c r="G40" s="163"/>
      <c r="H40" s="160"/>
      <c r="I40" s="163"/>
      <c r="J40" s="163"/>
      <c r="K40" s="160"/>
      <c r="L40" s="163"/>
      <c r="Q40" s="460"/>
      <c r="R40" s="392"/>
      <c r="S40" s="393">
        <f t="shared" si="3"/>
        <v>0</v>
      </c>
      <c r="T40" s="393">
        <f t="shared" si="4"/>
        <v>0</v>
      </c>
      <c r="U40" s="394"/>
      <c r="V40" s="393">
        <f t="shared" si="5"/>
        <v>0</v>
      </c>
      <c r="W40" s="393">
        <f t="shared" si="6"/>
        <v>0</v>
      </c>
      <c r="X40" s="392">
        <f t="shared" si="7"/>
        <v>0</v>
      </c>
      <c r="Y40" s="393">
        <f t="shared" si="7"/>
        <v>0</v>
      </c>
      <c r="Z40" s="233"/>
    </row>
    <row r="41" spans="1:27" ht="45" x14ac:dyDescent="0.25">
      <c r="A41" s="172">
        <f>A39+1</f>
        <v>4</v>
      </c>
      <c r="B41" s="171" t="s">
        <v>629</v>
      </c>
      <c r="C41" s="172" t="s">
        <v>58</v>
      </c>
      <c r="D41" s="351">
        <v>11877.54</v>
      </c>
      <c r="E41" s="386">
        <v>102.02</v>
      </c>
      <c r="F41" s="179">
        <f t="shared" ref="F41:F46" si="22">ROUND(E41*D41,2)</f>
        <v>1211746.6299999999</v>
      </c>
      <c r="G41" s="179">
        <f t="shared" ref="G41:G46" si="23">ROUND(F41*1.2,2)</f>
        <v>1454095.96</v>
      </c>
      <c r="H41" s="463"/>
      <c r="I41" s="179"/>
      <c r="J41" s="179"/>
      <c r="K41" s="174">
        <f t="shared" ref="K41:L47" si="24">F41+I41</f>
        <v>1211746.6299999999</v>
      </c>
      <c r="L41" s="179">
        <f t="shared" si="24"/>
        <v>1454095.96</v>
      </c>
      <c r="Q41" s="395">
        <v>11877.54</v>
      </c>
      <c r="R41" s="393">
        <f>159.41</f>
        <v>159.41</v>
      </c>
      <c r="S41" s="393">
        <v>1062075</v>
      </c>
      <c r="T41" s="393">
        <f t="shared" si="4"/>
        <v>1274490</v>
      </c>
      <c r="U41" s="396"/>
      <c r="V41" s="393">
        <f t="shared" si="5"/>
        <v>0</v>
      </c>
      <c r="W41" s="393">
        <f t="shared" si="6"/>
        <v>0</v>
      </c>
      <c r="X41" s="392">
        <f t="shared" si="7"/>
        <v>1062075</v>
      </c>
      <c r="Y41" s="408">
        <f t="shared" si="7"/>
        <v>1274490</v>
      </c>
      <c r="Z41" s="233">
        <f t="shared" si="13"/>
        <v>-179605.95999999996</v>
      </c>
      <c r="AA41" s="409" t="s">
        <v>651</v>
      </c>
    </row>
    <row r="42" spans="1:27" ht="30" x14ac:dyDescent="0.25">
      <c r="A42" s="38" t="s">
        <v>115</v>
      </c>
      <c r="B42" s="19" t="s">
        <v>630</v>
      </c>
      <c r="C42" s="114" t="s">
        <v>58</v>
      </c>
      <c r="D42" s="343">
        <v>9070.6299999999992</v>
      </c>
      <c r="E42" s="134"/>
      <c r="F42" s="134"/>
      <c r="G42" s="134"/>
      <c r="H42" s="361">
        <v>194.96</v>
      </c>
      <c r="I42" s="134">
        <f t="shared" ref="I42:I45" si="25">ROUND(H42*D42,2)</f>
        <v>1768410.02</v>
      </c>
      <c r="J42" s="134">
        <f t="shared" ref="J42:J45" si="26">ROUND(I42*1.2,2)</f>
        <v>2122092.02</v>
      </c>
      <c r="K42" s="28">
        <f t="shared" si="24"/>
        <v>1768410.02</v>
      </c>
      <c r="L42" s="134">
        <f t="shared" si="24"/>
        <v>2122092.02</v>
      </c>
      <c r="Q42" s="395">
        <v>9070.6299999999992</v>
      </c>
      <c r="R42" s="393"/>
      <c r="S42" s="393">
        <f t="shared" si="3"/>
        <v>0</v>
      </c>
      <c r="T42" s="393">
        <f t="shared" si="4"/>
        <v>0</v>
      </c>
      <c r="U42" s="396">
        <v>194.96</v>
      </c>
      <c r="V42" s="393">
        <f t="shared" si="5"/>
        <v>1768410.0248</v>
      </c>
      <c r="W42" s="393">
        <f t="shared" si="6"/>
        <v>2122092.0297599998</v>
      </c>
      <c r="X42" s="392">
        <f t="shared" si="7"/>
        <v>1768410.0248</v>
      </c>
      <c r="Y42" s="393">
        <f t="shared" si="7"/>
        <v>2122092.0297599998</v>
      </c>
      <c r="Z42" s="233"/>
    </row>
    <row r="43" spans="1:27" ht="30" x14ac:dyDescent="0.25">
      <c r="A43" s="38" t="s">
        <v>631</v>
      </c>
      <c r="B43" s="19" t="s">
        <v>632</v>
      </c>
      <c r="C43" s="114" t="s">
        <v>58</v>
      </c>
      <c r="D43" s="343">
        <v>226.68</v>
      </c>
      <c r="E43" s="134"/>
      <c r="F43" s="134"/>
      <c r="G43" s="134"/>
      <c r="H43" s="361">
        <v>194.96</v>
      </c>
      <c r="I43" s="134">
        <f t="shared" si="25"/>
        <v>44193.53</v>
      </c>
      <c r="J43" s="134">
        <f t="shared" si="26"/>
        <v>53032.24</v>
      </c>
      <c r="K43" s="28">
        <f t="shared" si="24"/>
        <v>44193.53</v>
      </c>
      <c r="L43" s="134">
        <f t="shared" si="24"/>
        <v>53032.24</v>
      </c>
      <c r="Q43" s="395">
        <v>226.68</v>
      </c>
      <c r="R43" s="393"/>
      <c r="S43" s="393">
        <f t="shared" si="3"/>
        <v>0</v>
      </c>
      <c r="T43" s="393">
        <f t="shared" si="4"/>
        <v>0</v>
      </c>
      <c r="U43" s="396">
        <v>194.96</v>
      </c>
      <c r="V43" s="393">
        <f t="shared" si="5"/>
        <v>44193.532800000001</v>
      </c>
      <c r="W43" s="393">
        <f t="shared" si="6"/>
        <v>53032.23936</v>
      </c>
      <c r="X43" s="392">
        <f t="shared" si="7"/>
        <v>44193.532800000001</v>
      </c>
      <c r="Y43" s="393">
        <f t="shared" si="7"/>
        <v>53032.23936</v>
      </c>
      <c r="Z43" s="233"/>
    </row>
    <row r="44" spans="1:27" ht="30" x14ac:dyDescent="0.25">
      <c r="A44" s="38" t="s">
        <v>633</v>
      </c>
      <c r="B44" s="19" t="s">
        <v>634</v>
      </c>
      <c r="C44" s="114" t="s">
        <v>58</v>
      </c>
      <c r="D44" s="343">
        <v>2050.37</v>
      </c>
      <c r="E44" s="134"/>
      <c r="F44" s="134"/>
      <c r="G44" s="134"/>
      <c r="H44" s="361">
        <v>194.96</v>
      </c>
      <c r="I44" s="134">
        <f t="shared" si="25"/>
        <v>399740.14</v>
      </c>
      <c r="J44" s="134">
        <f t="shared" si="26"/>
        <v>479688.17</v>
      </c>
      <c r="K44" s="28">
        <f t="shared" si="24"/>
        <v>399740.14</v>
      </c>
      <c r="L44" s="134">
        <f t="shared" si="24"/>
        <v>479688.17</v>
      </c>
      <c r="Q44" s="395">
        <v>2050.37</v>
      </c>
      <c r="R44" s="393"/>
      <c r="S44" s="393">
        <f t="shared" si="3"/>
        <v>0</v>
      </c>
      <c r="T44" s="393">
        <f t="shared" si="4"/>
        <v>0</v>
      </c>
      <c r="U44" s="396">
        <v>194.96</v>
      </c>
      <c r="V44" s="393">
        <f t="shared" si="5"/>
        <v>399740.13520000002</v>
      </c>
      <c r="W44" s="393">
        <f t="shared" si="6"/>
        <v>479688.16223999998</v>
      </c>
      <c r="X44" s="392">
        <f t="shared" si="7"/>
        <v>399740.13520000002</v>
      </c>
      <c r="Y44" s="393">
        <f t="shared" si="7"/>
        <v>479688.16223999998</v>
      </c>
      <c r="Z44" s="233"/>
    </row>
    <row r="45" spans="1:27" ht="30" x14ac:dyDescent="0.25">
      <c r="A45" s="38" t="s">
        <v>635</v>
      </c>
      <c r="B45" s="19" t="s">
        <v>636</v>
      </c>
      <c r="C45" s="114" t="s">
        <v>58</v>
      </c>
      <c r="D45" s="343">
        <v>529.86</v>
      </c>
      <c r="E45" s="134"/>
      <c r="F45" s="134"/>
      <c r="G45" s="134"/>
      <c r="H45" s="361">
        <v>194.96</v>
      </c>
      <c r="I45" s="134">
        <f t="shared" si="25"/>
        <v>103301.51</v>
      </c>
      <c r="J45" s="134">
        <f t="shared" si="26"/>
        <v>123961.81</v>
      </c>
      <c r="K45" s="28">
        <f t="shared" si="24"/>
        <v>103301.51</v>
      </c>
      <c r="L45" s="134">
        <f t="shared" si="24"/>
        <v>123961.81</v>
      </c>
      <c r="Q45" s="395">
        <v>529.86</v>
      </c>
      <c r="R45" s="393"/>
      <c r="S45" s="393">
        <f t="shared" si="3"/>
        <v>0</v>
      </c>
      <c r="T45" s="393">
        <f t="shared" si="4"/>
        <v>0</v>
      </c>
      <c r="U45" s="396">
        <v>194.96</v>
      </c>
      <c r="V45" s="393">
        <f t="shared" si="5"/>
        <v>103301.5056</v>
      </c>
      <c r="W45" s="393">
        <f t="shared" si="6"/>
        <v>123961.80671999999</v>
      </c>
      <c r="X45" s="392">
        <f t="shared" si="7"/>
        <v>103301.5056</v>
      </c>
      <c r="Y45" s="393">
        <f t="shared" si="7"/>
        <v>123961.80671999999</v>
      </c>
      <c r="Z45" s="233"/>
    </row>
    <row r="46" spans="1:27" ht="45" x14ac:dyDescent="0.25">
      <c r="A46" s="172">
        <f>A41+1</f>
        <v>5</v>
      </c>
      <c r="B46" s="171" t="s">
        <v>637</v>
      </c>
      <c r="C46" s="172" t="s">
        <v>58</v>
      </c>
      <c r="D46" s="173">
        <f>373.02</f>
        <v>373.02</v>
      </c>
      <c r="E46" s="179">
        <v>127.53</v>
      </c>
      <c r="F46" s="179">
        <f t="shared" si="22"/>
        <v>47571.24</v>
      </c>
      <c r="G46" s="179">
        <f t="shared" si="23"/>
        <v>57085.49</v>
      </c>
      <c r="H46" s="463"/>
      <c r="I46" s="179"/>
      <c r="J46" s="179"/>
      <c r="K46" s="174">
        <f t="shared" si="24"/>
        <v>47571.24</v>
      </c>
      <c r="L46" s="179">
        <f t="shared" si="24"/>
        <v>57085.49</v>
      </c>
      <c r="Q46" s="401">
        <f>373.02</f>
        <v>373.02</v>
      </c>
      <c r="R46" s="393">
        <f>159.41</f>
        <v>159.41</v>
      </c>
      <c r="S46" s="393">
        <v>15000</v>
      </c>
      <c r="T46" s="393">
        <f t="shared" si="4"/>
        <v>18000</v>
      </c>
      <c r="U46" s="396"/>
      <c r="V46" s="393">
        <f t="shared" si="5"/>
        <v>0</v>
      </c>
      <c r="W46" s="393">
        <f t="shared" si="6"/>
        <v>0</v>
      </c>
      <c r="X46" s="392">
        <f t="shared" si="7"/>
        <v>15000</v>
      </c>
      <c r="Y46" s="393">
        <f>L46</f>
        <v>57085.49</v>
      </c>
      <c r="Z46" s="233"/>
    </row>
    <row r="47" spans="1:27" ht="47.25" customHeight="1" x14ac:dyDescent="0.25">
      <c r="A47" s="38" t="s">
        <v>116</v>
      </c>
      <c r="B47" s="19" t="s">
        <v>638</v>
      </c>
      <c r="C47" s="114" t="s">
        <v>58</v>
      </c>
      <c r="D47" s="153">
        <v>373.02</v>
      </c>
      <c r="E47" s="28"/>
      <c r="F47" s="134"/>
      <c r="G47" s="134"/>
      <c r="H47" s="361">
        <v>194.96</v>
      </c>
      <c r="I47" s="134">
        <f>ROUND(H47*D47,2)</f>
        <v>72723.98</v>
      </c>
      <c r="J47" s="134">
        <f>ROUND(I47*1.2,2)</f>
        <v>87268.78</v>
      </c>
      <c r="K47" s="28">
        <f t="shared" si="24"/>
        <v>72723.98</v>
      </c>
      <c r="L47" s="134">
        <f t="shared" si="24"/>
        <v>87268.78</v>
      </c>
      <c r="Q47" s="406">
        <v>373.02</v>
      </c>
      <c r="R47" s="394"/>
      <c r="S47" s="393">
        <f t="shared" si="3"/>
        <v>0</v>
      </c>
      <c r="T47" s="393">
        <f t="shared" si="4"/>
        <v>0</v>
      </c>
      <c r="U47" s="396">
        <v>194.96</v>
      </c>
      <c r="V47" s="393">
        <f t="shared" si="5"/>
        <v>72723.979200000002</v>
      </c>
      <c r="W47" s="393">
        <f t="shared" si="6"/>
        <v>87268.775039999993</v>
      </c>
      <c r="X47" s="392">
        <f t="shared" si="7"/>
        <v>72723.979200000002</v>
      </c>
      <c r="Y47" s="393">
        <f t="shared" si="7"/>
        <v>87268.775039999993</v>
      </c>
      <c r="Z47" s="233"/>
    </row>
    <row r="48" spans="1:27" ht="24" customHeight="1" x14ac:dyDescent="0.25">
      <c r="A48" s="158"/>
      <c r="B48" s="379" t="s">
        <v>639</v>
      </c>
      <c r="C48" s="459"/>
      <c r="D48" s="459"/>
      <c r="E48" s="160"/>
      <c r="F48" s="163"/>
      <c r="G48" s="163"/>
      <c r="H48" s="160"/>
      <c r="I48" s="163"/>
      <c r="J48" s="163"/>
      <c r="K48" s="160"/>
      <c r="L48" s="163"/>
      <c r="Q48" s="460"/>
      <c r="R48" s="392"/>
      <c r="S48" s="393">
        <f t="shared" si="3"/>
        <v>0</v>
      </c>
      <c r="T48" s="393">
        <f t="shared" si="4"/>
        <v>0</v>
      </c>
      <c r="U48" s="394"/>
      <c r="V48" s="393">
        <f t="shared" si="5"/>
        <v>0</v>
      </c>
      <c r="W48" s="393">
        <f t="shared" si="6"/>
        <v>0</v>
      </c>
      <c r="X48" s="392">
        <f t="shared" si="7"/>
        <v>0</v>
      </c>
      <c r="Y48" s="393">
        <f t="shared" si="7"/>
        <v>0</v>
      </c>
      <c r="Z48" s="233"/>
    </row>
    <row r="49" spans="1:26" ht="20.25" customHeight="1" x14ac:dyDescent="0.25">
      <c r="A49" s="183">
        <f>A46+1</f>
        <v>6</v>
      </c>
      <c r="B49" s="185" t="s">
        <v>640</v>
      </c>
      <c r="C49" s="183" t="s">
        <v>41</v>
      </c>
      <c r="D49" s="388">
        <v>133</v>
      </c>
      <c r="E49" s="176">
        <v>957.31</v>
      </c>
      <c r="F49" s="182">
        <f t="shared" ref="F49:F51" si="27">E49*D49</f>
        <v>127322.23</v>
      </c>
      <c r="G49" s="182">
        <f t="shared" ref="G49:G51" si="28">ROUND(F49*1.2,2)</f>
        <v>152786.68</v>
      </c>
      <c r="H49" s="176"/>
      <c r="I49" s="182"/>
      <c r="J49" s="182"/>
      <c r="K49" s="176">
        <f t="shared" ref="K49:L60" si="29">F49+I49</f>
        <v>127322.23</v>
      </c>
      <c r="L49" s="182">
        <f t="shared" si="29"/>
        <v>152786.68</v>
      </c>
      <c r="Q49" s="407">
        <v>133</v>
      </c>
      <c r="R49" s="392">
        <v>957.31</v>
      </c>
      <c r="S49" s="393">
        <f t="shared" si="3"/>
        <v>127322.23</v>
      </c>
      <c r="T49" s="393">
        <f t="shared" si="4"/>
        <v>152786.67599999998</v>
      </c>
      <c r="U49" s="392"/>
      <c r="V49" s="393">
        <f t="shared" si="5"/>
        <v>0</v>
      </c>
      <c r="W49" s="393">
        <f t="shared" si="6"/>
        <v>0</v>
      </c>
      <c r="X49" s="392">
        <f t="shared" si="7"/>
        <v>127322.23</v>
      </c>
      <c r="Y49" s="393">
        <f t="shared" si="7"/>
        <v>152786.67599999998</v>
      </c>
      <c r="Z49" s="233"/>
    </row>
    <row r="50" spans="1:26" ht="32.25" customHeight="1" x14ac:dyDescent="0.25">
      <c r="A50" s="183">
        <f t="shared" ref="A50:A51" si="30">A49+1</f>
        <v>7</v>
      </c>
      <c r="B50" s="185" t="s">
        <v>641</v>
      </c>
      <c r="C50" s="183" t="s">
        <v>41</v>
      </c>
      <c r="D50" s="314">
        <v>515</v>
      </c>
      <c r="E50" s="176">
        <v>80.75</v>
      </c>
      <c r="F50" s="182">
        <f t="shared" si="27"/>
        <v>41586.25</v>
      </c>
      <c r="G50" s="182">
        <f t="shared" si="28"/>
        <v>49903.5</v>
      </c>
      <c r="H50" s="176"/>
      <c r="I50" s="182"/>
      <c r="J50" s="182"/>
      <c r="K50" s="176">
        <f t="shared" si="29"/>
        <v>41586.25</v>
      </c>
      <c r="L50" s="182">
        <f t="shared" si="29"/>
        <v>49903.5</v>
      </c>
      <c r="Q50" s="406">
        <v>515</v>
      </c>
      <c r="R50" s="392">
        <v>80.75</v>
      </c>
      <c r="S50" s="393">
        <f t="shared" si="3"/>
        <v>41586.25</v>
      </c>
      <c r="T50" s="393">
        <f t="shared" si="4"/>
        <v>49903.5</v>
      </c>
      <c r="U50" s="392"/>
      <c r="V50" s="393">
        <f t="shared" si="5"/>
        <v>0</v>
      </c>
      <c r="W50" s="393">
        <f t="shared" si="6"/>
        <v>0</v>
      </c>
      <c r="X50" s="392">
        <f t="shared" si="7"/>
        <v>41586.25</v>
      </c>
      <c r="Y50" s="393">
        <f t="shared" si="7"/>
        <v>49903.5</v>
      </c>
      <c r="Z50" s="233"/>
    </row>
    <row r="51" spans="1:26" ht="18.75" customHeight="1" x14ac:dyDescent="0.25">
      <c r="A51" s="183">
        <f t="shared" si="30"/>
        <v>8</v>
      </c>
      <c r="B51" s="178" t="s">
        <v>642</v>
      </c>
      <c r="C51" s="183" t="s">
        <v>41</v>
      </c>
      <c r="D51" s="184">
        <v>7</v>
      </c>
      <c r="E51" s="176">
        <v>144.4</v>
      </c>
      <c r="F51" s="182">
        <f t="shared" si="27"/>
        <v>1010.8000000000001</v>
      </c>
      <c r="G51" s="182">
        <f t="shared" si="28"/>
        <v>1212.96</v>
      </c>
      <c r="H51" s="176"/>
      <c r="I51" s="182"/>
      <c r="J51" s="182"/>
      <c r="K51" s="176">
        <f t="shared" si="29"/>
        <v>1010.8000000000001</v>
      </c>
      <c r="L51" s="182">
        <f t="shared" si="29"/>
        <v>1212.96</v>
      </c>
      <c r="Q51" s="401">
        <v>7</v>
      </c>
      <c r="R51" s="394">
        <v>144.4</v>
      </c>
      <c r="S51" s="393">
        <f t="shared" si="3"/>
        <v>1010.8000000000001</v>
      </c>
      <c r="T51" s="393">
        <f t="shared" si="4"/>
        <v>1212.96</v>
      </c>
      <c r="U51" s="392"/>
      <c r="V51" s="393">
        <f t="shared" si="5"/>
        <v>0</v>
      </c>
      <c r="W51" s="393">
        <f t="shared" si="6"/>
        <v>0</v>
      </c>
      <c r="X51" s="392">
        <f t="shared" si="7"/>
        <v>1010.8000000000001</v>
      </c>
      <c r="Y51" s="393">
        <f t="shared" si="7"/>
        <v>1212.96</v>
      </c>
      <c r="Z51" s="233"/>
    </row>
    <row r="52" spans="1:26" ht="18.75" customHeight="1" x14ac:dyDescent="0.25">
      <c r="A52" s="38" t="s">
        <v>643</v>
      </c>
      <c r="B52" s="150" t="s">
        <v>644</v>
      </c>
      <c r="C52" s="114" t="s">
        <v>58</v>
      </c>
      <c r="D52" s="343">
        <f>D51*0.15</f>
        <v>1.05</v>
      </c>
      <c r="E52" s="28"/>
      <c r="F52" s="134"/>
      <c r="G52" s="134"/>
      <c r="H52" s="28">
        <v>149.15</v>
      </c>
      <c r="I52" s="134">
        <f>ROUND(H52*D52,2)</f>
        <v>156.61000000000001</v>
      </c>
      <c r="J52" s="134">
        <f>ROUND(I52*1.2,2)</f>
        <v>187.93</v>
      </c>
      <c r="K52" s="28">
        <f t="shared" si="29"/>
        <v>156.61000000000001</v>
      </c>
      <c r="L52" s="134">
        <f t="shared" si="29"/>
        <v>187.93</v>
      </c>
      <c r="Q52" s="395">
        <f>Q51*0.15</f>
        <v>1.05</v>
      </c>
      <c r="R52" s="394"/>
      <c r="S52" s="393">
        <f t="shared" si="3"/>
        <v>0</v>
      </c>
      <c r="T52" s="393">
        <f t="shared" si="4"/>
        <v>0</v>
      </c>
      <c r="U52" s="392">
        <v>149.15</v>
      </c>
      <c r="V52" s="393">
        <f t="shared" si="5"/>
        <v>156.60750000000002</v>
      </c>
      <c r="W52" s="393">
        <f t="shared" si="6"/>
        <v>187.929</v>
      </c>
      <c r="X52" s="392">
        <f t="shared" si="7"/>
        <v>156.60750000000002</v>
      </c>
      <c r="Y52" s="393">
        <f t="shared" si="7"/>
        <v>187.929</v>
      </c>
      <c r="Z52" s="233"/>
    </row>
    <row r="53" spans="1:26" ht="18.75" customHeight="1" x14ac:dyDescent="0.25">
      <c r="A53" s="183">
        <f>A51+1</f>
        <v>9</v>
      </c>
      <c r="B53" s="178" t="s">
        <v>645</v>
      </c>
      <c r="C53" s="183" t="s">
        <v>41</v>
      </c>
      <c r="D53" s="184">
        <v>515</v>
      </c>
      <c r="E53" s="176">
        <v>172.9</v>
      </c>
      <c r="F53" s="182">
        <f>E53*D53</f>
        <v>89043.5</v>
      </c>
      <c r="G53" s="182">
        <f>ROUND(F53*1.2,2)</f>
        <v>106852.2</v>
      </c>
      <c r="H53" s="176"/>
      <c r="I53" s="182"/>
      <c r="J53" s="182"/>
      <c r="K53" s="176">
        <f t="shared" si="29"/>
        <v>89043.5</v>
      </c>
      <c r="L53" s="182">
        <f t="shared" si="29"/>
        <v>106852.2</v>
      </c>
      <c r="Q53" s="401">
        <v>515</v>
      </c>
      <c r="R53" s="394">
        <v>172.9</v>
      </c>
      <c r="S53" s="393">
        <f t="shared" si="3"/>
        <v>89043.5</v>
      </c>
      <c r="T53" s="393">
        <f t="shared" si="4"/>
        <v>106852.2</v>
      </c>
      <c r="U53" s="392"/>
      <c r="V53" s="393">
        <f t="shared" si="5"/>
        <v>0</v>
      </c>
      <c r="W53" s="393">
        <f t="shared" si="6"/>
        <v>0</v>
      </c>
      <c r="X53" s="392">
        <f t="shared" si="7"/>
        <v>89043.5</v>
      </c>
      <c r="Y53" s="393">
        <f t="shared" si="7"/>
        <v>106852.2</v>
      </c>
      <c r="Z53" s="233"/>
    </row>
    <row r="54" spans="1:26" ht="18.75" customHeight="1" x14ac:dyDescent="0.25">
      <c r="A54" s="38" t="s">
        <v>70</v>
      </c>
      <c r="B54" s="150" t="s">
        <v>646</v>
      </c>
      <c r="C54" s="114" t="s">
        <v>58</v>
      </c>
      <c r="D54" s="343">
        <f>D53*0.32</f>
        <v>164.8</v>
      </c>
      <c r="E54" s="28"/>
      <c r="F54" s="134"/>
      <c r="G54" s="134"/>
      <c r="H54" s="28">
        <v>165.3</v>
      </c>
      <c r="I54" s="134">
        <f>ROUND(H54*D54,2)</f>
        <v>27241.439999999999</v>
      </c>
      <c r="J54" s="134">
        <f>ROUND(I54*1.2,2)</f>
        <v>32689.73</v>
      </c>
      <c r="K54" s="28">
        <f t="shared" si="29"/>
        <v>27241.439999999999</v>
      </c>
      <c r="L54" s="134">
        <f t="shared" si="29"/>
        <v>32689.73</v>
      </c>
      <c r="Q54" s="395">
        <f>Q53*0.32</f>
        <v>164.8</v>
      </c>
      <c r="R54" s="394"/>
      <c r="S54" s="393">
        <f t="shared" si="3"/>
        <v>0</v>
      </c>
      <c r="T54" s="393">
        <f t="shared" si="4"/>
        <v>0</v>
      </c>
      <c r="U54" s="392">
        <v>165.3</v>
      </c>
      <c r="V54" s="393">
        <f t="shared" si="5"/>
        <v>27241.440000000002</v>
      </c>
      <c r="W54" s="393">
        <f t="shared" si="6"/>
        <v>32689.728000000003</v>
      </c>
      <c r="X54" s="392">
        <f t="shared" si="7"/>
        <v>27241.440000000002</v>
      </c>
      <c r="Y54" s="393">
        <f t="shared" si="7"/>
        <v>32689.728000000003</v>
      </c>
      <c r="Z54" s="233"/>
    </row>
    <row r="55" spans="1:26" ht="34.5" customHeight="1" x14ac:dyDescent="0.25">
      <c r="A55" s="183">
        <f>A53+1</f>
        <v>10</v>
      </c>
      <c r="B55" s="185" t="s">
        <v>647</v>
      </c>
      <c r="C55" s="183" t="s">
        <v>13</v>
      </c>
      <c r="D55" s="314">
        <v>0.39</v>
      </c>
      <c r="E55" s="176">
        <v>2637.2</v>
      </c>
      <c r="F55" s="182">
        <f>E55*D55</f>
        <v>1028.508</v>
      </c>
      <c r="G55" s="182">
        <f>ROUND(F55*1.2,2)</f>
        <v>1234.21</v>
      </c>
      <c r="H55" s="176"/>
      <c r="I55" s="182"/>
      <c r="J55" s="182"/>
      <c r="K55" s="176">
        <f t="shared" si="29"/>
        <v>1028.508</v>
      </c>
      <c r="L55" s="182">
        <f t="shared" si="29"/>
        <v>1234.21</v>
      </c>
      <c r="Q55" s="406">
        <v>0.39</v>
      </c>
      <c r="R55" s="392">
        <v>2637.2</v>
      </c>
      <c r="S55" s="393">
        <f t="shared" si="3"/>
        <v>1028.508</v>
      </c>
      <c r="T55" s="393">
        <f t="shared" si="4"/>
        <v>1234.2095999999999</v>
      </c>
      <c r="U55" s="392"/>
      <c r="V55" s="393">
        <f t="shared" si="5"/>
        <v>0</v>
      </c>
      <c r="W55" s="393">
        <f t="shared" si="6"/>
        <v>0</v>
      </c>
      <c r="X55" s="392">
        <f t="shared" si="7"/>
        <v>1028.508</v>
      </c>
      <c r="Y55" s="393">
        <f t="shared" si="7"/>
        <v>1234.2095999999999</v>
      </c>
      <c r="Z55" s="233"/>
    </row>
    <row r="56" spans="1:26" ht="20.25" customHeight="1" x14ac:dyDescent="0.25">
      <c r="A56" s="38" t="s">
        <v>18</v>
      </c>
      <c r="B56" s="150" t="s">
        <v>615</v>
      </c>
      <c r="C56" s="114" t="s">
        <v>13</v>
      </c>
      <c r="D56" s="389">
        <f>D55*1.02</f>
        <v>0.39780000000000004</v>
      </c>
      <c r="E56" s="28"/>
      <c r="F56" s="134"/>
      <c r="G56" s="134"/>
      <c r="H56" s="28">
        <v>5196.5</v>
      </c>
      <c r="I56" s="134">
        <f>ROUND(H56*D56,2)</f>
        <v>2067.17</v>
      </c>
      <c r="J56" s="134">
        <f>ROUND(I56*1.2,2)</f>
        <v>2480.6</v>
      </c>
      <c r="K56" s="28">
        <f t="shared" si="29"/>
        <v>2067.17</v>
      </c>
      <c r="L56" s="134">
        <f t="shared" si="29"/>
        <v>2480.6</v>
      </c>
      <c r="Q56" s="404">
        <f>Q55*1.02</f>
        <v>0.39780000000000004</v>
      </c>
      <c r="R56" s="394"/>
      <c r="S56" s="393">
        <f t="shared" si="3"/>
        <v>0</v>
      </c>
      <c r="T56" s="393">
        <f t="shared" si="4"/>
        <v>0</v>
      </c>
      <c r="U56" s="392">
        <v>5196.5</v>
      </c>
      <c r="V56" s="393">
        <f t="shared" si="5"/>
        <v>2067.1677000000004</v>
      </c>
      <c r="W56" s="393">
        <f t="shared" si="6"/>
        <v>2480.6012400000004</v>
      </c>
      <c r="X56" s="392">
        <f t="shared" si="7"/>
        <v>2067.1677000000004</v>
      </c>
      <c r="Y56" s="393">
        <f t="shared" si="7"/>
        <v>2480.6012400000004</v>
      </c>
      <c r="Z56" s="233"/>
    </row>
    <row r="57" spans="1:26" ht="27" customHeight="1" x14ac:dyDescent="0.25">
      <c r="A57" s="183">
        <f>A55+1</f>
        <v>11</v>
      </c>
      <c r="B57" s="178" t="s">
        <v>648</v>
      </c>
      <c r="C57" s="183" t="s">
        <v>41</v>
      </c>
      <c r="D57" s="314">
        <v>1.92</v>
      </c>
      <c r="E57" s="176">
        <v>144.4</v>
      </c>
      <c r="F57" s="182">
        <f>E57*D57</f>
        <v>277.24799999999999</v>
      </c>
      <c r="G57" s="182">
        <f>ROUND(F57*1.2,2)</f>
        <v>332.7</v>
      </c>
      <c r="H57" s="176"/>
      <c r="I57" s="182"/>
      <c r="J57" s="182"/>
      <c r="K57" s="176">
        <f t="shared" si="29"/>
        <v>277.24799999999999</v>
      </c>
      <c r="L57" s="182">
        <f t="shared" si="29"/>
        <v>332.7</v>
      </c>
      <c r="Q57" s="406">
        <v>1.92</v>
      </c>
      <c r="R57" s="392">
        <v>144.4</v>
      </c>
      <c r="S57" s="393">
        <f t="shared" si="3"/>
        <v>277.24799999999999</v>
      </c>
      <c r="T57" s="393">
        <f t="shared" si="4"/>
        <v>332.69759999999997</v>
      </c>
      <c r="U57" s="392"/>
      <c r="V57" s="393">
        <f t="shared" si="5"/>
        <v>0</v>
      </c>
      <c r="W57" s="393">
        <f t="shared" si="6"/>
        <v>0</v>
      </c>
      <c r="X57" s="392">
        <f t="shared" si="7"/>
        <v>277.24799999999999</v>
      </c>
      <c r="Y57" s="393">
        <f t="shared" si="7"/>
        <v>332.69759999999997</v>
      </c>
      <c r="Z57" s="233"/>
    </row>
    <row r="58" spans="1:26" ht="19.5" customHeight="1" x14ac:dyDescent="0.25">
      <c r="A58" s="38" t="s">
        <v>71</v>
      </c>
      <c r="B58" s="150" t="s">
        <v>203</v>
      </c>
      <c r="C58" s="114" t="s">
        <v>204</v>
      </c>
      <c r="D58" s="153">
        <f>D57*0.3*20/16</f>
        <v>0.72</v>
      </c>
      <c r="E58" s="28"/>
      <c r="F58" s="134"/>
      <c r="G58" s="134"/>
      <c r="H58" s="361">
        <v>237.5</v>
      </c>
      <c r="I58" s="134">
        <f>ROUND(H58*D58,2)</f>
        <v>171</v>
      </c>
      <c r="J58" s="134">
        <f>ROUND(I58*1.2,2)</f>
        <v>205.2</v>
      </c>
      <c r="K58" s="28">
        <f t="shared" si="29"/>
        <v>171</v>
      </c>
      <c r="L58" s="134">
        <f t="shared" si="29"/>
        <v>205.2</v>
      </c>
      <c r="Q58" s="406">
        <f>Q57*0.3*20/16</f>
        <v>0.72</v>
      </c>
      <c r="R58" s="392"/>
      <c r="S58" s="393">
        <f t="shared" si="3"/>
        <v>0</v>
      </c>
      <c r="T58" s="393">
        <f t="shared" si="4"/>
        <v>0</v>
      </c>
      <c r="U58" s="396">
        <v>237.5</v>
      </c>
      <c r="V58" s="393">
        <f t="shared" si="5"/>
        <v>171</v>
      </c>
      <c r="W58" s="393">
        <f t="shared" si="6"/>
        <v>205.2</v>
      </c>
      <c r="X58" s="392">
        <f t="shared" si="7"/>
        <v>171</v>
      </c>
      <c r="Y58" s="393">
        <f t="shared" si="7"/>
        <v>205.2</v>
      </c>
      <c r="Z58" s="233"/>
    </row>
    <row r="59" spans="1:26" ht="16.5" customHeight="1" x14ac:dyDescent="0.25">
      <c r="A59" s="183">
        <f>A57+1</f>
        <v>12</v>
      </c>
      <c r="B59" s="178" t="s">
        <v>649</v>
      </c>
      <c r="C59" s="183" t="s">
        <v>41</v>
      </c>
      <c r="D59" s="314">
        <v>1.92</v>
      </c>
      <c r="E59" s="176">
        <v>299.76</v>
      </c>
      <c r="F59" s="182">
        <f>E59*D59</f>
        <v>575.53919999999994</v>
      </c>
      <c r="G59" s="182">
        <f>ROUND(F59*1.2,2)</f>
        <v>690.65</v>
      </c>
      <c r="H59" s="176"/>
      <c r="I59" s="182"/>
      <c r="J59" s="182"/>
      <c r="K59" s="176">
        <f t="shared" si="29"/>
        <v>575.53919999999994</v>
      </c>
      <c r="L59" s="182">
        <f t="shared" si="29"/>
        <v>690.65</v>
      </c>
      <c r="Q59" s="406">
        <v>1.92</v>
      </c>
      <c r="R59" s="392">
        <v>299.76</v>
      </c>
      <c r="S59" s="393">
        <f t="shared" si="3"/>
        <v>575.53919999999994</v>
      </c>
      <c r="T59" s="393">
        <f t="shared" si="4"/>
        <v>690.64703999999995</v>
      </c>
      <c r="U59" s="392"/>
      <c r="V59" s="393">
        <f t="shared" si="5"/>
        <v>0</v>
      </c>
      <c r="W59" s="393">
        <f t="shared" si="6"/>
        <v>0</v>
      </c>
      <c r="X59" s="392">
        <f t="shared" si="7"/>
        <v>575.53919999999994</v>
      </c>
      <c r="Y59" s="393">
        <f t="shared" si="7"/>
        <v>690.64703999999995</v>
      </c>
      <c r="Z59" s="233"/>
    </row>
    <row r="60" spans="1:26" x14ac:dyDescent="0.25">
      <c r="A60" s="38" t="s">
        <v>72</v>
      </c>
      <c r="B60" s="150" t="s">
        <v>205</v>
      </c>
      <c r="C60" s="114" t="s">
        <v>58</v>
      </c>
      <c r="D60" s="115">
        <f>D59*0.7*2</f>
        <v>2.6879999999999997</v>
      </c>
      <c r="E60" s="28"/>
      <c r="F60" s="134"/>
      <c r="G60" s="134"/>
      <c r="H60" s="361">
        <v>296.39999999999998</v>
      </c>
      <c r="I60" s="134">
        <f>ROUND(H60*D60,2)</f>
        <v>796.72</v>
      </c>
      <c r="J60" s="134">
        <f>ROUND(I60*1.2,2)</f>
        <v>956.06</v>
      </c>
      <c r="K60" s="28">
        <f t="shared" si="29"/>
        <v>796.72</v>
      </c>
      <c r="L60" s="134">
        <f t="shared" si="29"/>
        <v>956.06</v>
      </c>
      <c r="Q60" s="401">
        <f>Q59*0.7*2</f>
        <v>2.6879999999999997</v>
      </c>
      <c r="R60" s="392"/>
      <c r="S60" s="393">
        <f t="shared" si="3"/>
        <v>0</v>
      </c>
      <c r="T60" s="393">
        <f t="shared" si="4"/>
        <v>0</v>
      </c>
      <c r="U60" s="396">
        <v>296.39999999999998</v>
      </c>
      <c r="V60" s="393">
        <f t="shared" si="5"/>
        <v>796.72319999999991</v>
      </c>
      <c r="W60" s="393">
        <f t="shared" si="6"/>
        <v>956.06783999999982</v>
      </c>
      <c r="X60" s="392">
        <f t="shared" si="7"/>
        <v>796.72319999999991</v>
      </c>
      <c r="Y60" s="393">
        <f t="shared" si="7"/>
        <v>956.06783999999982</v>
      </c>
      <c r="Z60" s="233"/>
    </row>
    <row r="61" spans="1:26" ht="15.75" x14ac:dyDescent="0.25">
      <c r="A61" s="640" t="s">
        <v>14</v>
      </c>
      <c r="B61" s="641"/>
      <c r="C61" s="641"/>
      <c r="D61" s="641"/>
      <c r="E61" s="642"/>
      <c r="F61" s="40">
        <f>SUM(F8:F60)</f>
        <v>3036913.9789499999</v>
      </c>
      <c r="G61" s="40">
        <f>ROUND(F61*1.2,2)</f>
        <v>3644296.77</v>
      </c>
      <c r="I61" s="40">
        <f>SUM(I6:I60)</f>
        <v>2633970.2899999996</v>
      </c>
      <c r="J61" s="40">
        <f>ROUND(I61*1.2,2)</f>
        <v>3160764.35</v>
      </c>
      <c r="K61" s="40">
        <f>SUM(K8:K60)</f>
        <v>5690981.0689500021</v>
      </c>
      <c r="L61" s="40">
        <f>ROUND(K61*1.2,2)</f>
        <v>6829177.2800000003</v>
      </c>
      <c r="Q61" s="458"/>
      <c r="R61" s="458"/>
      <c r="S61" s="464">
        <f>SUM(S8:S60)</f>
        <v>2834306.3989499998</v>
      </c>
      <c r="T61" s="464">
        <f t="shared" ref="T61:Y61" si="31">SUM(T8:T60)</f>
        <v>3401167.6787400004</v>
      </c>
      <c r="U61" s="464">
        <f t="shared" si="31"/>
        <v>16972.799999999996</v>
      </c>
      <c r="V61" s="464">
        <f t="shared" si="31"/>
        <v>2633970.2759999996</v>
      </c>
      <c r="W61" s="464">
        <f t="shared" si="31"/>
        <v>3160764.3312000008</v>
      </c>
      <c r="X61" s="464">
        <f t="shared" si="31"/>
        <v>5468276.6749500018</v>
      </c>
      <c r="Y61" s="464">
        <f t="shared" si="31"/>
        <v>6601017.4999399986</v>
      </c>
      <c r="Z61" s="442">
        <f>SUM(Z8:Z60)</f>
        <v>-228159.7680000001</v>
      </c>
    </row>
    <row r="62" spans="1:26" x14ac:dyDescent="0.25">
      <c r="Z62" s="233"/>
    </row>
    <row r="63" spans="1:26" x14ac:dyDescent="0.25">
      <c r="Z63" s="233"/>
    </row>
    <row r="64" spans="1:26" x14ac:dyDescent="0.25">
      <c r="Z64" s="233"/>
    </row>
    <row r="65" spans="26:26" x14ac:dyDescent="0.25">
      <c r="Z65" s="233"/>
    </row>
    <row r="66" spans="26:26" x14ac:dyDescent="0.25">
      <c r="Z66" s="233"/>
    </row>
    <row r="67" spans="26:26" x14ac:dyDescent="0.25">
      <c r="Z67" s="233"/>
    </row>
    <row r="68" spans="26:26" x14ac:dyDescent="0.25">
      <c r="Z68" s="233"/>
    </row>
    <row r="69" spans="26:26" x14ac:dyDescent="0.25">
      <c r="Z69" s="233"/>
    </row>
    <row r="70" spans="26:26" x14ac:dyDescent="0.25">
      <c r="Z70" s="233"/>
    </row>
    <row r="71" spans="26:26" x14ac:dyDescent="0.25">
      <c r="Z71" s="233"/>
    </row>
    <row r="72" spans="26:26" x14ac:dyDescent="0.25">
      <c r="Z72" s="233"/>
    </row>
    <row r="73" spans="26:26" x14ac:dyDescent="0.25">
      <c r="Z73" s="233"/>
    </row>
    <row r="74" spans="26:26" x14ac:dyDescent="0.25">
      <c r="Z74" s="233"/>
    </row>
    <row r="75" spans="26:26" x14ac:dyDescent="0.25">
      <c r="Z75" s="233"/>
    </row>
    <row r="76" spans="26:26" x14ac:dyDescent="0.25">
      <c r="Z76" s="233"/>
    </row>
    <row r="77" spans="26:26" x14ac:dyDescent="0.25">
      <c r="Z77" s="233"/>
    </row>
    <row r="78" spans="26:26" x14ac:dyDescent="0.25">
      <c r="Z78" s="233"/>
    </row>
    <row r="79" spans="26:26" x14ac:dyDescent="0.25">
      <c r="Z79" s="233"/>
    </row>
    <row r="80" spans="26:26" x14ac:dyDescent="0.25">
      <c r="Z80" s="233"/>
    </row>
    <row r="81" spans="20:26" x14ac:dyDescent="0.25">
      <c r="Z81" s="233"/>
    </row>
    <row r="82" spans="20:26" ht="15.75" x14ac:dyDescent="0.25">
      <c r="T82" s="466"/>
      <c r="Z82" s="233"/>
    </row>
    <row r="83" spans="20:26" x14ac:dyDescent="0.25">
      <c r="Z83" s="233"/>
    </row>
    <row r="84" spans="20:26" x14ac:dyDescent="0.25">
      <c r="Z84" s="233"/>
    </row>
    <row r="85" spans="20:26" x14ac:dyDescent="0.25">
      <c r="Z85" s="233"/>
    </row>
    <row r="86" spans="20:26" x14ac:dyDescent="0.25">
      <c r="Z86" s="233"/>
    </row>
    <row r="87" spans="20:26" x14ac:dyDescent="0.25">
      <c r="Z87" s="233"/>
    </row>
    <row r="88" spans="20:26" x14ac:dyDescent="0.25">
      <c r="Z88" s="233"/>
    </row>
    <row r="89" spans="20:26" x14ac:dyDescent="0.25">
      <c r="Z89" s="233"/>
    </row>
    <row r="90" spans="20:26" x14ac:dyDescent="0.25">
      <c r="Z90" s="233"/>
    </row>
    <row r="91" spans="20:26" x14ac:dyDescent="0.25">
      <c r="Z91" s="233"/>
    </row>
    <row r="92" spans="20:26" x14ac:dyDescent="0.25">
      <c r="Z92" s="233"/>
    </row>
    <row r="93" spans="20:26" x14ac:dyDescent="0.25">
      <c r="Z93" s="233"/>
    </row>
    <row r="94" spans="20:26" x14ac:dyDescent="0.25">
      <c r="Z94" s="233"/>
    </row>
    <row r="95" spans="20:26" x14ac:dyDescent="0.25">
      <c r="Z95" s="233"/>
    </row>
    <row r="96" spans="20:26" x14ac:dyDescent="0.25">
      <c r="Z96" s="233"/>
    </row>
    <row r="97" spans="26:26" x14ac:dyDescent="0.25">
      <c r="Z97" s="233"/>
    </row>
    <row r="98" spans="26:26" x14ac:dyDescent="0.25">
      <c r="Z98" s="233"/>
    </row>
    <row r="99" spans="26:26" x14ac:dyDescent="0.25">
      <c r="Z99" s="233"/>
    </row>
    <row r="100" spans="26:26" x14ac:dyDescent="0.25">
      <c r="Z100" s="233"/>
    </row>
    <row r="101" spans="26:26" x14ac:dyDescent="0.25">
      <c r="Z101" s="233"/>
    </row>
    <row r="102" spans="26:26" x14ac:dyDescent="0.25">
      <c r="Z102" s="233"/>
    </row>
    <row r="103" spans="26:26" x14ac:dyDescent="0.25">
      <c r="Z103" s="233"/>
    </row>
    <row r="104" spans="26:26" x14ac:dyDescent="0.25">
      <c r="Z104" s="233"/>
    </row>
    <row r="105" spans="26:26" x14ac:dyDescent="0.25">
      <c r="Z105" s="233"/>
    </row>
    <row r="106" spans="26:26" x14ac:dyDescent="0.25">
      <c r="Z106" s="233"/>
    </row>
    <row r="107" spans="26:26" x14ac:dyDescent="0.25">
      <c r="Z107" s="233"/>
    </row>
    <row r="108" spans="26:26" x14ac:dyDescent="0.25">
      <c r="Z108" s="233"/>
    </row>
    <row r="109" spans="26:26" x14ac:dyDescent="0.25">
      <c r="Z109" s="233"/>
    </row>
    <row r="110" spans="26:26" x14ac:dyDescent="0.25">
      <c r="Z110" s="233"/>
    </row>
    <row r="111" spans="26:26" x14ac:dyDescent="0.25">
      <c r="Z111" s="233"/>
    </row>
    <row r="112" spans="26:26" x14ac:dyDescent="0.25">
      <c r="Z112" s="233"/>
    </row>
    <row r="113" spans="26:26" x14ac:dyDescent="0.25">
      <c r="Z113" s="233"/>
    </row>
    <row r="114" spans="26:26" x14ac:dyDescent="0.25">
      <c r="Z114" s="233"/>
    </row>
    <row r="115" spans="26:26" x14ac:dyDescent="0.25">
      <c r="Z115" s="233"/>
    </row>
  </sheetData>
  <mergeCells count="15">
    <mergeCell ref="B6:D6"/>
    <mergeCell ref="A61:E61"/>
    <mergeCell ref="Q1:Q4"/>
    <mergeCell ref="R1:Y2"/>
    <mergeCell ref="R3:T3"/>
    <mergeCell ref="U3:W3"/>
    <mergeCell ref="X3:Y3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3:Z60 Z62:Z115">
    <cfRule type="cellIs" dxfId="3" priority="2" operator="lessThan">
      <formula>-1</formula>
    </cfRule>
  </conditionalFormatting>
  <conditionalFormatting sqref="Z3:Z60 Z62:Z115">
    <cfRule type="cellIs" dxfId="2" priority="1" operator="greaterThan">
      <formula>1</formula>
    </cfRule>
  </conditionalFormatting>
  <pageMargins left="0.7" right="0.7" top="0.75" bottom="0.75" header="0.3" footer="0.3"/>
  <pageSetup paperSize="9" scale="3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8190-7C1B-4FCC-8D9C-0A680DE2CA38}">
  <sheetPr>
    <tabColor rgb="FFFFFF00"/>
  </sheetPr>
  <dimension ref="A1:AL39"/>
  <sheetViews>
    <sheetView zoomScale="70" zoomScaleNormal="70" zoomScaleSheetLayoutView="80" workbookViewId="0">
      <selection activeCell="Z39" sqref="Z39"/>
    </sheetView>
  </sheetViews>
  <sheetFormatPr defaultColWidth="8.85546875" defaultRowHeight="15" x14ac:dyDescent="0.25"/>
  <cols>
    <col min="1" max="1" width="8.85546875" style="503"/>
    <col min="2" max="2" width="65.140625" style="503" customWidth="1"/>
    <col min="3" max="3" width="9.28515625" style="503" customWidth="1"/>
    <col min="4" max="4" width="11" style="503" bestFit="1" customWidth="1"/>
    <col min="5" max="5" width="15.140625" style="503" customWidth="1"/>
    <col min="6" max="6" width="16" style="503" customWidth="1"/>
    <col min="7" max="7" width="17.140625" style="582" customWidth="1"/>
    <col min="8" max="8" width="16.140625" style="582" customWidth="1"/>
    <col min="9" max="12" width="16.140625" style="503" customWidth="1"/>
    <col min="13" max="16" width="8.85546875" style="503"/>
    <col min="17" max="17" width="11" style="591" bestFit="1" customWidth="1"/>
    <col min="18" max="18" width="15.140625" style="591" customWidth="1"/>
    <col min="19" max="19" width="16" style="591" customWidth="1"/>
    <col min="20" max="20" width="17.140625" style="604" customWidth="1"/>
    <col min="21" max="21" width="16.140625" style="604" customWidth="1"/>
    <col min="22" max="25" width="16.140625" style="591" customWidth="1"/>
    <col min="26" max="26" width="27.85546875" style="591" customWidth="1"/>
    <col min="27" max="27" width="72.5703125" style="591" customWidth="1"/>
    <col min="28" max="16384" width="8.85546875" style="503"/>
  </cols>
  <sheetData>
    <row r="1" spans="1:27" s="488" customFormat="1" ht="14.45" customHeight="1" x14ac:dyDescent="0.25">
      <c r="A1" s="483" t="s">
        <v>0</v>
      </c>
      <c r="B1" s="484" t="s">
        <v>1</v>
      </c>
      <c r="C1" s="485" t="s">
        <v>2</v>
      </c>
      <c r="D1" s="485" t="s">
        <v>3</v>
      </c>
      <c r="E1" s="486" t="s">
        <v>4</v>
      </c>
      <c r="F1" s="487"/>
      <c r="G1" s="487"/>
      <c r="H1" s="487"/>
      <c r="I1" s="487"/>
      <c r="J1" s="487"/>
      <c r="K1" s="487"/>
      <c r="L1" s="487"/>
      <c r="Q1" s="485" t="s">
        <v>3</v>
      </c>
      <c r="R1" s="486" t="s">
        <v>514</v>
      </c>
      <c r="S1" s="487"/>
      <c r="T1" s="487"/>
      <c r="U1" s="487"/>
      <c r="V1" s="487"/>
      <c r="W1" s="487"/>
      <c r="X1" s="487"/>
      <c r="Y1" s="487"/>
      <c r="Z1" s="583"/>
      <c r="AA1" s="583"/>
    </row>
    <row r="2" spans="1:27" s="488" customFormat="1" ht="14.45" customHeight="1" x14ac:dyDescent="0.25">
      <c r="A2" s="489"/>
      <c r="B2" s="490"/>
      <c r="C2" s="485"/>
      <c r="D2" s="485"/>
      <c r="E2" s="491"/>
      <c r="F2" s="492"/>
      <c r="G2" s="492"/>
      <c r="H2" s="492"/>
      <c r="I2" s="492"/>
      <c r="J2" s="492"/>
      <c r="K2" s="492"/>
      <c r="L2" s="492"/>
      <c r="Q2" s="485"/>
      <c r="R2" s="491"/>
      <c r="S2" s="492"/>
      <c r="T2" s="492"/>
      <c r="U2" s="492"/>
      <c r="V2" s="492"/>
      <c r="W2" s="492"/>
      <c r="X2" s="492"/>
      <c r="Y2" s="492"/>
      <c r="Z2" s="583"/>
      <c r="AA2" s="583"/>
    </row>
    <row r="3" spans="1:27" s="488" customFormat="1" ht="27.75" customHeight="1" x14ac:dyDescent="0.25">
      <c r="A3" s="489"/>
      <c r="B3" s="490"/>
      <c r="C3" s="485"/>
      <c r="D3" s="485"/>
      <c r="E3" s="485" t="s">
        <v>5</v>
      </c>
      <c r="F3" s="485"/>
      <c r="G3" s="485"/>
      <c r="H3" s="485" t="s">
        <v>6</v>
      </c>
      <c r="I3" s="485"/>
      <c r="J3" s="485"/>
      <c r="K3" s="493" t="s">
        <v>7</v>
      </c>
      <c r="L3" s="493"/>
      <c r="Q3" s="485"/>
      <c r="R3" s="485" t="s">
        <v>5</v>
      </c>
      <c r="S3" s="485"/>
      <c r="T3" s="485"/>
      <c r="U3" s="485" t="s">
        <v>6</v>
      </c>
      <c r="V3" s="485"/>
      <c r="W3" s="485"/>
      <c r="X3" s="584" t="s">
        <v>7</v>
      </c>
      <c r="Y3" s="584"/>
      <c r="Z3" s="583"/>
      <c r="AA3" s="583"/>
    </row>
    <row r="4" spans="1:27" s="488" customFormat="1" ht="56.1" customHeight="1" x14ac:dyDescent="0.25">
      <c r="A4" s="494"/>
      <c r="B4" s="495"/>
      <c r="C4" s="485"/>
      <c r="D4" s="485"/>
      <c r="E4" s="485" t="s">
        <v>8</v>
      </c>
      <c r="F4" s="485" t="s">
        <v>9</v>
      </c>
      <c r="G4" s="496" t="s">
        <v>10</v>
      </c>
      <c r="H4" s="485" t="s">
        <v>8</v>
      </c>
      <c r="I4" s="485" t="s">
        <v>9</v>
      </c>
      <c r="J4" s="496" t="s">
        <v>10</v>
      </c>
      <c r="K4" s="485" t="s">
        <v>11</v>
      </c>
      <c r="L4" s="485" t="s">
        <v>12</v>
      </c>
      <c r="Q4" s="485"/>
      <c r="R4" s="485" t="s">
        <v>8</v>
      </c>
      <c r="S4" s="485" t="s">
        <v>9</v>
      </c>
      <c r="T4" s="585" t="s">
        <v>10</v>
      </c>
      <c r="U4" s="485" t="s">
        <v>8</v>
      </c>
      <c r="V4" s="485" t="s">
        <v>9</v>
      </c>
      <c r="W4" s="585" t="s">
        <v>10</v>
      </c>
      <c r="X4" s="485" t="s">
        <v>11</v>
      </c>
      <c r="Y4" s="485" t="s">
        <v>12</v>
      </c>
      <c r="Z4" s="583"/>
      <c r="AA4" s="583"/>
    </row>
    <row r="5" spans="1:27" s="488" customFormat="1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Q5" s="5">
        <v>4</v>
      </c>
      <c r="R5" s="5">
        <v>5</v>
      </c>
      <c r="S5" s="5">
        <v>6</v>
      </c>
      <c r="T5" s="5">
        <v>7</v>
      </c>
      <c r="U5" s="586"/>
      <c r="V5" s="586"/>
      <c r="W5" s="586"/>
      <c r="X5" s="586"/>
      <c r="Y5" s="586"/>
      <c r="Z5" s="583"/>
      <c r="AA5" s="583"/>
    </row>
    <row r="6" spans="1:27" ht="20.25" customHeight="1" x14ac:dyDescent="0.25">
      <c r="A6" s="497"/>
      <c r="B6" s="498" t="s">
        <v>683</v>
      </c>
      <c r="C6" s="499"/>
      <c r="D6" s="499"/>
      <c r="E6" s="500"/>
      <c r="F6" s="501"/>
      <c r="G6" s="502"/>
      <c r="H6" s="502"/>
      <c r="I6" s="502"/>
      <c r="J6" s="502"/>
      <c r="K6" s="502"/>
      <c r="L6" s="502"/>
      <c r="Q6" s="587"/>
      <c r="R6" s="588"/>
      <c r="S6" s="589"/>
      <c r="T6" s="590"/>
      <c r="U6" s="590"/>
      <c r="V6" s="590"/>
      <c r="W6" s="590"/>
      <c r="X6" s="590"/>
      <c r="Y6" s="590"/>
    </row>
    <row r="7" spans="1:27" ht="18.75" customHeight="1" x14ac:dyDescent="0.25">
      <c r="A7" s="504"/>
      <c r="B7" s="505" t="s">
        <v>223</v>
      </c>
      <c r="C7" s="506"/>
      <c r="D7" s="507"/>
      <c r="E7" s="508"/>
      <c r="F7" s="509"/>
      <c r="G7" s="509"/>
      <c r="H7" s="510"/>
      <c r="I7" s="511"/>
      <c r="J7" s="511"/>
      <c r="K7" s="512"/>
      <c r="L7" s="511"/>
      <c r="Q7" s="544"/>
      <c r="R7" s="592"/>
      <c r="S7" s="592"/>
      <c r="T7" s="592"/>
      <c r="U7" s="593"/>
      <c r="V7" s="592"/>
      <c r="W7" s="592"/>
      <c r="X7" s="594"/>
      <c r="Y7" s="592"/>
    </row>
    <row r="8" spans="1:27" ht="19.5" customHeight="1" x14ac:dyDescent="0.25">
      <c r="A8" s="513">
        <v>1</v>
      </c>
      <c r="B8" s="514" t="s">
        <v>684</v>
      </c>
      <c r="C8" s="515" t="s">
        <v>15</v>
      </c>
      <c r="D8" s="516">
        <v>31</v>
      </c>
      <c r="E8" s="517">
        <v>1248.3599999999999</v>
      </c>
      <c r="F8" s="518">
        <f t="shared" ref="F8" si="0">ROUND(E8*D8,2)</f>
        <v>38699.160000000003</v>
      </c>
      <c r="G8" s="518">
        <f t="shared" ref="G8" si="1">ROUND(F8*1.2,2)</f>
        <v>46438.99</v>
      </c>
      <c r="H8" s="519"/>
      <c r="I8" s="520"/>
      <c r="J8" s="520"/>
      <c r="K8" s="521">
        <f t="shared" ref="K8:L8" si="2">F8+I8</f>
        <v>38699.160000000003</v>
      </c>
      <c r="L8" s="522">
        <f t="shared" si="2"/>
        <v>46438.99</v>
      </c>
      <c r="Q8" s="606">
        <v>0</v>
      </c>
      <c r="R8" s="595">
        <f>E8</f>
        <v>1248.3599999999999</v>
      </c>
      <c r="S8" s="596">
        <f>Q8*R8</f>
        <v>0</v>
      </c>
      <c r="T8" s="596">
        <f>1.2*S8</f>
        <v>0</v>
      </c>
      <c r="U8" s="597"/>
      <c r="V8" s="596">
        <f>U8*Q8</f>
        <v>0</v>
      </c>
      <c r="W8" s="596">
        <f>V8*1.2</f>
        <v>0</v>
      </c>
      <c r="X8" s="598">
        <f>S8+V8</f>
        <v>0</v>
      </c>
      <c r="Y8" s="596">
        <f>T8+W8</f>
        <v>0</v>
      </c>
      <c r="Z8" s="599">
        <f t="shared" ref="Z8" si="3">Y8-L8</f>
        <v>-46438.99</v>
      </c>
      <c r="AA8" s="600" t="s">
        <v>706</v>
      </c>
    </row>
    <row r="9" spans="1:27" ht="18.75" customHeight="1" x14ac:dyDescent="0.25">
      <c r="A9" s="504"/>
      <c r="B9" s="523" t="s">
        <v>164</v>
      </c>
      <c r="C9" s="524"/>
      <c r="D9" s="507"/>
      <c r="E9" s="525"/>
      <c r="F9" s="511"/>
      <c r="G9" s="511"/>
      <c r="H9" s="511"/>
      <c r="I9" s="511"/>
      <c r="J9" s="511"/>
      <c r="K9" s="512"/>
      <c r="L9" s="511"/>
      <c r="Q9" s="605">
        <f t="shared" ref="Q9:Q38" si="4">D9</f>
        <v>0</v>
      </c>
      <c r="R9" s="595">
        <f t="shared" ref="R9:R38" si="5">E9</f>
        <v>0</v>
      </c>
      <c r="S9" s="596">
        <f t="shared" ref="S9:S38" si="6">Q9*R9</f>
        <v>0</v>
      </c>
      <c r="T9" s="596">
        <f t="shared" ref="T9:T38" si="7">1.2*S9</f>
        <v>0</v>
      </c>
      <c r="U9" s="596"/>
      <c r="V9" s="596">
        <f t="shared" ref="V9:V38" si="8">U9*Q9</f>
        <v>0</v>
      </c>
      <c r="W9" s="596">
        <f t="shared" ref="W9:W38" si="9">V9*1.2</f>
        <v>0</v>
      </c>
      <c r="X9" s="598">
        <f t="shared" ref="X9:Y38" si="10">S9+V9</f>
        <v>0</v>
      </c>
      <c r="Y9" s="596">
        <f t="shared" si="10"/>
        <v>0</v>
      </c>
      <c r="Z9" s="599"/>
    </row>
    <row r="10" spans="1:27" ht="18.75" customHeight="1" x14ac:dyDescent="0.25">
      <c r="A10" s="526">
        <f>A8+1</f>
        <v>2</v>
      </c>
      <c r="B10" s="527" t="s">
        <v>165</v>
      </c>
      <c r="C10" s="528" t="s">
        <v>17</v>
      </c>
      <c r="D10" s="529">
        <f>24*31/1000</f>
        <v>0.74399999999999999</v>
      </c>
      <c r="E10" s="530">
        <v>335</v>
      </c>
      <c r="F10" s="531">
        <f>ROUND(E10*D10,2)</f>
        <v>249.24</v>
      </c>
      <c r="G10" s="531">
        <f>ROUND(F10*1.2,2)</f>
        <v>299.08999999999997</v>
      </c>
      <c r="H10" s="532"/>
      <c r="I10" s="531"/>
      <c r="J10" s="531"/>
      <c r="K10" s="533">
        <f>F10+I10</f>
        <v>249.24</v>
      </c>
      <c r="L10" s="531">
        <f>G10+J10</f>
        <v>299.08999999999997</v>
      </c>
      <c r="Q10" s="605">
        <f t="shared" si="4"/>
        <v>0.74399999999999999</v>
      </c>
      <c r="R10" s="595">
        <f t="shared" si="5"/>
        <v>335</v>
      </c>
      <c r="S10" s="596">
        <f t="shared" si="6"/>
        <v>249.24</v>
      </c>
      <c r="T10" s="596">
        <f t="shared" si="7"/>
        <v>299.08800000000002</v>
      </c>
      <c r="U10" s="595"/>
      <c r="V10" s="596">
        <f t="shared" si="8"/>
        <v>0</v>
      </c>
      <c r="W10" s="596">
        <f t="shared" si="9"/>
        <v>0</v>
      </c>
      <c r="X10" s="598">
        <f t="shared" si="10"/>
        <v>249.24</v>
      </c>
      <c r="Y10" s="596">
        <f t="shared" si="10"/>
        <v>299.08800000000002</v>
      </c>
      <c r="Z10" s="599"/>
    </row>
    <row r="11" spans="1:27" ht="18.75" customHeight="1" x14ac:dyDescent="0.25">
      <c r="A11" s="534"/>
      <c r="B11" s="535" t="s">
        <v>59</v>
      </c>
      <c r="C11" s="524"/>
      <c r="D11" s="536"/>
      <c r="E11" s="537"/>
      <c r="F11" s="538"/>
      <c r="G11" s="539"/>
      <c r="H11" s="540"/>
      <c r="I11" s="541"/>
      <c r="J11" s="541"/>
      <c r="K11" s="542"/>
      <c r="L11" s="541"/>
      <c r="Q11" s="605">
        <f t="shared" si="4"/>
        <v>0</v>
      </c>
      <c r="R11" s="595">
        <f t="shared" si="5"/>
        <v>0</v>
      </c>
      <c r="S11" s="596">
        <f t="shared" si="6"/>
        <v>0</v>
      </c>
      <c r="T11" s="596">
        <f t="shared" si="7"/>
        <v>0</v>
      </c>
      <c r="U11" s="597"/>
      <c r="V11" s="596">
        <f t="shared" si="8"/>
        <v>0</v>
      </c>
      <c r="W11" s="596">
        <f t="shared" si="9"/>
        <v>0</v>
      </c>
      <c r="X11" s="598">
        <f t="shared" si="10"/>
        <v>0</v>
      </c>
      <c r="Y11" s="596">
        <f t="shared" si="10"/>
        <v>0</v>
      </c>
      <c r="Z11" s="599"/>
    </row>
    <row r="12" spans="1:27" ht="18.75" customHeight="1" x14ac:dyDescent="0.25">
      <c r="A12" s="504"/>
      <c r="B12" s="543" t="s">
        <v>685</v>
      </c>
      <c r="C12" s="506"/>
      <c r="D12" s="544"/>
      <c r="E12" s="510"/>
      <c r="F12" s="509"/>
      <c r="G12" s="509"/>
      <c r="H12" s="510"/>
      <c r="I12" s="508"/>
      <c r="J12" s="508"/>
      <c r="K12" s="545"/>
      <c r="L12" s="508"/>
      <c r="Q12" s="605">
        <f t="shared" si="4"/>
        <v>0</v>
      </c>
      <c r="R12" s="595">
        <f t="shared" si="5"/>
        <v>0</v>
      </c>
      <c r="S12" s="596">
        <f t="shared" si="6"/>
        <v>0</v>
      </c>
      <c r="T12" s="596">
        <f t="shared" si="7"/>
        <v>0</v>
      </c>
      <c r="U12" s="595"/>
      <c r="V12" s="596">
        <f t="shared" si="8"/>
        <v>0</v>
      </c>
      <c r="W12" s="596">
        <f t="shared" si="9"/>
        <v>0</v>
      </c>
      <c r="X12" s="598">
        <f t="shared" si="10"/>
        <v>0</v>
      </c>
      <c r="Y12" s="596">
        <f t="shared" si="10"/>
        <v>0</v>
      </c>
      <c r="Z12" s="599"/>
    </row>
    <row r="13" spans="1:27" ht="18.75" customHeight="1" x14ac:dyDescent="0.25">
      <c r="A13" s="528">
        <f>A10+1</f>
        <v>3</v>
      </c>
      <c r="B13" s="546" t="s">
        <v>686</v>
      </c>
      <c r="C13" s="528" t="s">
        <v>13</v>
      </c>
      <c r="D13" s="529">
        <v>100</v>
      </c>
      <c r="E13" s="532">
        <v>355.3</v>
      </c>
      <c r="F13" s="531">
        <f>ROUND(E13*D13,2)</f>
        <v>35530</v>
      </c>
      <c r="G13" s="531">
        <f>ROUND(F13*1.2,2)</f>
        <v>42636</v>
      </c>
      <c r="H13" s="547"/>
      <c r="I13" s="548"/>
      <c r="J13" s="548"/>
      <c r="K13" s="549">
        <f>F13+I13</f>
        <v>35530</v>
      </c>
      <c r="L13" s="530">
        <f>G13+J13</f>
        <v>42636</v>
      </c>
      <c r="Q13" s="605">
        <f t="shared" si="4"/>
        <v>100</v>
      </c>
      <c r="R13" s="595">
        <f t="shared" si="5"/>
        <v>355.3</v>
      </c>
      <c r="S13" s="596">
        <f t="shared" si="6"/>
        <v>35530</v>
      </c>
      <c r="T13" s="596">
        <f t="shared" si="7"/>
        <v>42636</v>
      </c>
      <c r="U13" s="597"/>
      <c r="V13" s="596">
        <f t="shared" si="8"/>
        <v>0</v>
      </c>
      <c r="W13" s="596">
        <f t="shared" si="9"/>
        <v>0</v>
      </c>
      <c r="X13" s="598">
        <f t="shared" si="10"/>
        <v>35530</v>
      </c>
      <c r="Y13" s="596">
        <f t="shared" si="10"/>
        <v>42636</v>
      </c>
      <c r="Z13" s="599"/>
    </row>
    <row r="14" spans="1:27" ht="29.25" customHeight="1" x14ac:dyDescent="0.25">
      <c r="A14" s="526">
        <f>A13+1</f>
        <v>4</v>
      </c>
      <c r="B14" s="546" t="s">
        <v>320</v>
      </c>
      <c r="C14" s="528" t="s">
        <v>687</v>
      </c>
      <c r="D14" s="529">
        <v>3.1</v>
      </c>
      <c r="E14" s="532">
        <v>1688.15</v>
      </c>
      <c r="F14" s="531">
        <f t="shared" ref="F14" si="11">ROUND(E14*D14,2)</f>
        <v>5233.2700000000004</v>
      </c>
      <c r="G14" s="531">
        <f t="shared" ref="G14" si="12">ROUND(F14*1.2,2)</f>
        <v>6279.92</v>
      </c>
      <c r="H14" s="547"/>
      <c r="I14" s="548"/>
      <c r="J14" s="548"/>
      <c r="K14" s="549">
        <f t="shared" ref="K14:L20" si="13">F14+I14</f>
        <v>5233.2700000000004</v>
      </c>
      <c r="L14" s="530">
        <f t="shared" si="13"/>
        <v>6279.92</v>
      </c>
      <c r="Q14" s="605">
        <f t="shared" si="4"/>
        <v>3.1</v>
      </c>
      <c r="R14" s="595">
        <f t="shared" si="5"/>
        <v>1688.15</v>
      </c>
      <c r="S14" s="596">
        <f t="shared" si="6"/>
        <v>5233.2650000000003</v>
      </c>
      <c r="T14" s="596">
        <f t="shared" si="7"/>
        <v>6279.9180000000006</v>
      </c>
      <c r="U14" s="597"/>
      <c r="V14" s="596">
        <f t="shared" si="8"/>
        <v>0</v>
      </c>
      <c r="W14" s="596">
        <f t="shared" si="9"/>
        <v>0</v>
      </c>
      <c r="X14" s="598">
        <f t="shared" si="10"/>
        <v>5233.2650000000003</v>
      </c>
      <c r="Y14" s="596">
        <f t="shared" si="10"/>
        <v>6279.9180000000006</v>
      </c>
      <c r="Z14" s="599"/>
    </row>
    <row r="15" spans="1:27" ht="18.75" customHeight="1" x14ac:dyDescent="0.25">
      <c r="A15" s="526">
        <f>A14+1</f>
        <v>5</v>
      </c>
      <c r="B15" s="546" t="s">
        <v>688</v>
      </c>
      <c r="C15" s="528" t="s">
        <v>13</v>
      </c>
      <c r="D15" s="529">
        <v>2.8</v>
      </c>
      <c r="E15" s="532">
        <v>1310.05</v>
      </c>
      <c r="F15" s="531">
        <f>ROUND(E15*D15,2)</f>
        <v>3668.14</v>
      </c>
      <c r="G15" s="531">
        <f>ROUND(F15*1.2,2)</f>
        <v>4401.7700000000004</v>
      </c>
      <c r="H15" s="547"/>
      <c r="I15" s="548"/>
      <c r="J15" s="548"/>
      <c r="K15" s="549">
        <f t="shared" si="13"/>
        <v>3668.14</v>
      </c>
      <c r="L15" s="530">
        <f t="shared" si="13"/>
        <v>4401.7700000000004</v>
      </c>
      <c r="Q15" s="605">
        <f t="shared" si="4"/>
        <v>2.8</v>
      </c>
      <c r="R15" s="595">
        <f t="shared" si="5"/>
        <v>1310.05</v>
      </c>
      <c r="S15" s="596">
        <f t="shared" si="6"/>
        <v>3668.1399999999994</v>
      </c>
      <c r="T15" s="596">
        <f t="shared" si="7"/>
        <v>4401.7679999999991</v>
      </c>
      <c r="U15" s="597"/>
      <c r="V15" s="596">
        <f t="shared" si="8"/>
        <v>0</v>
      </c>
      <c r="W15" s="596">
        <f t="shared" si="9"/>
        <v>0</v>
      </c>
      <c r="X15" s="598">
        <f t="shared" si="10"/>
        <v>3668.1399999999994</v>
      </c>
      <c r="Y15" s="596">
        <f t="shared" si="10"/>
        <v>4401.7679999999991</v>
      </c>
      <c r="Z15" s="599"/>
    </row>
    <row r="16" spans="1:27" ht="18.75" customHeight="1" x14ac:dyDescent="0.25">
      <c r="A16" s="550" t="s">
        <v>116</v>
      </c>
      <c r="B16" s="551" t="s">
        <v>136</v>
      </c>
      <c r="C16" s="552" t="s">
        <v>13</v>
      </c>
      <c r="D16" s="553">
        <f>D15*1.1</f>
        <v>3.08</v>
      </c>
      <c r="E16" s="554"/>
      <c r="F16" s="555"/>
      <c r="G16" s="555"/>
      <c r="H16" s="555">
        <v>1191.3</v>
      </c>
      <c r="I16" s="555">
        <f>ROUND(H16*D16,2)</f>
        <v>3669.2</v>
      </c>
      <c r="J16" s="555">
        <f>ROUND(I16*1.2,2)</f>
        <v>4403.04</v>
      </c>
      <c r="K16" s="556">
        <f t="shared" si="13"/>
        <v>3669.2</v>
      </c>
      <c r="L16" s="555">
        <f t="shared" si="13"/>
        <v>4403.04</v>
      </c>
      <c r="Q16" s="605">
        <f t="shared" si="4"/>
        <v>3.08</v>
      </c>
      <c r="R16" s="595">
        <f t="shared" si="5"/>
        <v>0</v>
      </c>
      <c r="S16" s="596">
        <f t="shared" si="6"/>
        <v>0</v>
      </c>
      <c r="T16" s="596">
        <f t="shared" si="7"/>
        <v>0</v>
      </c>
      <c r="U16" s="596">
        <v>1191.3</v>
      </c>
      <c r="V16" s="596">
        <f t="shared" si="8"/>
        <v>3669.2039999999997</v>
      </c>
      <c r="W16" s="596">
        <f t="shared" si="9"/>
        <v>4403.0447999999997</v>
      </c>
      <c r="X16" s="598">
        <f t="shared" si="10"/>
        <v>3669.2039999999997</v>
      </c>
      <c r="Y16" s="596">
        <f t="shared" si="10"/>
        <v>4403.0447999999997</v>
      </c>
      <c r="Z16" s="599"/>
    </row>
    <row r="17" spans="1:38" ht="18.75" customHeight="1" x14ac:dyDescent="0.25">
      <c r="A17" s="528">
        <f>A15+1</f>
        <v>6</v>
      </c>
      <c r="B17" s="546" t="s">
        <v>689</v>
      </c>
      <c r="C17" s="528" t="s">
        <v>13</v>
      </c>
      <c r="D17" s="529">
        <v>20.3</v>
      </c>
      <c r="E17" s="532">
        <v>1310.05</v>
      </c>
      <c r="F17" s="531">
        <f>ROUND(E17*D17,2)</f>
        <v>26594.02</v>
      </c>
      <c r="G17" s="531">
        <f>ROUND(F17*1.2,2)</f>
        <v>31912.82</v>
      </c>
      <c r="H17" s="531"/>
      <c r="I17" s="531"/>
      <c r="J17" s="531"/>
      <c r="K17" s="533">
        <f t="shared" si="13"/>
        <v>26594.02</v>
      </c>
      <c r="L17" s="531">
        <f t="shared" si="13"/>
        <v>31912.82</v>
      </c>
      <c r="Q17" s="605">
        <f t="shared" si="4"/>
        <v>20.3</v>
      </c>
      <c r="R17" s="595">
        <f t="shared" si="5"/>
        <v>1310.05</v>
      </c>
      <c r="S17" s="596">
        <f t="shared" si="6"/>
        <v>26594.014999999999</v>
      </c>
      <c r="T17" s="596">
        <f t="shared" si="7"/>
        <v>31912.817999999999</v>
      </c>
      <c r="U17" s="596"/>
      <c r="V17" s="596">
        <f t="shared" si="8"/>
        <v>0</v>
      </c>
      <c r="W17" s="596">
        <f t="shared" si="9"/>
        <v>0</v>
      </c>
      <c r="X17" s="598">
        <f t="shared" si="10"/>
        <v>26594.014999999999</v>
      </c>
      <c r="Y17" s="596">
        <f t="shared" si="10"/>
        <v>31912.817999999999</v>
      </c>
      <c r="Z17" s="599"/>
    </row>
    <row r="18" spans="1:38" ht="18.75" customHeight="1" x14ac:dyDescent="0.25">
      <c r="A18" s="550" t="s">
        <v>117</v>
      </c>
      <c r="B18" s="551" t="s">
        <v>136</v>
      </c>
      <c r="C18" s="552" t="s">
        <v>13</v>
      </c>
      <c r="D18" s="553">
        <f>D17*1.1</f>
        <v>22.330000000000002</v>
      </c>
      <c r="E18" s="554"/>
      <c r="F18" s="555"/>
      <c r="G18" s="555"/>
      <c r="H18" s="555">
        <v>1191.3</v>
      </c>
      <c r="I18" s="555">
        <f>ROUND(H18*D18,2)</f>
        <v>26601.73</v>
      </c>
      <c r="J18" s="555">
        <f>ROUND(I18*1.2,2)</f>
        <v>31922.080000000002</v>
      </c>
      <c r="K18" s="556">
        <f t="shared" si="13"/>
        <v>26601.73</v>
      </c>
      <c r="L18" s="555">
        <f t="shared" si="13"/>
        <v>31922.080000000002</v>
      </c>
      <c r="Q18" s="605">
        <f t="shared" si="4"/>
        <v>22.330000000000002</v>
      </c>
      <c r="R18" s="595">
        <f t="shared" si="5"/>
        <v>0</v>
      </c>
      <c r="S18" s="596">
        <f t="shared" si="6"/>
        <v>0</v>
      </c>
      <c r="T18" s="596">
        <f t="shared" si="7"/>
        <v>0</v>
      </c>
      <c r="U18" s="596">
        <v>1191.3</v>
      </c>
      <c r="V18" s="596">
        <f t="shared" si="8"/>
        <v>26601.729000000003</v>
      </c>
      <c r="W18" s="596">
        <f t="shared" si="9"/>
        <v>31922.074800000002</v>
      </c>
      <c r="X18" s="598">
        <f t="shared" si="10"/>
        <v>26601.729000000003</v>
      </c>
      <c r="Y18" s="596">
        <f t="shared" si="10"/>
        <v>31922.074800000002</v>
      </c>
      <c r="Z18" s="599"/>
    </row>
    <row r="19" spans="1:38" s="557" customFormat="1" ht="18.75" customHeight="1" x14ac:dyDescent="0.25">
      <c r="A19" s="528">
        <f>A17+1</f>
        <v>7</v>
      </c>
      <c r="B19" s="546" t="s">
        <v>589</v>
      </c>
      <c r="C19" s="528" t="s">
        <v>13</v>
      </c>
      <c r="D19" s="529">
        <v>74</v>
      </c>
      <c r="E19" s="532">
        <v>118.75</v>
      </c>
      <c r="F19" s="531">
        <f>ROUND(E19*D19,2)</f>
        <v>8787.5</v>
      </c>
      <c r="G19" s="531">
        <f>ROUND(F19*1.2,2)</f>
        <v>10545</v>
      </c>
      <c r="H19" s="547"/>
      <c r="I19" s="548"/>
      <c r="J19" s="548"/>
      <c r="K19" s="549">
        <f t="shared" si="13"/>
        <v>8787.5</v>
      </c>
      <c r="L19" s="530">
        <f t="shared" si="13"/>
        <v>10545</v>
      </c>
      <c r="M19" s="503"/>
      <c r="N19" s="503"/>
      <c r="O19" s="503"/>
      <c r="P19" s="503"/>
      <c r="Q19" s="605">
        <f t="shared" si="4"/>
        <v>74</v>
      </c>
      <c r="R19" s="595">
        <f t="shared" si="5"/>
        <v>118.75</v>
      </c>
      <c r="S19" s="596">
        <f t="shared" si="6"/>
        <v>8787.5</v>
      </c>
      <c r="T19" s="596">
        <f t="shared" si="7"/>
        <v>10545</v>
      </c>
      <c r="U19" s="597"/>
      <c r="V19" s="596">
        <f t="shared" si="8"/>
        <v>0</v>
      </c>
      <c r="W19" s="596">
        <f t="shared" si="9"/>
        <v>0</v>
      </c>
      <c r="X19" s="598">
        <f t="shared" si="10"/>
        <v>8787.5</v>
      </c>
      <c r="Y19" s="596">
        <f t="shared" si="10"/>
        <v>10545</v>
      </c>
      <c r="Z19" s="599"/>
      <c r="AA19" s="591"/>
      <c r="AB19" s="503"/>
      <c r="AC19" s="503"/>
      <c r="AD19" s="503"/>
      <c r="AE19" s="503"/>
      <c r="AF19" s="503"/>
      <c r="AG19" s="503"/>
      <c r="AH19" s="503"/>
      <c r="AI19" s="503"/>
      <c r="AJ19" s="503"/>
      <c r="AK19" s="503"/>
      <c r="AL19" s="503"/>
    </row>
    <row r="20" spans="1:38" ht="18.75" customHeight="1" x14ac:dyDescent="0.25">
      <c r="A20" s="526">
        <f>A19+1</f>
        <v>8</v>
      </c>
      <c r="B20" s="546" t="s">
        <v>590</v>
      </c>
      <c r="C20" s="528" t="s">
        <v>13</v>
      </c>
      <c r="D20" s="529">
        <v>74</v>
      </c>
      <c r="E20" s="532">
        <v>188.1</v>
      </c>
      <c r="F20" s="531">
        <f>ROUND(E20*D20,2)</f>
        <v>13919.4</v>
      </c>
      <c r="G20" s="531">
        <f>ROUND(F20*1.2,2)</f>
        <v>16703.28</v>
      </c>
      <c r="H20" s="549"/>
      <c r="I20" s="531"/>
      <c r="J20" s="531"/>
      <c r="K20" s="549">
        <f t="shared" si="13"/>
        <v>13919.4</v>
      </c>
      <c r="L20" s="530">
        <f t="shared" si="13"/>
        <v>16703.28</v>
      </c>
      <c r="Q20" s="605">
        <f t="shared" si="4"/>
        <v>74</v>
      </c>
      <c r="R20" s="595">
        <f t="shared" si="5"/>
        <v>188.1</v>
      </c>
      <c r="S20" s="596">
        <f t="shared" si="6"/>
        <v>13919.4</v>
      </c>
      <c r="T20" s="596">
        <f t="shared" si="7"/>
        <v>16703.28</v>
      </c>
      <c r="U20" s="598"/>
      <c r="V20" s="596">
        <f t="shared" si="8"/>
        <v>0</v>
      </c>
      <c r="W20" s="596">
        <f t="shared" si="9"/>
        <v>0</v>
      </c>
      <c r="X20" s="598">
        <f t="shared" si="10"/>
        <v>13919.4</v>
      </c>
      <c r="Y20" s="596">
        <f t="shared" si="10"/>
        <v>16703.28</v>
      </c>
      <c r="Z20" s="599"/>
    </row>
    <row r="21" spans="1:38" ht="18.75" customHeight="1" x14ac:dyDescent="0.25">
      <c r="A21" s="504"/>
      <c r="B21" s="523" t="s">
        <v>164</v>
      </c>
      <c r="C21" s="524"/>
      <c r="D21" s="507"/>
      <c r="E21" s="525"/>
      <c r="F21" s="511"/>
      <c r="G21" s="511"/>
      <c r="H21" s="511"/>
      <c r="I21" s="511"/>
      <c r="J21" s="511"/>
      <c r="K21" s="512"/>
      <c r="L21" s="511"/>
      <c r="Q21" s="605">
        <f t="shared" si="4"/>
        <v>0</v>
      </c>
      <c r="R21" s="595">
        <f t="shared" si="5"/>
        <v>0</v>
      </c>
      <c r="S21" s="596">
        <f t="shared" si="6"/>
        <v>0</v>
      </c>
      <c r="T21" s="596">
        <f t="shared" si="7"/>
        <v>0</v>
      </c>
      <c r="U21" s="596"/>
      <c r="V21" s="596">
        <f t="shared" si="8"/>
        <v>0</v>
      </c>
      <c r="W21" s="596">
        <f t="shared" si="9"/>
        <v>0</v>
      </c>
      <c r="X21" s="598">
        <f t="shared" si="10"/>
        <v>0</v>
      </c>
      <c r="Y21" s="596">
        <f t="shared" si="10"/>
        <v>0</v>
      </c>
      <c r="Z21" s="599"/>
    </row>
    <row r="22" spans="1:38" ht="18.75" customHeight="1" x14ac:dyDescent="0.25">
      <c r="A22" s="526">
        <f>A20+1</f>
        <v>9</v>
      </c>
      <c r="B22" s="546" t="s">
        <v>322</v>
      </c>
      <c r="C22" s="528" t="s">
        <v>17</v>
      </c>
      <c r="D22" s="529">
        <f>29.24*1.9</f>
        <v>55.555999999999997</v>
      </c>
      <c r="E22" s="532">
        <v>308.75</v>
      </c>
      <c r="F22" s="531">
        <f>ROUND(E22*D22,2)</f>
        <v>17152.919999999998</v>
      </c>
      <c r="G22" s="531">
        <f>ROUND(F22*1.2,2)</f>
        <v>20583.5</v>
      </c>
      <c r="H22" s="532"/>
      <c r="I22" s="530"/>
      <c r="J22" s="530"/>
      <c r="K22" s="549">
        <f>F22+I22</f>
        <v>17152.919999999998</v>
      </c>
      <c r="L22" s="530">
        <f>G22+J22</f>
        <v>20583.5</v>
      </c>
      <c r="Q22" s="605">
        <f t="shared" si="4"/>
        <v>55.555999999999997</v>
      </c>
      <c r="R22" s="595">
        <f t="shared" si="5"/>
        <v>308.75</v>
      </c>
      <c r="S22" s="596">
        <f t="shared" si="6"/>
        <v>17152.915000000001</v>
      </c>
      <c r="T22" s="596">
        <f t="shared" si="7"/>
        <v>20583.498</v>
      </c>
      <c r="U22" s="595"/>
      <c r="V22" s="596">
        <f t="shared" si="8"/>
        <v>0</v>
      </c>
      <c r="W22" s="596">
        <f t="shared" si="9"/>
        <v>0</v>
      </c>
      <c r="X22" s="598">
        <f t="shared" si="10"/>
        <v>17152.915000000001</v>
      </c>
      <c r="Y22" s="596">
        <f t="shared" si="10"/>
        <v>20583.498</v>
      </c>
      <c r="Z22" s="599"/>
    </row>
    <row r="23" spans="1:38" ht="18.75" customHeight="1" x14ac:dyDescent="0.25">
      <c r="A23" s="550"/>
      <c r="B23" s="535" t="s">
        <v>125</v>
      </c>
      <c r="C23" s="524"/>
      <c r="D23" s="536"/>
      <c r="E23" s="537"/>
      <c r="F23" s="538"/>
      <c r="G23" s="539"/>
      <c r="H23" s="558"/>
      <c r="I23" s="511"/>
      <c r="J23" s="511"/>
      <c r="K23" s="512"/>
      <c r="L23" s="511"/>
      <c r="Q23" s="605">
        <f t="shared" si="4"/>
        <v>0</v>
      </c>
      <c r="R23" s="595">
        <f t="shared" si="5"/>
        <v>0</v>
      </c>
      <c r="S23" s="596">
        <f t="shared" si="6"/>
        <v>0</v>
      </c>
      <c r="T23" s="596">
        <f t="shared" si="7"/>
        <v>0</v>
      </c>
      <c r="U23" s="597"/>
      <c r="V23" s="596">
        <f t="shared" si="8"/>
        <v>0</v>
      </c>
      <c r="W23" s="596">
        <f t="shared" si="9"/>
        <v>0</v>
      </c>
      <c r="X23" s="598">
        <f t="shared" si="10"/>
        <v>0</v>
      </c>
      <c r="Y23" s="596">
        <f t="shared" si="10"/>
        <v>0</v>
      </c>
      <c r="Z23" s="599"/>
    </row>
    <row r="24" spans="1:38" ht="26.25" customHeight="1" x14ac:dyDescent="0.25">
      <c r="A24" s="526">
        <f>A22+1</f>
        <v>10</v>
      </c>
      <c r="B24" s="559" t="s">
        <v>690</v>
      </c>
      <c r="C24" s="528" t="s">
        <v>15</v>
      </c>
      <c r="D24" s="560">
        <v>31</v>
      </c>
      <c r="E24" s="532">
        <v>966.15</v>
      </c>
      <c r="F24" s="531">
        <f>ROUND(E24*D24,2)</f>
        <v>29950.65</v>
      </c>
      <c r="G24" s="531">
        <f>ROUND(F24*1.2,2)</f>
        <v>35940.78</v>
      </c>
      <c r="H24" s="561"/>
      <c r="I24" s="531"/>
      <c r="J24" s="531"/>
      <c r="K24" s="549">
        <f t="shared" ref="K24:L38" si="14">F24+I24</f>
        <v>29950.65</v>
      </c>
      <c r="L24" s="530">
        <f t="shared" si="14"/>
        <v>35940.78</v>
      </c>
      <c r="Q24" s="605">
        <f t="shared" si="4"/>
        <v>31</v>
      </c>
      <c r="R24" s="595">
        <f t="shared" si="5"/>
        <v>966.15</v>
      </c>
      <c r="S24" s="596">
        <f t="shared" si="6"/>
        <v>29950.649999999998</v>
      </c>
      <c r="T24" s="596">
        <f t="shared" si="7"/>
        <v>35940.78</v>
      </c>
      <c r="U24" s="597"/>
      <c r="V24" s="596">
        <f t="shared" si="8"/>
        <v>0</v>
      </c>
      <c r="W24" s="596">
        <f t="shared" si="9"/>
        <v>0</v>
      </c>
      <c r="X24" s="598">
        <f t="shared" si="10"/>
        <v>29950.649999999998</v>
      </c>
      <c r="Y24" s="596">
        <f t="shared" si="10"/>
        <v>35940.78</v>
      </c>
      <c r="Z24" s="599"/>
    </row>
    <row r="25" spans="1:38" ht="18.75" customHeight="1" x14ac:dyDescent="0.25">
      <c r="A25" s="550" t="s">
        <v>18</v>
      </c>
      <c r="B25" s="562" t="s">
        <v>691</v>
      </c>
      <c r="C25" s="552" t="s">
        <v>15</v>
      </c>
      <c r="D25" s="553">
        <f>1.02*D24</f>
        <v>31.62</v>
      </c>
      <c r="E25" s="554"/>
      <c r="F25" s="555"/>
      <c r="G25" s="555"/>
      <c r="H25" s="563">
        <v>1003.2</v>
      </c>
      <c r="I25" s="555">
        <f>ROUND(H25*D25,2)</f>
        <v>31721.18</v>
      </c>
      <c r="J25" s="555">
        <f>ROUND(I25*1.2,2)</f>
        <v>38065.42</v>
      </c>
      <c r="K25" s="556">
        <f t="shared" si="14"/>
        <v>31721.18</v>
      </c>
      <c r="L25" s="555">
        <f t="shared" si="14"/>
        <v>38065.42</v>
      </c>
      <c r="Q25" s="605">
        <f t="shared" si="4"/>
        <v>31.62</v>
      </c>
      <c r="R25" s="595">
        <f t="shared" si="5"/>
        <v>0</v>
      </c>
      <c r="S25" s="596">
        <f t="shared" si="6"/>
        <v>0</v>
      </c>
      <c r="T25" s="596">
        <f t="shared" si="7"/>
        <v>0</v>
      </c>
      <c r="U25" s="596">
        <f>H25</f>
        <v>1003.2</v>
      </c>
      <c r="V25" s="596">
        <f t="shared" si="8"/>
        <v>31721.184000000001</v>
      </c>
      <c r="W25" s="596">
        <f t="shared" si="9"/>
        <v>38065.4208</v>
      </c>
      <c r="X25" s="598">
        <f t="shared" si="10"/>
        <v>31721.184000000001</v>
      </c>
      <c r="Y25" s="596">
        <f t="shared" si="10"/>
        <v>38065.4208</v>
      </c>
      <c r="Z25" s="599"/>
    </row>
    <row r="26" spans="1:38" ht="24" customHeight="1" x14ac:dyDescent="0.25">
      <c r="A26" s="526">
        <f>A24+1</f>
        <v>11</v>
      </c>
      <c r="B26" s="546" t="s">
        <v>692</v>
      </c>
      <c r="C26" s="528" t="s">
        <v>15</v>
      </c>
      <c r="D26" s="529">
        <v>8.3000000000000007</v>
      </c>
      <c r="E26" s="532">
        <v>4603.7</v>
      </c>
      <c r="F26" s="531">
        <f>ROUND(E26*D26,2)</f>
        <v>38210.71</v>
      </c>
      <c r="G26" s="531">
        <f>ROUND(F26*1.2,2)</f>
        <v>45852.85</v>
      </c>
      <c r="H26" s="561"/>
      <c r="I26" s="531"/>
      <c r="J26" s="531"/>
      <c r="K26" s="549">
        <f t="shared" si="14"/>
        <v>38210.71</v>
      </c>
      <c r="L26" s="530">
        <f t="shared" si="14"/>
        <v>45852.85</v>
      </c>
      <c r="Q26" s="605">
        <f t="shared" si="4"/>
        <v>8.3000000000000007</v>
      </c>
      <c r="R26" s="595">
        <f t="shared" si="5"/>
        <v>4603.7</v>
      </c>
      <c r="S26" s="596">
        <f t="shared" si="6"/>
        <v>38210.71</v>
      </c>
      <c r="T26" s="596">
        <f t="shared" si="7"/>
        <v>45852.851999999999</v>
      </c>
      <c r="U26" s="597"/>
      <c r="V26" s="596">
        <f t="shared" si="8"/>
        <v>0</v>
      </c>
      <c r="W26" s="596">
        <f t="shared" si="9"/>
        <v>0</v>
      </c>
      <c r="X26" s="598">
        <f t="shared" si="10"/>
        <v>38210.71</v>
      </c>
      <c r="Y26" s="596">
        <f t="shared" si="10"/>
        <v>45852.851999999999</v>
      </c>
      <c r="Z26" s="599"/>
    </row>
    <row r="27" spans="1:38" ht="24" customHeight="1" x14ac:dyDescent="0.25">
      <c r="A27" s="550" t="s">
        <v>71</v>
      </c>
      <c r="B27" s="551" t="s">
        <v>693</v>
      </c>
      <c r="C27" s="552" t="s">
        <v>15</v>
      </c>
      <c r="D27" s="553">
        <f>1.02*D26</f>
        <v>8.4660000000000011</v>
      </c>
      <c r="E27" s="554"/>
      <c r="F27" s="564"/>
      <c r="G27" s="564"/>
      <c r="H27" s="564">
        <v>5747.5</v>
      </c>
      <c r="I27" s="564">
        <f>ROUND(H27*D27,2)</f>
        <v>48658.34</v>
      </c>
      <c r="J27" s="564">
        <f>ROUND(I27*1.2,2)</f>
        <v>58390.01</v>
      </c>
      <c r="K27" s="565">
        <f t="shared" si="14"/>
        <v>48658.34</v>
      </c>
      <c r="L27" s="564">
        <f t="shared" si="14"/>
        <v>58390.01</v>
      </c>
      <c r="Q27" s="605">
        <f t="shared" si="4"/>
        <v>8.4660000000000011</v>
      </c>
      <c r="R27" s="595">
        <f t="shared" si="5"/>
        <v>0</v>
      </c>
      <c r="S27" s="596">
        <f t="shared" si="6"/>
        <v>0</v>
      </c>
      <c r="T27" s="596">
        <f t="shared" si="7"/>
        <v>0</v>
      </c>
      <c r="U27" s="596">
        <v>5747.5</v>
      </c>
      <c r="V27" s="596">
        <f t="shared" si="8"/>
        <v>48658.335000000006</v>
      </c>
      <c r="W27" s="596">
        <f t="shared" si="9"/>
        <v>58390.002000000008</v>
      </c>
      <c r="X27" s="598">
        <f t="shared" si="10"/>
        <v>48658.335000000006</v>
      </c>
      <c r="Y27" s="596">
        <f t="shared" si="10"/>
        <v>58390.002000000008</v>
      </c>
      <c r="Z27" s="599"/>
    </row>
    <row r="28" spans="1:38" ht="48" customHeight="1" x14ac:dyDescent="0.25">
      <c r="A28" s="566"/>
      <c r="B28" s="567" t="s">
        <v>694</v>
      </c>
      <c r="C28" s="515" t="s">
        <v>15</v>
      </c>
      <c r="D28" s="516">
        <v>8</v>
      </c>
      <c r="E28" s="568">
        <v>273.48</v>
      </c>
      <c r="F28" s="522">
        <f>ROUND(E28*D28,2)</f>
        <v>2187.84</v>
      </c>
      <c r="G28" s="522">
        <f>ROUND(F28*1.2,2)</f>
        <v>2625.41</v>
      </c>
      <c r="H28" s="569"/>
      <c r="I28" s="522"/>
      <c r="J28" s="522"/>
      <c r="K28" s="521">
        <f t="shared" si="14"/>
        <v>2187.84</v>
      </c>
      <c r="L28" s="522">
        <f t="shared" si="14"/>
        <v>2625.41</v>
      </c>
      <c r="Q28" s="605">
        <f t="shared" si="4"/>
        <v>8</v>
      </c>
      <c r="R28" s="595">
        <f t="shared" si="5"/>
        <v>273.48</v>
      </c>
      <c r="S28" s="596">
        <f t="shared" si="6"/>
        <v>2187.84</v>
      </c>
      <c r="T28" s="596">
        <f t="shared" si="7"/>
        <v>2625.4079999999999</v>
      </c>
      <c r="U28" s="597"/>
      <c r="V28" s="596">
        <f t="shared" si="8"/>
        <v>0</v>
      </c>
      <c r="W28" s="596">
        <f t="shared" si="9"/>
        <v>0</v>
      </c>
      <c r="X28" s="598">
        <f t="shared" si="10"/>
        <v>2187.84</v>
      </c>
      <c r="Y28" s="596">
        <f t="shared" si="10"/>
        <v>2625.4079999999999</v>
      </c>
      <c r="Z28" s="599"/>
    </row>
    <row r="29" spans="1:38" ht="45" x14ac:dyDescent="0.25">
      <c r="A29" s="566"/>
      <c r="B29" s="567" t="s">
        <v>695</v>
      </c>
      <c r="C29" s="515" t="s">
        <v>15</v>
      </c>
      <c r="D29" s="516">
        <v>8</v>
      </c>
      <c r="E29" s="568">
        <v>233.1</v>
      </c>
      <c r="F29" s="522">
        <f>ROUND(E29*D29,2)</f>
        <v>1864.8</v>
      </c>
      <c r="G29" s="522">
        <f>ROUND(F29*1.2,2)</f>
        <v>2237.7600000000002</v>
      </c>
      <c r="H29" s="569"/>
      <c r="I29" s="522"/>
      <c r="J29" s="522"/>
      <c r="K29" s="521">
        <f t="shared" si="14"/>
        <v>1864.8</v>
      </c>
      <c r="L29" s="522">
        <f t="shared" si="14"/>
        <v>2237.7600000000002</v>
      </c>
      <c r="Q29" s="605">
        <f t="shared" si="4"/>
        <v>8</v>
      </c>
      <c r="R29" s="595">
        <f t="shared" si="5"/>
        <v>233.1</v>
      </c>
      <c r="S29" s="596">
        <f t="shared" si="6"/>
        <v>1864.8</v>
      </c>
      <c r="T29" s="596">
        <f t="shared" si="7"/>
        <v>2237.7599999999998</v>
      </c>
      <c r="U29" s="597"/>
      <c r="V29" s="596">
        <f t="shared" si="8"/>
        <v>0</v>
      </c>
      <c r="W29" s="596">
        <f t="shared" si="9"/>
        <v>0</v>
      </c>
      <c r="X29" s="598">
        <f t="shared" si="10"/>
        <v>1864.8</v>
      </c>
      <c r="Y29" s="596">
        <f t="shared" si="10"/>
        <v>2237.7599999999998</v>
      </c>
      <c r="Z29" s="599"/>
    </row>
    <row r="30" spans="1:38" ht="15.75" x14ac:dyDescent="0.25">
      <c r="A30" s="550"/>
      <c r="B30" s="562" t="s">
        <v>696</v>
      </c>
      <c r="C30" s="552" t="s">
        <v>17</v>
      </c>
      <c r="D30" s="570">
        <v>9.7999999999999997E-3</v>
      </c>
      <c r="E30" s="554"/>
      <c r="F30" s="564"/>
      <c r="G30" s="564"/>
      <c r="H30" s="571">
        <v>392323.01</v>
      </c>
      <c r="I30" s="564">
        <f>ROUND(H30*D30,2)</f>
        <v>3844.77</v>
      </c>
      <c r="J30" s="564">
        <f>ROUND(I30*1.2,2)</f>
        <v>4613.72</v>
      </c>
      <c r="K30" s="565">
        <f t="shared" si="14"/>
        <v>3844.77</v>
      </c>
      <c r="L30" s="564">
        <f t="shared" si="14"/>
        <v>4613.72</v>
      </c>
      <c r="Q30" s="605">
        <f t="shared" si="4"/>
        <v>9.7999999999999997E-3</v>
      </c>
      <c r="R30" s="595">
        <f t="shared" si="5"/>
        <v>0</v>
      </c>
      <c r="S30" s="596">
        <f t="shared" si="6"/>
        <v>0</v>
      </c>
      <c r="T30" s="596">
        <f t="shared" si="7"/>
        <v>0</v>
      </c>
      <c r="U30" s="596">
        <v>392323.01</v>
      </c>
      <c r="V30" s="596">
        <f t="shared" si="8"/>
        <v>3844.7654979999998</v>
      </c>
      <c r="W30" s="596">
        <f t="shared" si="9"/>
        <v>4613.7185975999992</v>
      </c>
      <c r="X30" s="598">
        <f t="shared" si="10"/>
        <v>3844.7654979999998</v>
      </c>
      <c r="Y30" s="596">
        <f t="shared" si="10"/>
        <v>4613.7185975999992</v>
      </c>
      <c r="Z30" s="599"/>
    </row>
    <row r="31" spans="1:38" ht="31.5" customHeight="1" x14ac:dyDescent="0.25">
      <c r="A31" s="550"/>
      <c r="B31" s="562" t="s">
        <v>697</v>
      </c>
      <c r="C31" s="552" t="s">
        <v>41</v>
      </c>
      <c r="D31" s="572">
        <v>0.78400000000000003</v>
      </c>
      <c r="E31" s="554"/>
      <c r="F31" s="564"/>
      <c r="G31" s="564"/>
      <c r="H31" s="571">
        <v>110.34</v>
      </c>
      <c r="I31" s="564">
        <f>ROUND(H31*D31,2)</f>
        <v>86.51</v>
      </c>
      <c r="J31" s="564">
        <f>ROUND(I31*1.2,2)</f>
        <v>103.81</v>
      </c>
      <c r="K31" s="565">
        <f t="shared" si="14"/>
        <v>86.51</v>
      </c>
      <c r="L31" s="564">
        <f t="shared" si="14"/>
        <v>103.81</v>
      </c>
      <c r="Q31" s="605">
        <f t="shared" si="4"/>
        <v>0.78400000000000003</v>
      </c>
      <c r="R31" s="595">
        <f t="shared" si="5"/>
        <v>0</v>
      </c>
      <c r="S31" s="596">
        <f t="shared" si="6"/>
        <v>0</v>
      </c>
      <c r="T31" s="596">
        <f t="shared" si="7"/>
        <v>0</v>
      </c>
      <c r="U31" s="596">
        <v>110.34</v>
      </c>
      <c r="V31" s="596">
        <f t="shared" si="8"/>
        <v>86.506560000000007</v>
      </c>
      <c r="W31" s="596">
        <f t="shared" si="9"/>
        <v>103.807872</v>
      </c>
      <c r="X31" s="598">
        <f t="shared" si="10"/>
        <v>86.506560000000007</v>
      </c>
      <c r="Y31" s="596">
        <f t="shared" si="10"/>
        <v>103.807872</v>
      </c>
      <c r="Z31" s="599"/>
    </row>
    <row r="32" spans="1:38" ht="38.25" customHeight="1" x14ac:dyDescent="0.25">
      <c r="A32" s="513">
        <f>A26+1</f>
        <v>12</v>
      </c>
      <c r="B32" s="567" t="s">
        <v>698</v>
      </c>
      <c r="C32" s="515" t="s">
        <v>15</v>
      </c>
      <c r="D32" s="516">
        <v>8.3000000000000007</v>
      </c>
      <c r="E32" s="568">
        <v>2509.9899999999998</v>
      </c>
      <c r="F32" s="518">
        <f>ROUND(E32*D32,2)</f>
        <v>20832.919999999998</v>
      </c>
      <c r="G32" s="518">
        <f>ROUND(F32*1.2,2)</f>
        <v>24999.5</v>
      </c>
      <c r="H32" s="573"/>
      <c r="I32" s="518"/>
      <c r="J32" s="518"/>
      <c r="K32" s="521">
        <f t="shared" si="14"/>
        <v>20832.919999999998</v>
      </c>
      <c r="L32" s="522">
        <f t="shared" si="14"/>
        <v>24999.5</v>
      </c>
      <c r="Q32" s="605">
        <f t="shared" si="4"/>
        <v>8.3000000000000007</v>
      </c>
      <c r="R32" s="595">
        <f t="shared" si="5"/>
        <v>2509.9899999999998</v>
      </c>
      <c r="S32" s="596">
        <f t="shared" si="6"/>
        <v>20832.917000000001</v>
      </c>
      <c r="T32" s="596">
        <f t="shared" si="7"/>
        <v>24999.500400000001</v>
      </c>
      <c r="U32" s="597"/>
      <c r="V32" s="596">
        <f t="shared" si="8"/>
        <v>0</v>
      </c>
      <c r="W32" s="596">
        <f t="shared" si="9"/>
        <v>0</v>
      </c>
      <c r="X32" s="598">
        <f t="shared" si="10"/>
        <v>20832.917000000001</v>
      </c>
      <c r="Y32" s="596">
        <f t="shared" si="10"/>
        <v>24999.500400000001</v>
      </c>
      <c r="Z32" s="599"/>
    </row>
    <row r="33" spans="1:27" ht="18.75" customHeight="1" x14ac:dyDescent="0.25">
      <c r="A33" s="550" t="s">
        <v>72</v>
      </c>
      <c r="B33" s="551" t="s">
        <v>699</v>
      </c>
      <c r="C33" s="552" t="s">
        <v>15</v>
      </c>
      <c r="D33" s="553">
        <f>1.02*D32</f>
        <v>8.4660000000000011</v>
      </c>
      <c r="E33" s="554"/>
      <c r="F33" s="555"/>
      <c r="G33" s="555"/>
      <c r="H33" s="563">
        <v>1003.2</v>
      </c>
      <c r="I33" s="555">
        <f>ROUND(H33*D33,2)</f>
        <v>8493.09</v>
      </c>
      <c r="J33" s="555">
        <f>ROUND(I33*1.2,2)</f>
        <v>10191.709999999999</v>
      </c>
      <c r="K33" s="556">
        <f t="shared" si="14"/>
        <v>8493.09</v>
      </c>
      <c r="L33" s="555">
        <f t="shared" si="14"/>
        <v>10191.709999999999</v>
      </c>
      <c r="Q33" s="605">
        <f t="shared" si="4"/>
        <v>8.4660000000000011</v>
      </c>
      <c r="R33" s="595">
        <f t="shared" si="5"/>
        <v>0</v>
      </c>
      <c r="S33" s="596">
        <f t="shared" si="6"/>
        <v>0</v>
      </c>
      <c r="T33" s="596">
        <f t="shared" si="7"/>
        <v>0</v>
      </c>
      <c r="U33" s="596">
        <v>1003.2</v>
      </c>
      <c r="V33" s="596">
        <f t="shared" si="8"/>
        <v>8493.0912000000008</v>
      </c>
      <c r="W33" s="596">
        <f t="shared" si="9"/>
        <v>10191.709440000001</v>
      </c>
      <c r="X33" s="598">
        <f t="shared" si="10"/>
        <v>8493.0912000000008</v>
      </c>
      <c r="Y33" s="596">
        <f t="shared" si="10"/>
        <v>10191.709440000001</v>
      </c>
      <c r="Z33" s="599"/>
    </row>
    <row r="34" spans="1:27" ht="18.75" customHeight="1" x14ac:dyDescent="0.25">
      <c r="A34" s="550" t="s">
        <v>700</v>
      </c>
      <c r="B34" s="551" t="s">
        <v>701</v>
      </c>
      <c r="C34" s="552" t="s">
        <v>35</v>
      </c>
      <c r="D34" s="574">
        <v>3</v>
      </c>
      <c r="E34" s="554"/>
      <c r="F34" s="555"/>
      <c r="G34" s="555"/>
      <c r="H34" s="555">
        <v>919.6</v>
      </c>
      <c r="I34" s="555">
        <f>ROUND(H34*D34,2)</f>
        <v>2758.8</v>
      </c>
      <c r="J34" s="555">
        <f>ROUND(I34*1.2,2)</f>
        <v>3310.56</v>
      </c>
      <c r="K34" s="556">
        <f t="shared" si="14"/>
        <v>2758.8</v>
      </c>
      <c r="L34" s="555">
        <f t="shared" si="14"/>
        <v>3310.56</v>
      </c>
      <c r="Q34" s="605">
        <f t="shared" si="4"/>
        <v>3</v>
      </c>
      <c r="R34" s="595">
        <f t="shared" si="5"/>
        <v>0</v>
      </c>
      <c r="S34" s="596">
        <f t="shared" si="6"/>
        <v>0</v>
      </c>
      <c r="T34" s="596">
        <f t="shared" si="7"/>
        <v>0</v>
      </c>
      <c r="U34" s="596">
        <v>919.6</v>
      </c>
      <c r="V34" s="596">
        <f t="shared" si="8"/>
        <v>2758.8</v>
      </c>
      <c r="W34" s="596">
        <f t="shared" si="9"/>
        <v>3310.56</v>
      </c>
      <c r="X34" s="598">
        <f t="shared" si="10"/>
        <v>2758.8</v>
      </c>
      <c r="Y34" s="596">
        <f t="shared" si="10"/>
        <v>3310.56</v>
      </c>
      <c r="Z34" s="599"/>
    </row>
    <row r="35" spans="1:27" ht="30.75" customHeight="1" x14ac:dyDescent="0.25">
      <c r="A35" s="526">
        <f>A32+1</f>
        <v>13</v>
      </c>
      <c r="B35" s="546" t="s">
        <v>702</v>
      </c>
      <c r="C35" s="528" t="s">
        <v>13</v>
      </c>
      <c r="D35" s="529">
        <v>0.72</v>
      </c>
      <c r="E35" s="532">
        <v>8327.42</v>
      </c>
      <c r="F35" s="531">
        <f>ROUND(E35*D35,2)</f>
        <v>5995.74</v>
      </c>
      <c r="G35" s="531">
        <f>ROUND(F35*1.2,2)</f>
        <v>7194.89</v>
      </c>
      <c r="H35" s="561"/>
      <c r="I35" s="531"/>
      <c r="J35" s="531"/>
      <c r="K35" s="549">
        <f t="shared" si="14"/>
        <v>5995.74</v>
      </c>
      <c r="L35" s="530">
        <f t="shared" si="14"/>
        <v>7194.89</v>
      </c>
      <c r="Q35" s="605">
        <f t="shared" si="4"/>
        <v>0.72</v>
      </c>
      <c r="R35" s="595">
        <f t="shared" si="5"/>
        <v>8327.42</v>
      </c>
      <c r="S35" s="596">
        <f t="shared" si="6"/>
        <v>5995.7424000000001</v>
      </c>
      <c r="T35" s="596">
        <f t="shared" si="7"/>
        <v>7194.8908799999999</v>
      </c>
      <c r="U35" s="597"/>
      <c r="V35" s="596">
        <f t="shared" si="8"/>
        <v>0</v>
      </c>
      <c r="W35" s="596">
        <f t="shared" si="9"/>
        <v>0</v>
      </c>
      <c r="X35" s="598">
        <f t="shared" si="10"/>
        <v>5995.7424000000001</v>
      </c>
      <c r="Y35" s="596">
        <f t="shared" si="10"/>
        <v>7194.8908799999999</v>
      </c>
      <c r="Z35" s="599"/>
    </row>
    <row r="36" spans="1:27" ht="18.75" customHeight="1" x14ac:dyDescent="0.25">
      <c r="A36" s="550" t="s">
        <v>73</v>
      </c>
      <c r="B36" s="551" t="s">
        <v>703</v>
      </c>
      <c r="C36" s="552" t="s">
        <v>13</v>
      </c>
      <c r="D36" s="572">
        <f>D35*1.02</f>
        <v>0.73439999999999994</v>
      </c>
      <c r="E36" s="554"/>
      <c r="F36" s="555"/>
      <c r="G36" s="555"/>
      <c r="H36" s="555">
        <v>3657.5</v>
      </c>
      <c r="I36" s="555">
        <f>ROUND(H36*D36,2)</f>
        <v>2686.07</v>
      </c>
      <c r="J36" s="555">
        <f>ROUND(I36*1.2,2)</f>
        <v>3223.28</v>
      </c>
      <c r="K36" s="556">
        <f t="shared" si="14"/>
        <v>2686.07</v>
      </c>
      <c r="L36" s="555">
        <f t="shared" si="14"/>
        <v>3223.28</v>
      </c>
      <c r="Q36" s="605">
        <f t="shared" si="4"/>
        <v>0.73439999999999994</v>
      </c>
      <c r="R36" s="595">
        <f t="shared" si="5"/>
        <v>0</v>
      </c>
      <c r="S36" s="596">
        <f t="shared" si="6"/>
        <v>0</v>
      </c>
      <c r="T36" s="596">
        <f t="shared" si="7"/>
        <v>0</v>
      </c>
      <c r="U36" s="596">
        <v>3657.5</v>
      </c>
      <c r="V36" s="596">
        <f t="shared" si="8"/>
        <v>2686.0679999999998</v>
      </c>
      <c r="W36" s="596">
        <f t="shared" si="9"/>
        <v>3223.2815999999998</v>
      </c>
      <c r="X36" s="598">
        <f t="shared" si="10"/>
        <v>2686.0679999999998</v>
      </c>
      <c r="Y36" s="596">
        <f t="shared" si="10"/>
        <v>3223.2815999999998</v>
      </c>
      <c r="Z36" s="599"/>
    </row>
    <row r="37" spans="1:27" ht="36.75" customHeight="1" x14ac:dyDescent="0.25">
      <c r="A37" s="526">
        <f>A35+1</f>
        <v>14</v>
      </c>
      <c r="B37" s="546" t="s">
        <v>704</v>
      </c>
      <c r="C37" s="528" t="s">
        <v>35</v>
      </c>
      <c r="D37" s="529">
        <v>2</v>
      </c>
      <c r="E37" s="532">
        <v>3082.04</v>
      </c>
      <c r="F37" s="531">
        <f>ROUND(E37*D37,2)</f>
        <v>6164.08</v>
      </c>
      <c r="G37" s="531">
        <f>ROUND(F37*1.2,2)</f>
        <v>7396.9</v>
      </c>
      <c r="H37" s="561"/>
      <c r="I37" s="531"/>
      <c r="J37" s="531"/>
      <c r="K37" s="549">
        <f t="shared" si="14"/>
        <v>6164.08</v>
      </c>
      <c r="L37" s="530">
        <f t="shared" si="14"/>
        <v>7396.9</v>
      </c>
      <c r="Q37" s="605">
        <f t="shared" si="4"/>
        <v>2</v>
      </c>
      <c r="R37" s="595">
        <f t="shared" si="5"/>
        <v>3082.04</v>
      </c>
      <c r="S37" s="596">
        <f t="shared" si="6"/>
        <v>6164.08</v>
      </c>
      <c r="T37" s="596">
        <f t="shared" si="7"/>
        <v>7396.8959999999997</v>
      </c>
      <c r="U37" s="597"/>
      <c r="V37" s="596">
        <f t="shared" si="8"/>
        <v>0</v>
      </c>
      <c r="W37" s="596">
        <f t="shared" si="9"/>
        <v>0</v>
      </c>
      <c r="X37" s="598">
        <f t="shared" si="10"/>
        <v>6164.08</v>
      </c>
      <c r="Y37" s="596">
        <f t="shared" si="10"/>
        <v>7396.8959999999997</v>
      </c>
      <c r="Z37" s="599"/>
    </row>
    <row r="38" spans="1:27" ht="30" x14ac:dyDescent="0.25">
      <c r="A38" s="550" t="s">
        <v>74</v>
      </c>
      <c r="B38" s="551" t="s">
        <v>705</v>
      </c>
      <c r="C38" s="552" t="s">
        <v>35</v>
      </c>
      <c r="D38" s="553">
        <v>2</v>
      </c>
      <c r="E38" s="554"/>
      <c r="F38" s="555"/>
      <c r="G38" s="555"/>
      <c r="H38" s="555">
        <v>731.5</v>
      </c>
      <c r="I38" s="555">
        <f>ROUND(H38*D38,2)</f>
        <v>1463</v>
      </c>
      <c r="J38" s="555">
        <f>ROUND(I38*1.2,2)</f>
        <v>1755.6</v>
      </c>
      <c r="K38" s="556">
        <f t="shared" si="14"/>
        <v>1463</v>
      </c>
      <c r="L38" s="555">
        <f t="shared" si="14"/>
        <v>1755.6</v>
      </c>
      <c r="Q38" s="605">
        <f t="shared" si="4"/>
        <v>2</v>
      </c>
      <c r="R38" s="595">
        <f t="shared" si="5"/>
        <v>0</v>
      </c>
      <c r="S38" s="596">
        <f t="shared" si="6"/>
        <v>0</v>
      </c>
      <c r="T38" s="596">
        <f t="shared" si="7"/>
        <v>0</v>
      </c>
      <c r="U38" s="596">
        <v>731.5</v>
      </c>
      <c r="V38" s="596">
        <f t="shared" si="8"/>
        <v>1463</v>
      </c>
      <c r="W38" s="596">
        <f t="shared" si="9"/>
        <v>1755.6</v>
      </c>
      <c r="X38" s="598">
        <f t="shared" si="10"/>
        <v>1463</v>
      </c>
      <c r="Y38" s="596">
        <f t="shared" si="10"/>
        <v>1755.6</v>
      </c>
      <c r="Z38" s="599"/>
    </row>
    <row r="39" spans="1:27" s="581" customFormat="1" ht="25.5" customHeight="1" x14ac:dyDescent="0.25">
      <c r="A39" s="575" t="s">
        <v>14</v>
      </c>
      <c r="B39" s="576"/>
      <c r="C39" s="576"/>
      <c r="D39" s="576"/>
      <c r="E39" s="577"/>
      <c r="F39" s="578">
        <f>SUM(F7:F38)</f>
        <v>255040.38999999998</v>
      </c>
      <c r="G39" s="579">
        <f>ROUND(F39*1.2,2)</f>
        <v>306048.46999999997</v>
      </c>
      <c r="H39" s="580"/>
      <c r="I39" s="578">
        <f>SUM(I7:I38)</f>
        <v>129982.69</v>
      </c>
      <c r="J39" s="579">
        <f>ROUND(I39*1.2,2)</f>
        <v>155979.23000000001</v>
      </c>
      <c r="K39" s="578">
        <f>SUM(K7:K38)</f>
        <v>385023.08</v>
      </c>
      <c r="L39" s="579">
        <f>SUM(L8:L38)</f>
        <v>462027.68999999994</v>
      </c>
      <c r="Q39" s="601"/>
      <c r="R39" s="601"/>
      <c r="S39" s="602">
        <f>SUM(S7:S38)</f>
        <v>216341.21439999997</v>
      </c>
      <c r="T39" s="602">
        <f t="shared" ref="T39:Y39" si="15">SUM(T7:T38)</f>
        <v>259609.45727999997</v>
      </c>
      <c r="U39" s="602">
        <f t="shared" si="15"/>
        <v>407878.45</v>
      </c>
      <c r="V39" s="602">
        <f t="shared" si="15"/>
        <v>129982.683258</v>
      </c>
      <c r="W39" s="602">
        <f t="shared" si="15"/>
        <v>155979.21990960001</v>
      </c>
      <c r="X39" s="602">
        <f t="shared" si="15"/>
        <v>346323.89765800012</v>
      </c>
      <c r="Y39" s="602">
        <f t="shared" si="15"/>
        <v>415588.67718960001</v>
      </c>
      <c r="Z39" s="607">
        <f>SUM(Z8:Z38)</f>
        <v>-46438.99</v>
      </c>
      <c r="AA39" s="603"/>
    </row>
  </sheetData>
  <conditionalFormatting sqref="Z8:Z38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B426-1FA7-4BFF-95E4-FAF4AEE878F9}">
  <sheetPr>
    <tabColor theme="9" tint="0.59999389629810485"/>
  </sheetPr>
  <dimension ref="A1:M265"/>
  <sheetViews>
    <sheetView view="pageBreakPreview" topLeftCell="A79" zoomScale="80" zoomScaleNormal="100" zoomScaleSheetLayoutView="80" workbookViewId="0">
      <selection activeCell="A94" sqref="A94:XFD9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26" customWidth="1"/>
    <col min="8" max="8" width="16.140625" style="26" customWidth="1"/>
    <col min="9" max="12" width="16.140625" customWidth="1"/>
    <col min="13" max="13" width="59.85546875" customWidth="1"/>
  </cols>
  <sheetData>
    <row r="1" spans="1:13" ht="14.45" customHeight="1" x14ac:dyDescent="0.25">
      <c r="A1" s="628" t="s">
        <v>0</v>
      </c>
      <c r="B1" s="631" t="s">
        <v>1</v>
      </c>
      <c r="C1" s="634" t="s">
        <v>2</v>
      </c>
      <c r="D1" s="634" t="s">
        <v>3</v>
      </c>
      <c r="E1" s="635" t="s">
        <v>4</v>
      </c>
      <c r="F1" s="658"/>
      <c r="G1" s="658"/>
      <c r="H1" s="658"/>
      <c r="I1" s="658"/>
      <c r="J1" s="658"/>
      <c r="K1" s="658"/>
      <c r="L1" s="658"/>
    </row>
    <row r="2" spans="1:13" ht="14.45" customHeight="1" x14ac:dyDescent="0.25">
      <c r="A2" s="629"/>
      <c r="B2" s="632"/>
      <c r="C2" s="634"/>
      <c r="D2" s="634"/>
      <c r="E2" s="637"/>
      <c r="F2" s="638"/>
      <c r="G2" s="638"/>
      <c r="H2" s="638"/>
      <c r="I2" s="638"/>
      <c r="J2" s="638"/>
      <c r="K2" s="638"/>
      <c r="L2" s="638"/>
    </row>
    <row r="3" spans="1:13" ht="27.75" customHeight="1" x14ac:dyDescent="0.25">
      <c r="A3" s="629"/>
      <c r="B3" s="632"/>
      <c r="C3" s="634"/>
      <c r="D3" s="634"/>
      <c r="E3" s="634" t="s">
        <v>5</v>
      </c>
      <c r="F3" s="634"/>
      <c r="G3" s="634"/>
      <c r="H3" s="634" t="s">
        <v>6</v>
      </c>
      <c r="I3" s="634"/>
      <c r="J3" s="634"/>
      <c r="K3" s="611" t="s">
        <v>7</v>
      </c>
      <c r="L3" s="611"/>
    </row>
    <row r="4" spans="1:13" ht="56.1" customHeight="1" x14ac:dyDescent="0.25">
      <c r="A4" s="630"/>
      <c r="B4" s="633"/>
      <c r="C4" s="634"/>
      <c r="D4" s="634"/>
      <c r="E4" s="169" t="s">
        <v>8</v>
      </c>
      <c r="F4" s="169" t="s">
        <v>9</v>
      </c>
      <c r="G4" s="1" t="s">
        <v>10</v>
      </c>
      <c r="H4" s="169" t="s">
        <v>8</v>
      </c>
      <c r="I4" s="169" t="s">
        <v>9</v>
      </c>
      <c r="J4" s="1" t="s">
        <v>10</v>
      </c>
      <c r="K4" s="2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617" t="s">
        <v>25</v>
      </c>
      <c r="C6" s="618"/>
      <c r="D6" s="618"/>
      <c r="E6" s="7"/>
      <c r="F6" s="8"/>
      <c r="G6" s="9"/>
      <c r="H6" s="9"/>
      <c r="I6" s="9"/>
      <c r="J6" s="9"/>
      <c r="K6" s="9"/>
      <c r="L6" s="10"/>
    </row>
    <row r="7" spans="1:13" ht="18" customHeight="1" x14ac:dyDescent="0.25">
      <c r="A7" s="70"/>
      <c r="B7" s="81" t="s">
        <v>50</v>
      </c>
      <c r="C7" s="70"/>
      <c r="D7" s="80"/>
      <c r="E7" s="79"/>
      <c r="F7" s="74"/>
      <c r="G7" s="74"/>
      <c r="H7" s="75"/>
      <c r="I7" s="74"/>
      <c r="J7" s="74"/>
      <c r="K7" s="73"/>
      <c r="L7" s="76"/>
    </row>
    <row r="8" spans="1:13" ht="18" customHeight="1" x14ac:dyDescent="0.25">
      <c r="A8" s="11">
        <f>A7+1</f>
        <v>1</v>
      </c>
      <c r="B8" s="108" t="s">
        <v>317</v>
      </c>
      <c r="C8" s="88" t="s">
        <v>15</v>
      </c>
      <c r="D8" s="109">
        <v>137.91999999999999</v>
      </c>
      <c r="E8" s="126">
        <v>1900</v>
      </c>
      <c r="F8" s="14">
        <f t="shared" ref="F8:F21" si="0">ROUND(E8*D8,2)</f>
        <v>262048</v>
      </c>
      <c r="G8" s="14">
        <f t="shared" ref="G8:G21" si="1">ROUND(F8*1.2,2)</f>
        <v>314457.59999999998</v>
      </c>
      <c r="H8" s="18"/>
      <c r="I8" s="16"/>
      <c r="J8" s="16"/>
      <c r="K8" s="13">
        <f t="shared" ref="K8:L21" si="2">F8+I8</f>
        <v>262048</v>
      </c>
      <c r="L8" s="14">
        <f t="shared" si="2"/>
        <v>314457.59999999998</v>
      </c>
      <c r="M8" s="148"/>
    </row>
    <row r="9" spans="1:13" ht="18.75" customHeight="1" x14ac:dyDescent="0.25">
      <c r="A9" s="36">
        <f t="shared" ref="A9" si="3">A8+1</f>
        <v>2</v>
      </c>
      <c r="B9" s="35" t="s">
        <v>329</v>
      </c>
      <c r="C9" s="36" t="s">
        <v>35</v>
      </c>
      <c r="D9" s="125">
        <v>297</v>
      </c>
      <c r="E9" s="25">
        <v>1055.02</v>
      </c>
      <c r="F9" s="30">
        <f t="shared" si="0"/>
        <v>313340.94</v>
      </c>
      <c r="G9" s="30">
        <f t="shared" si="1"/>
        <v>376009.13</v>
      </c>
      <c r="H9" s="27"/>
      <c r="I9" s="30"/>
      <c r="J9" s="30"/>
      <c r="K9" s="31">
        <f t="shared" si="2"/>
        <v>313340.94</v>
      </c>
      <c r="L9" s="32">
        <f t="shared" si="2"/>
        <v>376009.13</v>
      </c>
    </row>
    <row r="10" spans="1:13" ht="18.75" customHeight="1" x14ac:dyDescent="0.25">
      <c r="A10" s="36">
        <f>A8+1</f>
        <v>2</v>
      </c>
      <c r="B10" s="108" t="s">
        <v>155</v>
      </c>
      <c r="C10" s="36" t="s">
        <v>13</v>
      </c>
      <c r="D10" s="94"/>
      <c r="E10" s="25">
        <v>4380.38</v>
      </c>
      <c r="F10" s="30">
        <f t="shared" si="0"/>
        <v>0</v>
      </c>
      <c r="G10" s="30">
        <f t="shared" si="1"/>
        <v>0</v>
      </c>
      <c r="H10" s="27"/>
      <c r="I10" s="30"/>
      <c r="J10" s="30"/>
      <c r="K10" s="31">
        <f t="shared" si="2"/>
        <v>0</v>
      </c>
      <c r="L10" s="32">
        <f t="shared" si="2"/>
        <v>0</v>
      </c>
    </row>
    <row r="11" spans="1:13" ht="18.75" customHeight="1" x14ac:dyDescent="0.25">
      <c r="A11" s="36">
        <f>A10+1</f>
        <v>3</v>
      </c>
      <c r="B11" s="108" t="s">
        <v>156</v>
      </c>
      <c r="C11" s="36" t="s">
        <v>13</v>
      </c>
      <c r="D11" s="94"/>
      <c r="E11" s="25">
        <v>4380.38</v>
      </c>
      <c r="F11" s="30">
        <f t="shared" si="0"/>
        <v>0</v>
      </c>
      <c r="G11" s="30">
        <f t="shared" si="1"/>
        <v>0</v>
      </c>
      <c r="H11" s="27"/>
      <c r="I11" s="30"/>
      <c r="J11" s="30"/>
      <c r="K11" s="31">
        <f t="shared" si="2"/>
        <v>0</v>
      </c>
      <c r="L11" s="32">
        <f t="shared" si="2"/>
        <v>0</v>
      </c>
    </row>
    <row r="12" spans="1:13" ht="18.75" customHeight="1" x14ac:dyDescent="0.25">
      <c r="A12" s="36">
        <f>A11+1</f>
        <v>4</v>
      </c>
      <c r="B12" s="108" t="s">
        <v>157</v>
      </c>
      <c r="C12" s="36" t="s">
        <v>13</v>
      </c>
      <c r="D12" s="94"/>
      <c r="E12" s="25">
        <v>4380.38</v>
      </c>
      <c r="F12" s="30">
        <f t="shared" si="0"/>
        <v>0</v>
      </c>
      <c r="G12" s="30">
        <f t="shared" si="1"/>
        <v>0</v>
      </c>
      <c r="H12" s="27"/>
      <c r="I12" s="30"/>
      <c r="J12" s="30"/>
      <c r="K12" s="31">
        <f t="shared" si="2"/>
        <v>0</v>
      </c>
      <c r="L12" s="32">
        <f t="shared" si="2"/>
        <v>0</v>
      </c>
    </row>
    <row r="13" spans="1:13" ht="18.75" customHeight="1" x14ac:dyDescent="0.25">
      <c r="A13" s="36">
        <f t="shared" ref="A13:A21" si="4">A12+1</f>
        <v>5</v>
      </c>
      <c r="B13" s="35" t="s">
        <v>101</v>
      </c>
      <c r="C13" s="36" t="s">
        <v>13</v>
      </c>
      <c r="D13" s="94"/>
      <c r="E13" s="25">
        <v>1440.52</v>
      </c>
      <c r="F13" s="30">
        <f t="shared" si="0"/>
        <v>0</v>
      </c>
      <c r="G13" s="30">
        <f t="shared" si="1"/>
        <v>0</v>
      </c>
      <c r="H13" s="27"/>
      <c r="I13" s="30"/>
      <c r="J13" s="30"/>
      <c r="K13" s="31">
        <f t="shared" si="2"/>
        <v>0</v>
      </c>
      <c r="L13" s="32">
        <f t="shared" si="2"/>
        <v>0</v>
      </c>
    </row>
    <row r="14" spans="1:13" ht="18.75" customHeight="1" x14ac:dyDescent="0.25">
      <c r="A14" s="36">
        <f t="shared" si="4"/>
        <v>6</v>
      </c>
      <c r="B14" s="35" t="s">
        <v>158</v>
      </c>
      <c r="C14" s="36" t="s">
        <v>13</v>
      </c>
      <c r="D14" s="94"/>
      <c r="E14" s="25">
        <v>1440.52</v>
      </c>
      <c r="F14" s="30">
        <f t="shared" si="0"/>
        <v>0</v>
      </c>
      <c r="G14" s="30">
        <f t="shared" si="1"/>
        <v>0</v>
      </c>
      <c r="H14" s="27"/>
      <c r="I14" s="30"/>
      <c r="J14" s="30"/>
      <c r="K14" s="31">
        <f t="shared" si="2"/>
        <v>0</v>
      </c>
      <c r="L14" s="32">
        <f t="shared" si="2"/>
        <v>0</v>
      </c>
    </row>
    <row r="15" spans="1:13" ht="18.75" customHeight="1" x14ac:dyDescent="0.25">
      <c r="A15" s="36">
        <f t="shared" si="4"/>
        <v>7</v>
      </c>
      <c r="B15" s="35" t="s">
        <v>158</v>
      </c>
      <c r="C15" s="36" t="s">
        <v>13</v>
      </c>
      <c r="D15" s="94"/>
      <c r="E15" s="25">
        <v>1440.52</v>
      </c>
      <c r="F15" s="30">
        <f t="shared" si="0"/>
        <v>0</v>
      </c>
      <c r="G15" s="30">
        <f t="shared" si="1"/>
        <v>0</v>
      </c>
      <c r="H15" s="27"/>
      <c r="I15" s="30"/>
      <c r="J15" s="30"/>
      <c r="K15" s="31">
        <f t="shared" si="2"/>
        <v>0</v>
      </c>
      <c r="L15" s="32">
        <f t="shared" si="2"/>
        <v>0</v>
      </c>
    </row>
    <row r="16" spans="1:13" ht="18.75" customHeight="1" x14ac:dyDescent="0.25">
      <c r="A16" s="36">
        <f t="shared" si="4"/>
        <v>8</v>
      </c>
      <c r="B16" s="35" t="s">
        <v>68</v>
      </c>
      <c r="C16" s="36" t="s">
        <v>13</v>
      </c>
      <c r="D16" s="94"/>
      <c r="E16" s="69">
        <v>308.75</v>
      </c>
      <c r="F16" s="30">
        <f t="shared" si="0"/>
        <v>0</v>
      </c>
      <c r="G16" s="30">
        <f t="shared" si="1"/>
        <v>0</v>
      </c>
      <c r="H16" s="27"/>
      <c r="I16" s="30"/>
      <c r="J16" s="30"/>
      <c r="K16" s="31">
        <f t="shared" si="2"/>
        <v>0</v>
      </c>
      <c r="L16" s="32">
        <f t="shared" si="2"/>
        <v>0</v>
      </c>
      <c r="M16" s="124" t="s">
        <v>160</v>
      </c>
    </row>
    <row r="17" spans="1:13" ht="21.75" customHeight="1" x14ac:dyDescent="0.25">
      <c r="A17" s="36">
        <f t="shared" si="4"/>
        <v>9</v>
      </c>
      <c r="B17" s="120" t="s">
        <v>159</v>
      </c>
      <c r="C17" s="121" t="s">
        <v>13</v>
      </c>
      <c r="D17" s="123">
        <v>1387</v>
      </c>
      <c r="E17" s="18">
        <v>308.75</v>
      </c>
      <c r="F17" s="14">
        <f t="shared" si="0"/>
        <v>428236.25</v>
      </c>
      <c r="G17" s="14">
        <f t="shared" si="1"/>
        <v>513883.5</v>
      </c>
      <c r="H17" s="110"/>
      <c r="I17" s="111"/>
      <c r="J17" s="111"/>
      <c r="K17" s="18">
        <f t="shared" si="2"/>
        <v>428236.25</v>
      </c>
      <c r="L17" s="91">
        <f t="shared" si="2"/>
        <v>513883.5</v>
      </c>
      <c r="M17" s="112"/>
    </row>
    <row r="18" spans="1:13" ht="18.75" customHeight="1" x14ac:dyDescent="0.25">
      <c r="A18" s="36">
        <f t="shared" si="4"/>
        <v>10</v>
      </c>
      <c r="B18" s="35" t="s">
        <v>51</v>
      </c>
      <c r="C18" s="36" t="s">
        <v>35</v>
      </c>
      <c r="D18" s="125">
        <v>415</v>
      </c>
      <c r="E18" s="25">
        <v>1055.02</v>
      </c>
      <c r="F18" s="30">
        <f t="shared" si="0"/>
        <v>437833.3</v>
      </c>
      <c r="G18" s="30">
        <f t="shared" si="1"/>
        <v>525399.96</v>
      </c>
      <c r="H18" s="27"/>
      <c r="I18" s="30"/>
      <c r="J18" s="30"/>
      <c r="K18" s="31">
        <f t="shared" si="2"/>
        <v>437833.3</v>
      </c>
      <c r="L18" s="32">
        <f t="shared" si="2"/>
        <v>525399.96</v>
      </c>
    </row>
    <row r="19" spans="1:13" ht="32.25" customHeight="1" x14ac:dyDescent="0.25">
      <c r="A19" s="36">
        <f t="shared" si="4"/>
        <v>11</v>
      </c>
      <c r="B19" s="35" t="s">
        <v>161</v>
      </c>
      <c r="C19" s="121" t="s">
        <v>13</v>
      </c>
      <c r="D19" s="128">
        <v>17.02</v>
      </c>
      <c r="E19" s="69">
        <v>4380.38</v>
      </c>
      <c r="F19" s="30">
        <f t="shared" si="0"/>
        <v>74554.070000000007</v>
      </c>
      <c r="G19" s="30">
        <f t="shared" si="1"/>
        <v>89464.88</v>
      </c>
      <c r="H19" s="27"/>
      <c r="I19" s="30"/>
      <c r="J19" s="30"/>
      <c r="K19" s="31">
        <f t="shared" si="2"/>
        <v>74554.070000000007</v>
      </c>
      <c r="L19" s="32">
        <f t="shared" si="2"/>
        <v>89464.88</v>
      </c>
    </row>
    <row r="20" spans="1:13" ht="34.5" customHeight="1" x14ac:dyDescent="0.25">
      <c r="A20" s="36">
        <f t="shared" si="4"/>
        <v>12</v>
      </c>
      <c r="B20" s="35" t="s">
        <v>162</v>
      </c>
      <c r="C20" s="121" t="s">
        <v>13</v>
      </c>
      <c r="D20" s="128">
        <v>84.38</v>
      </c>
      <c r="E20" s="127">
        <f>3982.45/(3*1.75*0.17)</f>
        <v>4462.1288515406159</v>
      </c>
      <c r="F20" s="30">
        <f t="shared" si="0"/>
        <v>376514.43</v>
      </c>
      <c r="G20" s="30">
        <f t="shared" si="1"/>
        <v>451817.32</v>
      </c>
      <c r="H20" s="27"/>
      <c r="I20" s="30"/>
      <c r="J20" s="30"/>
      <c r="K20" s="31">
        <f t="shared" si="2"/>
        <v>376514.43</v>
      </c>
      <c r="L20" s="32">
        <f t="shared" si="2"/>
        <v>451817.32</v>
      </c>
      <c r="M20" s="66"/>
    </row>
    <row r="21" spans="1:13" ht="20.25" customHeight="1" x14ac:dyDescent="0.25">
      <c r="A21" s="36">
        <f t="shared" si="4"/>
        <v>13</v>
      </c>
      <c r="B21" s="108" t="s">
        <v>163</v>
      </c>
      <c r="C21" s="121" t="s">
        <v>13</v>
      </c>
      <c r="D21" s="109">
        <v>20.41</v>
      </c>
      <c r="E21" s="127">
        <f>3982.45/(3*1.75*0.17)</f>
        <v>4462.1288515406159</v>
      </c>
      <c r="F21" s="14">
        <f t="shared" si="0"/>
        <v>91072.05</v>
      </c>
      <c r="G21" s="14">
        <f t="shared" si="1"/>
        <v>109286.46</v>
      </c>
      <c r="H21" s="15"/>
      <c r="I21" s="16"/>
      <c r="J21" s="16"/>
      <c r="K21" s="13">
        <f t="shared" si="2"/>
        <v>91072.05</v>
      </c>
      <c r="L21" s="14">
        <f t="shared" si="2"/>
        <v>109286.46</v>
      </c>
      <c r="M21" s="66"/>
    </row>
    <row r="22" spans="1:13" ht="20.25" customHeight="1" x14ac:dyDescent="0.25">
      <c r="A22" s="36"/>
      <c r="B22" s="129" t="s">
        <v>164</v>
      </c>
      <c r="C22" s="121"/>
      <c r="D22" s="109"/>
      <c r="E22" s="127"/>
      <c r="F22" s="14"/>
      <c r="G22" s="14"/>
      <c r="H22" s="15"/>
      <c r="I22" s="16"/>
      <c r="J22" s="16"/>
      <c r="K22" s="13"/>
      <c r="L22" s="17"/>
      <c r="M22" s="66"/>
    </row>
    <row r="23" spans="1:13" ht="18.75" customHeight="1" x14ac:dyDescent="0.25">
      <c r="A23" s="36">
        <f>A21+1</f>
        <v>14</v>
      </c>
      <c r="B23" s="35" t="s">
        <v>165</v>
      </c>
      <c r="C23" s="36" t="s">
        <v>17</v>
      </c>
      <c r="D23" s="31">
        <v>5982.21</v>
      </c>
      <c r="E23" s="25">
        <v>544.86</v>
      </c>
      <c r="F23" s="30">
        <f t="shared" ref="F23:F24" si="5">ROUND(E23*D23,2)</f>
        <v>3259466.94</v>
      </c>
      <c r="G23" s="30">
        <f t="shared" ref="G23:G24" si="6">ROUND(F23*1.2,2)</f>
        <v>3911360.33</v>
      </c>
      <c r="H23" s="27"/>
      <c r="I23" s="30"/>
      <c r="J23" s="30"/>
      <c r="K23" s="31">
        <f t="shared" ref="K23:L24" si="7">F23+I23</f>
        <v>3259466.94</v>
      </c>
      <c r="L23" s="32">
        <f t="shared" si="7"/>
        <v>3911360.33</v>
      </c>
      <c r="M23" s="84"/>
    </row>
    <row r="24" spans="1:13" ht="18.75" customHeight="1" x14ac:dyDescent="0.25">
      <c r="A24" s="36">
        <f>A23+1</f>
        <v>15</v>
      </c>
      <c r="B24" s="35" t="s">
        <v>166</v>
      </c>
      <c r="C24" s="36" t="s">
        <v>17</v>
      </c>
      <c r="D24" s="31">
        <v>54.6</v>
      </c>
      <c r="E24" s="25">
        <v>544.86</v>
      </c>
      <c r="F24" s="30">
        <f t="shared" si="5"/>
        <v>29749.360000000001</v>
      </c>
      <c r="G24" s="30">
        <f t="shared" si="6"/>
        <v>35699.230000000003</v>
      </c>
      <c r="H24" s="27"/>
      <c r="I24" s="30"/>
      <c r="J24" s="30"/>
      <c r="K24" s="31">
        <f t="shared" si="7"/>
        <v>29749.360000000001</v>
      </c>
      <c r="L24" s="32">
        <f t="shared" si="7"/>
        <v>35699.230000000003</v>
      </c>
      <c r="M24" s="84"/>
    </row>
    <row r="25" spans="1:13" ht="18" customHeight="1" x14ac:dyDescent="0.25">
      <c r="A25" s="70"/>
      <c r="B25" s="77" t="s">
        <v>28</v>
      </c>
      <c r="C25" s="70"/>
      <c r="D25" s="78"/>
      <c r="E25" s="79"/>
      <c r="F25" s="74"/>
      <c r="G25" s="74"/>
      <c r="H25" s="75"/>
      <c r="I25" s="74"/>
      <c r="J25" s="74"/>
      <c r="K25" s="73"/>
      <c r="L25" s="76"/>
    </row>
    <row r="26" spans="1:13" ht="18.75" customHeight="1" x14ac:dyDescent="0.25">
      <c r="A26" s="11">
        <v>1</v>
      </c>
      <c r="B26" s="35" t="s">
        <v>29</v>
      </c>
      <c r="C26" s="11" t="s">
        <v>15</v>
      </c>
      <c r="D26" s="92">
        <v>520</v>
      </c>
      <c r="E26" s="18">
        <v>4236.34</v>
      </c>
      <c r="F26" s="14">
        <f t="shared" ref="F26" si="8">ROUND(E26*D26,2)</f>
        <v>2202896.7999999998</v>
      </c>
      <c r="G26" s="14">
        <f t="shared" ref="G26" si="9">ROUND(F26*1.2,2)</f>
        <v>2643476.16</v>
      </c>
      <c r="H26" s="15"/>
      <c r="I26" s="16"/>
      <c r="J26" s="16"/>
      <c r="K26" s="13">
        <f t="shared" ref="K26:L26" si="10">F26+I26</f>
        <v>2202896.7999999998</v>
      </c>
      <c r="L26" s="17">
        <f t="shared" si="10"/>
        <v>2643476.16</v>
      </c>
    </row>
    <row r="27" spans="1:13" ht="18.75" customHeight="1" x14ac:dyDescent="0.25">
      <c r="A27" s="38" t="s">
        <v>110</v>
      </c>
      <c r="B27" s="19" t="s">
        <v>31</v>
      </c>
      <c r="C27" s="20" t="s">
        <v>35</v>
      </c>
      <c r="D27" s="93">
        <v>520</v>
      </c>
      <c r="E27" s="28"/>
      <c r="F27" s="22"/>
      <c r="G27" s="22"/>
      <c r="H27" s="28">
        <v>3021.81</v>
      </c>
      <c r="I27" s="22">
        <f>ROUND(H27*D27,2)</f>
        <v>1571341.2</v>
      </c>
      <c r="J27" s="22">
        <f t="shared" ref="J27" si="11">ROUND(I27*1.2,2)</f>
        <v>1885609.44</v>
      </c>
      <c r="K27" s="23">
        <f>F27+I27</f>
        <v>1571341.2</v>
      </c>
      <c r="L27" s="24">
        <f>G27+J27</f>
        <v>1885609.44</v>
      </c>
      <c r="M27" s="63"/>
    </row>
    <row r="28" spans="1:13" ht="30.75" customHeight="1" x14ac:dyDescent="0.25">
      <c r="A28" s="36">
        <f>A26+1</f>
        <v>2</v>
      </c>
      <c r="B28" s="35" t="s">
        <v>36</v>
      </c>
      <c r="C28" s="36" t="s">
        <v>13</v>
      </c>
      <c r="D28" s="94">
        <v>41.6</v>
      </c>
      <c r="E28" s="25">
        <v>1178</v>
      </c>
      <c r="F28" s="30">
        <f t="shared" ref="F28" si="12">ROUND(E28*D28,2)</f>
        <v>49004.800000000003</v>
      </c>
      <c r="G28" s="30">
        <f t="shared" ref="G28" si="13">ROUND(F28*1.2,2)</f>
        <v>58805.760000000002</v>
      </c>
      <c r="H28" s="27"/>
      <c r="I28" s="30"/>
      <c r="J28" s="30"/>
      <c r="K28" s="31">
        <f t="shared" ref="K28:L28" si="14">F28+I28</f>
        <v>49004.800000000003</v>
      </c>
      <c r="L28" s="32">
        <f t="shared" si="14"/>
        <v>58805.760000000002</v>
      </c>
    </row>
    <row r="29" spans="1:13" ht="18.75" customHeight="1" x14ac:dyDescent="0.25">
      <c r="A29" s="38" t="s">
        <v>111</v>
      </c>
      <c r="B29" s="19" t="s">
        <v>38</v>
      </c>
      <c r="C29" s="20" t="s">
        <v>13</v>
      </c>
      <c r="D29" s="93">
        <f>ROUND(D28*1.26,2)</f>
        <v>52.42</v>
      </c>
      <c r="E29" s="21"/>
      <c r="F29" s="22"/>
      <c r="G29" s="22"/>
      <c r="H29" s="39">
        <f>2827.078</f>
        <v>2827.078</v>
      </c>
      <c r="I29" s="22">
        <f>ROUND(H29*D29,2)</f>
        <v>148195.43</v>
      </c>
      <c r="J29" s="22">
        <f t="shared" ref="J29" si="15">ROUND(I29*1.2,2)</f>
        <v>177834.52</v>
      </c>
      <c r="K29" s="23">
        <f>F29+I29</f>
        <v>148195.43</v>
      </c>
      <c r="L29" s="24">
        <f>G29+J29</f>
        <v>177834.52</v>
      </c>
    </row>
    <row r="30" spans="1:13" ht="18.75" customHeight="1" x14ac:dyDescent="0.25">
      <c r="A30" s="36">
        <f>A28+1</f>
        <v>3</v>
      </c>
      <c r="B30" s="35" t="s">
        <v>30</v>
      </c>
      <c r="C30" s="36" t="s">
        <v>15</v>
      </c>
      <c r="D30" s="94">
        <v>520</v>
      </c>
      <c r="E30" s="25">
        <v>526.29999999999995</v>
      </c>
      <c r="F30" s="30">
        <f t="shared" ref="F30" si="16">ROUND(E30*D30,2)</f>
        <v>273676</v>
      </c>
      <c r="G30" s="30">
        <f t="shared" ref="G30" si="17">ROUND(F30*1.2,2)</f>
        <v>328411.2</v>
      </c>
      <c r="H30" s="27"/>
      <c r="I30" s="30"/>
      <c r="J30" s="30"/>
      <c r="K30" s="31">
        <f t="shared" ref="K30:L34" si="18">F30+I30</f>
        <v>273676</v>
      </c>
      <c r="L30" s="32">
        <f t="shared" si="18"/>
        <v>328411.2</v>
      </c>
    </row>
    <row r="31" spans="1:13" ht="18.75" customHeight="1" x14ac:dyDescent="0.25">
      <c r="A31" s="38" t="s">
        <v>112</v>
      </c>
      <c r="B31" s="19" t="s">
        <v>32</v>
      </c>
      <c r="C31" s="20" t="s">
        <v>35</v>
      </c>
      <c r="D31" s="93">
        <v>1040</v>
      </c>
      <c r="E31" s="28"/>
      <c r="F31" s="22"/>
      <c r="G31" s="22"/>
      <c r="H31" s="28">
        <v>3285.68</v>
      </c>
      <c r="I31" s="22">
        <f>ROUND(H31*D31,2)</f>
        <v>3417107.2</v>
      </c>
      <c r="J31" s="22">
        <f t="shared" ref="J31:J33" si="19">ROUND(I31*1.2,2)</f>
        <v>4100528.64</v>
      </c>
      <c r="K31" s="23">
        <f t="shared" si="18"/>
        <v>3417107.2</v>
      </c>
      <c r="L31" s="24">
        <f t="shared" si="18"/>
        <v>4100528.64</v>
      </c>
      <c r="M31" s="63"/>
    </row>
    <row r="32" spans="1:13" ht="18.75" customHeight="1" x14ac:dyDescent="0.25">
      <c r="A32" s="38" t="s">
        <v>113</v>
      </c>
      <c r="B32" s="19" t="s">
        <v>33</v>
      </c>
      <c r="C32" s="20" t="s">
        <v>35</v>
      </c>
      <c r="D32" s="95">
        <v>2080</v>
      </c>
      <c r="E32" s="21"/>
      <c r="F32" s="22"/>
      <c r="G32" s="22"/>
      <c r="H32" s="41">
        <v>13.8</v>
      </c>
      <c r="I32" s="22">
        <f>ROUND(H32*D32,2)</f>
        <v>28704</v>
      </c>
      <c r="J32" s="22">
        <f t="shared" si="19"/>
        <v>34444.800000000003</v>
      </c>
      <c r="K32" s="23">
        <f t="shared" si="18"/>
        <v>28704</v>
      </c>
      <c r="L32" s="24">
        <f t="shared" si="18"/>
        <v>34444.800000000003</v>
      </c>
    </row>
    <row r="33" spans="1:13" ht="18.75" customHeight="1" x14ac:dyDescent="0.25">
      <c r="A33" s="38" t="s">
        <v>114</v>
      </c>
      <c r="B33" s="19" t="s">
        <v>34</v>
      </c>
      <c r="C33" s="20" t="s">
        <v>35</v>
      </c>
      <c r="D33" s="95">
        <v>2080</v>
      </c>
      <c r="E33" s="21"/>
      <c r="F33" s="22"/>
      <c r="G33" s="22"/>
      <c r="H33" s="41">
        <v>16.87</v>
      </c>
      <c r="I33" s="22">
        <f>ROUND(H33*D33,2)</f>
        <v>35089.599999999999</v>
      </c>
      <c r="J33" s="22">
        <f t="shared" si="19"/>
        <v>42107.519999999997</v>
      </c>
      <c r="K33" s="23">
        <f t="shared" si="18"/>
        <v>35089.599999999999</v>
      </c>
      <c r="L33" s="24">
        <f t="shared" si="18"/>
        <v>42107.519999999997</v>
      </c>
    </row>
    <row r="34" spans="1:13" ht="18.75" customHeight="1" x14ac:dyDescent="0.25">
      <c r="A34" s="36">
        <f>A30+1</f>
        <v>4</v>
      </c>
      <c r="B34" s="35" t="s">
        <v>37</v>
      </c>
      <c r="C34" s="36" t="s">
        <v>13</v>
      </c>
      <c r="D34" s="94">
        <v>6.4</v>
      </c>
      <c r="E34" s="25">
        <v>1178</v>
      </c>
      <c r="F34" s="30">
        <f t="shared" ref="F34" si="20">ROUND(E34*D34,2)</f>
        <v>7539.2</v>
      </c>
      <c r="G34" s="30">
        <f t="shared" ref="G34" si="21">ROUND(F34*1.2,2)</f>
        <v>9047.0400000000009</v>
      </c>
      <c r="H34" s="27"/>
      <c r="I34" s="30"/>
      <c r="J34" s="30"/>
      <c r="K34" s="31">
        <f t="shared" si="18"/>
        <v>7539.2</v>
      </c>
      <c r="L34" s="32">
        <f t="shared" si="18"/>
        <v>9047.0400000000009</v>
      </c>
    </row>
    <row r="35" spans="1:13" ht="18.75" customHeight="1" x14ac:dyDescent="0.25">
      <c r="A35" s="38" t="s">
        <v>115</v>
      </c>
      <c r="B35" s="19" t="s">
        <v>38</v>
      </c>
      <c r="C35" s="20" t="s">
        <v>13</v>
      </c>
      <c r="D35" s="93">
        <f>ROUND(D34*1.26,2)</f>
        <v>8.06</v>
      </c>
      <c r="E35" s="21"/>
      <c r="F35" s="22"/>
      <c r="G35" s="22"/>
      <c r="H35" s="39">
        <f>2827.078</f>
        <v>2827.078</v>
      </c>
      <c r="I35" s="22">
        <f>ROUND(H35*D35,2)</f>
        <v>22786.25</v>
      </c>
      <c r="J35" s="22">
        <f t="shared" ref="J35" si="22">ROUND(I35*1.2,2)</f>
        <v>27343.5</v>
      </c>
      <c r="K35" s="23">
        <f>F35+I35</f>
        <v>22786.25</v>
      </c>
      <c r="L35" s="24">
        <f>G35+J35</f>
        <v>27343.5</v>
      </c>
    </row>
    <row r="36" spans="1:13" ht="18.75" customHeight="1" x14ac:dyDescent="0.25">
      <c r="A36" s="11">
        <f>A34+1</f>
        <v>5</v>
      </c>
      <c r="B36" s="34" t="s">
        <v>27</v>
      </c>
      <c r="C36" s="11" t="s">
        <v>13</v>
      </c>
      <c r="D36" s="96">
        <f>1136*0.1</f>
        <v>113.60000000000001</v>
      </c>
      <c r="E36" s="18">
        <v>1666.3</v>
      </c>
      <c r="F36" s="14">
        <f t="shared" ref="F36" si="23">ROUND(E36*D36,2)</f>
        <v>189291.68</v>
      </c>
      <c r="G36" s="14">
        <f t="shared" ref="G36" si="24">ROUND(F36*1.2,2)</f>
        <v>227150.02</v>
      </c>
      <c r="H36" s="15"/>
      <c r="I36" s="16"/>
      <c r="J36" s="16"/>
      <c r="K36" s="13">
        <f t="shared" ref="K36:L36" si="25">F36+I36</f>
        <v>189291.68</v>
      </c>
      <c r="L36" s="17">
        <f t="shared" si="25"/>
        <v>227150.02</v>
      </c>
    </row>
    <row r="37" spans="1:13" ht="18.75" customHeight="1" x14ac:dyDescent="0.25">
      <c r="A37" s="38" t="s">
        <v>116</v>
      </c>
      <c r="B37" s="19" t="s">
        <v>40</v>
      </c>
      <c r="C37" s="20" t="s">
        <v>13</v>
      </c>
      <c r="D37" s="93">
        <f>ROUND(D36*1.26,2)</f>
        <v>143.13999999999999</v>
      </c>
      <c r="E37" s="21"/>
      <c r="F37" s="22"/>
      <c r="G37" s="22"/>
      <c r="H37" s="39">
        <f>2827.078</f>
        <v>2827.078</v>
      </c>
      <c r="I37" s="22">
        <f>ROUND(H37*D37,2)</f>
        <v>404667.94</v>
      </c>
      <c r="J37" s="22">
        <f t="shared" ref="J37" si="26">ROUND(I37*1.2,2)</f>
        <v>485601.53</v>
      </c>
      <c r="K37" s="23">
        <f>F37+I37</f>
        <v>404667.94</v>
      </c>
      <c r="L37" s="24">
        <f>G37+J37</f>
        <v>485601.53</v>
      </c>
    </row>
    <row r="38" spans="1:13" ht="18.75" customHeight="1" x14ac:dyDescent="0.25">
      <c r="A38" s="36">
        <f>A36+1</f>
        <v>6</v>
      </c>
      <c r="B38" s="35" t="s">
        <v>42</v>
      </c>
      <c r="C38" s="36" t="s">
        <v>13</v>
      </c>
      <c r="D38" s="97">
        <f>1136*0.1</f>
        <v>113.60000000000001</v>
      </c>
      <c r="E38" s="25">
        <v>1055.45</v>
      </c>
      <c r="F38" s="30">
        <f>ROUND(E38*D38,2)</f>
        <v>119899.12</v>
      </c>
      <c r="G38" s="30">
        <f>ROUND(F38*1.2,2)</f>
        <v>143878.94</v>
      </c>
      <c r="H38" s="27"/>
      <c r="I38" s="30"/>
      <c r="J38" s="30"/>
      <c r="K38" s="31">
        <f t="shared" ref="K38:L48" si="27">F38+I38</f>
        <v>119899.12</v>
      </c>
      <c r="L38" s="32">
        <f t="shared" si="27"/>
        <v>143878.94</v>
      </c>
    </row>
    <row r="39" spans="1:13" ht="18.75" customHeight="1" x14ac:dyDescent="0.25">
      <c r="A39" s="38" t="s">
        <v>117</v>
      </c>
      <c r="B39" s="19" t="s">
        <v>46</v>
      </c>
      <c r="C39" s="20" t="s">
        <v>13</v>
      </c>
      <c r="D39" s="98">
        <f>D38*1.1</f>
        <v>124.96000000000002</v>
      </c>
      <c r="E39" s="21"/>
      <c r="F39" s="22"/>
      <c r="G39" s="22"/>
      <c r="H39" s="39">
        <v>1427.76</v>
      </c>
      <c r="I39" s="22">
        <f>ROUND(H39*D39,2)</f>
        <v>178412.89</v>
      </c>
      <c r="J39" s="22">
        <f t="shared" ref="J39" si="28">ROUND(I39*1.2,2)</f>
        <v>214095.47</v>
      </c>
      <c r="K39" s="23">
        <f t="shared" si="27"/>
        <v>178412.89</v>
      </c>
      <c r="L39" s="24">
        <f t="shared" si="27"/>
        <v>214095.47</v>
      </c>
      <c r="M39" s="37"/>
    </row>
    <row r="40" spans="1:13" ht="18" customHeight="1" x14ac:dyDescent="0.25">
      <c r="A40" s="70"/>
      <c r="B40" s="77" t="s">
        <v>118</v>
      </c>
      <c r="C40" s="70"/>
      <c r="D40" s="78"/>
      <c r="E40" s="79"/>
      <c r="F40" s="74"/>
      <c r="G40" s="74"/>
      <c r="H40" s="75"/>
      <c r="I40" s="74"/>
      <c r="J40" s="74"/>
      <c r="K40" s="73"/>
      <c r="L40" s="76"/>
    </row>
    <row r="41" spans="1:13" ht="20.25" customHeight="1" x14ac:dyDescent="0.25">
      <c r="A41" s="36">
        <f>A38+1</f>
        <v>7</v>
      </c>
      <c r="B41" s="35" t="s">
        <v>92</v>
      </c>
      <c r="C41" s="36" t="s">
        <v>13</v>
      </c>
      <c r="D41" s="99">
        <f>ROUND(3*0.18+3*0.24+6*0.079+3*0.18,2)</f>
        <v>2.27</v>
      </c>
      <c r="E41" s="25">
        <v>17265.68</v>
      </c>
      <c r="F41" s="30">
        <f t="shared" ref="F41" si="29">ROUND(E41*D41,2)</f>
        <v>39193.089999999997</v>
      </c>
      <c r="G41" s="30">
        <f t="shared" ref="G41" si="30">ROUND(F41*1.2,2)</f>
        <v>47031.71</v>
      </c>
      <c r="H41" s="27"/>
      <c r="I41" s="30"/>
      <c r="J41" s="30"/>
      <c r="K41" s="31">
        <f t="shared" si="27"/>
        <v>39193.089999999997</v>
      </c>
      <c r="L41" s="32">
        <f t="shared" si="27"/>
        <v>47031.71</v>
      </c>
    </row>
    <row r="42" spans="1:13" ht="18.75" customHeight="1" x14ac:dyDescent="0.25">
      <c r="A42" s="85" t="s">
        <v>69</v>
      </c>
      <c r="B42" s="68" t="s">
        <v>84</v>
      </c>
      <c r="C42" s="67" t="s">
        <v>35</v>
      </c>
      <c r="D42" s="100">
        <v>3</v>
      </c>
      <c r="E42" s="28"/>
      <c r="F42" s="22"/>
      <c r="G42" s="22"/>
      <c r="H42" s="28">
        <v>4025</v>
      </c>
      <c r="I42" s="22">
        <f t="shared" ref="I42:I46" si="31">ROUND(H42*D42,2)</f>
        <v>12075</v>
      </c>
      <c r="J42" s="22">
        <f t="shared" ref="J42:J46" si="32">ROUND(I42*1.2,2)</f>
        <v>14490</v>
      </c>
      <c r="K42" s="23">
        <f t="shared" si="27"/>
        <v>12075</v>
      </c>
      <c r="L42" s="24">
        <f t="shared" si="27"/>
        <v>14490</v>
      </c>
    </row>
    <row r="43" spans="1:13" ht="18.75" customHeight="1" x14ac:dyDescent="0.25">
      <c r="A43" s="85" t="s">
        <v>119</v>
      </c>
      <c r="B43" s="68" t="s">
        <v>85</v>
      </c>
      <c r="C43" s="67" t="s">
        <v>35</v>
      </c>
      <c r="D43" s="100">
        <v>3</v>
      </c>
      <c r="E43" s="28"/>
      <c r="F43" s="22"/>
      <c r="G43" s="22"/>
      <c r="H43" s="28">
        <v>6995.83</v>
      </c>
      <c r="I43" s="22">
        <f t="shared" si="31"/>
        <v>20987.49</v>
      </c>
      <c r="J43" s="22">
        <f t="shared" si="32"/>
        <v>25184.99</v>
      </c>
      <c r="K43" s="23">
        <f t="shared" si="27"/>
        <v>20987.49</v>
      </c>
      <c r="L43" s="24">
        <f t="shared" si="27"/>
        <v>25184.99</v>
      </c>
    </row>
    <row r="44" spans="1:13" ht="18.75" customHeight="1" x14ac:dyDescent="0.25">
      <c r="A44" s="85" t="s">
        <v>120</v>
      </c>
      <c r="B44" s="68" t="s">
        <v>86</v>
      </c>
      <c r="C44" s="67" t="s">
        <v>35</v>
      </c>
      <c r="D44" s="100">
        <v>3</v>
      </c>
      <c r="E44" s="28"/>
      <c r="F44" s="22"/>
      <c r="G44" s="22"/>
      <c r="H44" s="28">
        <v>5079.17</v>
      </c>
      <c r="I44" s="22">
        <f t="shared" si="31"/>
        <v>15237.51</v>
      </c>
      <c r="J44" s="22">
        <f t="shared" si="32"/>
        <v>18285.009999999998</v>
      </c>
      <c r="K44" s="23">
        <f t="shared" si="27"/>
        <v>15237.51</v>
      </c>
      <c r="L44" s="24">
        <f t="shared" si="27"/>
        <v>18285.009999999998</v>
      </c>
    </row>
    <row r="45" spans="1:13" ht="18.75" customHeight="1" x14ac:dyDescent="0.25">
      <c r="A45" s="85" t="s">
        <v>121</v>
      </c>
      <c r="B45" s="68" t="s">
        <v>87</v>
      </c>
      <c r="C45" s="67" t="s">
        <v>35</v>
      </c>
      <c r="D45" s="100">
        <v>6</v>
      </c>
      <c r="E45" s="28"/>
      <c r="F45" s="22"/>
      <c r="G45" s="22"/>
      <c r="H45" s="28">
        <f>ROUND(4600/1.2*1.15,2)</f>
        <v>4408.33</v>
      </c>
      <c r="I45" s="22">
        <f t="shared" si="31"/>
        <v>26449.98</v>
      </c>
      <c r="J45" s="22">
        <f t="shared" si="32"/>
        <v>31739.98</v>
      </c>
      <c r="K45" s="23">
        <f t="shared" si="27"/>
        <v>26449.98</v>
      </c>
      <c r="L45" s="24">
        <f t="shared" si="27"/>
        <v>31739.98</v>
      </c>
    </row>
    <row r="46" spans="1:13" ht="18.75" customHeight="1" x14ac:dyDescent="0.25">
      <c r="A46" s="85" t="s">
        <v>122</v>
      </c>
      <c r="B46" s="68" t="s">
        <v>88</v>
      </c>
      <c r="C46" s="67" t="s">
        <v>35</v>
      </c>
      <c r="D46" s="100">
        <v>3</v>
      </c>
      <c r="E46" s="28"/>
      <c r="F46" s="22"/>
      <c r="G46" s="22"/>
      <c r="H46" s="28">
        <v>14421</v>
      </c>
      <c r="I46" s="22">
        <f t="shared" si="31"/>
        <v>43263</v>
      </c>
      <c r="J46" s="22">
        <f t="shared" si="32"/>
        <v>51915.6</v>
      </c>
      <c r="K46" s="23">
        <f t="shared" si="27"/>
        <v>43263</v>
      </c>
      <c r="L46" s="24">
        <f t="shared" si="27"/>
        <v>51915.6</v>
      </c>
    </row>
    <row r="47" spans="1:13" ht="18.75" customHeight="1" x14ac:dyDescent="0.25">
      <c r="A47" s="103">
        <f>A41+1</f>
        <v>8</v>
      </c>
      <c r="B47" s="87" t="s">
        <v>123</v>
      </c>
      <c r="C47" s="88" t="s">
        <v>35</v>
      </c>
      <c r="D47" s="101">
        <v>12</v>
      </c>
      <c r="E47" s="90">
        <v>2314.11</v>
      </c>
      <c r="F47" s="91">
        <f t="shared" ref="F47:F48" si="33">ROUND(E47*D47,2)</f>
        <v>27769.32</v>
      </c>
      <c r="G47" s="91">
        <f t="shared" ref="G47:G48" si="34">ROUND(F47*1.2,2)</f>
        <v>33323.18</v>
      </c>
      <c r="H47" s="15"/>
      <c r="I47" s="91"/>
      <c r="J47" s="91"/>
      <c r="K47" s="18">
        <f t="shared" si="27"/>
        <v>27769.32</v>
      </c>
      <c r="L47" s="91">
        <f t="shared" si="27"/>
        <v>33323.18</v>
      </c>
    </row>
    <row r="48" spans="1:13" ht="28.5" customHeight="1" x14ac:dyDescent="0.25">
      <c r="A48" s="103">
        <f>A47+1</f>
        <v>9</v>
      </c>
      <c r="B48" s="102" t="s">
        <v>124</v>
      </c>
      <c r="C48" s="88" t="s">
        <v>35</v>
      </c>
      <c r="D48" s="101">
        <v>12</v>
      </c>
      <c r="E48" s="166">
        <v>6060.29</v>
      </c>
      <c r="F48" s="91">
        <f t="shared" si="33"/>
        <v>72723.48</v>
      </c>
      <c r="G48" s="91">
        <f t="shared" si="34"/>
        <v>87268.18</v>
      </c>
      <c r="H48" s="15"/>
      <c r="I48" s="91"/>
      <c r="J48" s="91"/>
      <c r="K48" s="18">
        <f t="shared" si="27"/>
        <v>72723.48</v>
      </c>
      <c r="L48" s="91">
        <f t="shared" si="27"/>
        <v>87268.18</v>
      </c>
    </row>
    <row r="49" spans="1:13" ht="18" customHeight="1" x14ac:dyDescent="0.25">
      <c r="A49" s="70"/>
      <c r="B49" s="77" t="s">
        <v>125</v>
      </c>
      <c r="C49" s="70"/>
      <c r="D49" s="78"/>
      <c r="E49" s="79"/>
      <c r="F49" s="74"/>
      <c r="G49" s="74"/>
      <c r="H49" s="75"/>
      <c r="I49" s="74"/>
      <c r="J49" s="74"/>
      <c r="K49" s="73"/>
      <c r="L49" s="76"/>
    </row>
    <row r="50" spans="1:13" ht="18.75" customHeight="1" x14ac:dyDescent="0.25">
      <c r="A50" s="36">
        <f>A48+1</f>
        <v>10</v>
      </c>
      <c r="B50" s="35" t="s">
        <v>96</v>
      </c>
      <c r="C50" s="36" t="s">
        <v>15</v>
      </c>
      <c r="D50" s="104">
        <f>6*1</f>
        <v>6</v>
      </c>
      <c r="E50" s="69">
        <v>1449.23</v>
      </c>
      <c r="F50" s="30">
        <f t="shared" ref="F50" si="35">ROUND(E50*D50,2)</f>
        <v>8695.3799999999992</v>
      </c>
      <c r="G50" s="30">
        <f t="shared" ref="G50" si="36">ROUND(F50*1.2,2)</f>
        <v>10434.459999999999</v>
      </c>
      <c r="H50" s="27"/>
      <c r="I50" s="30"/>
      <c r="J50" s="30"/>
      <c r="K50" s="31">
        <f t="shared" ref="K50:L55" si="37">F50+I50</f>
        <v>8695.3799999999992</v>
      </c>
      <c r="L50" s="32">
        <f t="shared" si="37"/>
        <v>10434.459999999999</v>
      </c>
      <c r="M50" s="63" t="s">
        <v>95</v>
      </c>
    </row>
    <row r="51" spans="1:13" ht="18.75" customHeight="1" x14ac:dyDescent="0.25">
      <c r="A51" s="85" t="s">
        <v>18</v>
      </c>
      <c r="B51" s="68" t="s">
        <v>90</v>
      </c>
      <c r="C51" s="67" t="s">
        <v>35</v>
      </c>
      <c r="D51" s="100">
        <v>6</v>
      </c>
      <c r="E51" s="28"/>
      <c r="F51" s="22"/>
      <c r="G51" s="22"/>
      <c r="H51" s="28">
        <f>ROUND(853/1.2*1.15,2)</f>
        <v>817.46</v>
      </c>
      <c r="I51" s="22">
        <f t="shared" ref="I51" si="38">ROUND(H51*D51,2)</f>
        <v>4904.76</v>
      </c>
      <c r="J51" s="22">
        <f t="shared" ref="J51" si="39">ROUND(I51*1.2,2)</f>
        <v>5885.71</v>
      </c>
      <c r="K51" s="23">
        <f t="shared" si="37"/>
        <v>4904.76</v>
      </c>
      <c r="L51" s="24">
        <f t="shared" si="37"/>
        <v>5885.71</v>
      </c>
    </row>
    <row r="52" spans="1:13" ht="18.75" customHeight="1" x14ac:dyDescent="0.25">
      <c r="A52" s="36">
        <f>A50+1</f>
        <v>11</v>
      </c>
      <c r="B52" s="35" t="s">
        <v>94</v>
      </c>
      <c r="C52" s="36" t="s">
        <v>15</v>
      </c>
      <c r="D52" s="104">
        <v>36</v>
      </c>
      <c r="E52" s="69">
        <v>1449.23</v>
      </c>
      <c r="F52" s="30">
        <f t="shared" ref="F52" si="40">ROUND(E52*D52,2)</f>
        <v>52172.28</v>
      </c>
      <c r="G52" s="30">
        <f t="shared" ref="G52" si="41">ROUND(F52*1.2,2)</f>
        <v>62606.74</v>
      </c>
      <c r="H52" s="27"/>
      <c r="I52" s="30"/>
      <c r="J52" s="30"/>
      <c r="K52" s="31">
        <f t="shared" si="37"/>
        <v>52172.28</v>
      </c>
      <c r="L52" s="32">
        <f t="shared" si="37"/>
        <v>62606.74</v>
      </c>
      <c r="M52" s="63" t="s">
        <v>95</v>
      </c>
    </row>
    <row r="53" spans="1:13" ht="18.75" customHeight="1" x14ac:dyDescent="0.25">
      <c r="A53" s="85" t="s">
        <v>71</v>
      </c>
      <c r="B53" s="68" t="s">
        <v>91</v>
      </c>
      <c r="C53" s="67" t="s">
        <v>15</v>
      </c>
      <c r="D53" s="100">
        <v>36</v>
      </c>
      <c r="E53" s="28"/>
      <c r="F53" s="22"/>
      <c r="G53" s="22"/>
      <c r="H53" s="28">
        <f>ROUND(1013/1.2*1.15,2)</f>
        <v>970.79</v>
      </c>
      <c r="I53" s="22">
        <f t="shared" ref="I53" si="42">ROUND(H53*D53,2)</f>
        <v>34948.44</v>
      </c>
      <c r="J53" s="22">
        <f t="shared" ref="J53" si="43">ROUND(I53*1.2,2)</f>
        <v>41938.129999999997</v>
      </c>
      <c r="K53" s="23">
        <f t="shared" si="37"/>
        <v>34948.44</v>
      </c>
      <c r="L53" s="24">
        <f t="shared" si="37"/>
        <v>41938.129999999997</v>
      </c>
    </row>
    <row r="54" spans="1:13" ht="18.75" customHeight="1" x14ac:dyDescent="0.25">
      <c r="A54" s="36">
        <f>A52+1</f>
        <v>12</v>
      </c>
      <c r="B54" s="35" t="s">
        <v>93</v>
      </c>
      <c r="C54" s="88" t="s">
        <v>35</v>
      </c>
      <c r="D54" s="104">
        <v>6</v>
      </c>
      <c r="E54" s="25">
        <v>1449.7</v>
      </c>
      <c r="F54" s="30">
        <f t="shared" ref="F54" si="44">ROUND(E54*D54,2)</f>
        <v>8698.2000000000007</v>
      </c>
      <c r="G54" s="30">
        <f t="shared" ref="G54" si="45">ROUND(F54*1.2,2)</f>
        <v>10437.84</v>
      </c>
      <c r="H54" s="27"/>
      <c r="I54" s="30"/>
      <c r="J54" s="30"/>
      <c r="K54" s="31">
        <f t="shared" si="37"/>
        <v>8698.2000000000007</v>
      </c>
      <c r="L54" s="32">
        <f t="shared" si="37"/>
        <v>10437.84</v>
      </c>
      <c r="M54" s="63" t="s">
        <v>126</v>
      </c>
    </row>
    <row r="55" spans="1:13" ht="18.75" customHeight="1" x14ac:dyDescent="0.25">
      <c r="A55" s="85" t="s">
        <v>72</v>
      </c>
      <c r="B55" s="68" t="s">
        <v>89</v>
      </c>
      <c r="C55" s="67" t="s">
        <v>35</v>
      </c>
      <c r="D55" s="100">
        <v>6</v>
      </c>
      <c r="E55" s="28"/>
      <c r="F55" s="22"/>
      <c r="G55" s="22"/>
      <c r="H55" s="28">
        <v>3815</v>
      </c>
      <c r="I55" s="22">
        <f t="shared" ref="I55" si="46">ROUND(H55*D55,2)</f>
        <v>22890</v>
      </c>
      <c r="J55" s="22">
        <f t="shared" ref="J55" si="47">ROUND(I55*1.2,2)</f>
        <v>27468</v>
      </c>
      <c r="K55" s="23">
        <f t="shared" si="37"/>
        <v>22890</v>
      </c>
      <c r="L55" s="24">
        <f t="shared" si="37"/>
        <v>27468</v>
      </c>
    </row>
    <row r="56" spans="1:13" ht="18" customHeight="1" x14ac:dyDescent="0.25">
      <c r="A56" s="70"/>
      <c r="B56" s="77" t="s">
        <v>127</v>
      </c>
      <c r="C56" s="70"/>
      <c r="D56" s="78"/>
      <c r="E56" s="79"/>
      <c r="F56" s="74"/>
      <c r="G56" s="74"/>
      <c r="H56" s="75"/>
      <c r="I56" s="74"/>
      <c r="J56" s="74"/>
      <c r="K56" s="73"/>
      <c r="L56" s="76"/>
    </row>
    <row r="57" spans="1:13" ht="20.25" customHeight="1" x14ac:dyDescent="0.25">
      <c r="A57" s="36">
        <f>A54+1</f>
        <v>13</v>
      </c>
      <c r="B57" s="35" t="s">
        <v>92</v>
      </c>
      <c r="C57" s="36" t="s">
        <v>13</v>
      </c>
      <c r="D57" s="99">
        <f>ROUND(3*0.18+3*0.24,2)</f>
        <v>1.26</v>
      </c>
      <c r="E57" s="25">
        <v>17265.68</v>
      </c>
      <c r="F57" s="30">
        <f t="shared" ref="F57" si="48">ROUND(E57*D57,2)</f>
        <v>21754.76</v>
      </c>
      <c r="G57" s="30">
        <f t="shared" ref="G57" si="49">ROUND(F57*1.2,2)</f>
        <v>26105.71</v>
      </c>
      <c r="H57" s="27"/>
      <c r="I57" s="30"/>
      <c r="J57" s="30"/>
      <c r="K57" s="31">
        <f t="shared" ref="K57:L60" si="50">F57+I57</f>
        <v>21754.76</v>
      </c>
      <c r="L57" s="32">
        <f t="shared" si="50"/>
        <v>26105.71</v>
      </c>
    </row>
    <row r="58" spans="1:13" ht="18.75" customHeight="1" x14ac:dyDescent="0.25">
      <c r="A58" s="85" t="s">
        <v>73</v>
      </c>
      <c r="B58" s="68" t="s">
        <v>84</v>
      </c>
      <c r="C58" s="67" t="s">
        <v>35</v>
      </c>
      <c r="D58" s="100">
        <v>3</v>
      </c>
      <c r="E58" s="28"/>
      <c r="F58" s="22"/>
      <c r="G58" s="22"/>
      <c r="H58" s="28">
        <v>4025</v>
      </c>
      <c r="I58" s="22">
        <f t="shared" ref="I58:I60" si="51">ROUND(H58*D58,2)</f>
        <v>12075</v>
      </c>
      <c r="J58" s="22">
        <f t="shared" ref="J58:J60" si="52">ROUND(I58*1.2,2)</f>
        <v>14490</v>
      </c>
      <c r="K58" s="23">
        <f t="shared" si="50"/>
        <v>12075</v>
      </c>
      <c r="L58" s="24">
        <f t="shared" si="50"/>
        <v>14490</v>
      </c>
    </row>
    <row r="59" spans="1:13" ht="18.75" customHeight="1" x14ac:dyDescent="0.25">
      <c r="A59" s="85" t="s">
        <v>130</v>
      </c>
      <c r="B59" s="68" t="s">
        <v>85</v>
      </c>
      <c r="C59" s="67" t="s">
        <v>35</v>
      </c>
      <c r="D59" s="100">
        <v>3</v>
      </c>
      <c r="E59" s="28"/>
      <c r="F59" s="22"/>
      <c r="G59" s="22"/>
      <c r="H59" s="28">
        <v>6995.83</v>
      </c>
      <c r="I59" s="22">
        <f t="shared" si="51"/>
        <v>20987.49</v>
      </c>
      <c r="J59" s="22">
        <f t="shared" si="52"/>
        <v>25184.99</v>
      </c>
      <c r="K59" s="23">
        <f t="shared" si="50"/>
        <v>20987.49</v>
      </c>
      <c r="L59" s="24">
        <f t="shared" si="50"/>
        <v>25184.99</v>
      </c>
    </row>
    <row r="60" spans="1:13" ht="18.75" customHeight="1" x14ac:dyDescent="0.25">
      <c r="A60" s="85" t="s">
        <v>74</v>
      </c>
      <c r="B60" s="68" t="s">
        <v>128</v>
      </c>
      <c r="C60" s="67" t="s">
        <v>35</v>
      </c>
      <c r="D60" s="100">
        <v>3</v>
      </c>
      <c r="E60" s="28"/>
      <c r="F60" s="22"/>
      <c r="G60" s="22"/>
      <c r="H60" s="28">
        <v>14421</v>
      </c>
      <c r="I60" s="22">
        <f t="shared" si="51"/>
        <v>43263</v>
      </c>
      <c r="J60" s="22">
        <f t="shared" si="52"/>
        <v>51915.6</v>
      </c>
      <c r="K60" s="23">
        <f t="shared" si="50"/>
        <v>43263</v>
      </c>
      <c r="L60" s="24">
        <f t="shared" si="50"/>
        <v>51915.6</v>
      </c>
    </row>
    <row r="61" spans="1:13" ht="18" customHeight="1" x14ac:dyDescent="0.25">
      <c r="A61" s="70"/>
      <c r="B61" s="77" t="s">
        <v>131</v>
      </c>
      <c r="C61" s="70"/>
      <c r="D61" s="78"/>
      <c r="E61" s="79"/>
      <c r="F61" s="74"/>
      <c r="G61" s="74"/>
      <c r="H61" s="75"/>
      <c r="I61" s="74"/>
      <c r="J61" s="74"/>
      <c r="K61" s="73"/>
      <c r="L61" s="76"/>
    </row>
    <row r="62" spans="1:13" ht="18.75" customHeight="1" x14ac:dyDescent="0.25">
      <c r="A62" s="11">
        <f>14+1</f>
        <v>15</v>
      </c>
      <c r="B62" s="34" t="s">
        <v>132</v>
      </c>
      <c r="C62" s="11" t="s">
        <v>13</v>
      </c>
      <c r="D62" s="96">
        <v>47.97</v>
      </c>
      <c r="E62" s="18">
        <v>1666.3</v>
      </c>
      <c r="F62" s="14">
        <f t="shared" ref="F62" si="53">ROUND(E62*D62,2)</f>
        <v>79932.41</v>
      </c>
      <c r="G62" s="14">
        <f t="shared" ref="G62" si="54">ROUND(F62*1.2,2)</f>
        <v>95918.89</v>
      </c>
      <c r="H62" s="15"/>
      <c r="I62" s="16"/>
      <c r="J62" s="16"/>
      <c r="K62" s="13">
        <f t="shared" ref="K62:L62" si="55">F62+I62</f>
        <v>79932.41</v>
      </c>
      <c r="L62" s="17">
        <f t="shared" si="55"/>
        <v>95918.89</v>
      </c>
    </row>
    <row r="63" spans="1:13" ht="18.75" customHeight="1" x14ac:dyDescent="0.25">
      <c r="A63" s="38" t="s">
        <v>75</v>
      </c>
      <c r="B63" s="19" t="s">
        <v>38</v>
      </c>
      <c r="C63" s="20" t="s">
        <v>13</v>
      </c>
      <c r="D63" s="93">
        <f>ROUND(D62*1.26,2)</f>
        <v>60.44</v>
      </c>
      <c r="E63" s="21"/>
      <c r="F63" s="22"/>
      <c r="G63" s="22"/>
      <c r="H63" s="39">
        <f>2827.078</f>
        <v>2827.078</v>
      </c>
      <c r="I63" s="22">
        <f>ROUND(H63*D63,2)</f>
        <v>170868.59</v>
      </c>
      <c r="J63" s="22">
        <f t="shared" ref="J63" si="56">ROUND(I63*1.2,2)</f>
        <v>205042.31</v>
      </c>
      <c r="K63" s="23">
        <f>F63+I63</f>
        <v>170868.59</v>
      </c>
      <c r="L63" s="24">
        <f>G63+J63</f>
        <v>205042.31</v>
      </c>
    </row>
    <row r="64" spans="1:13" ht="18.75" customHeight="1" x14ac:dyDescent="0.25">
      <c r="A64" s="11">
        <f>A62+1</f>
        <v>16</v>
      </c>
      <c r="B64" s="34" t="s">
        <v>133</v>
      </c>
      <c r="C64" s="11" t="s">
        <v>13</v>
      </c>
      <c r="D64" s="96">
        <v>538.32000000000005</v>
      </c>
      <c r="E64" s="18">
        <v>1666.3</v>
      </c>
      <c r="F64" s="14">
        <f t="shared" ref="F64" si="57">ROUND(E64*D64,2)</f>
        <v>897002.62</v>
      </c>
      <c r="G64" s="14">
        <f t="shared" ref="G64" si="58">ROUND(F64*1.2,2)</f>
        <v>1076403.1399999999</v>
      </c>
      <c r="H64" s="15"/>
      <c r="I64" s="16"/>
      <c r="J64" s="16"/>
      <c r="K64" s="13">
        <f t="shared" ref="K64:L64" si="59">F64+I64</f>
        <v>897002.62</v>
      </c>
      <c r="L64" s="17">
        <f t="shared" si="59"/>
        <v>1076403.1399999999</v>
      </c>
    </row>
    <row r="65" spans="1:13" ht="18.75" customHeight="1" x14ac:dyDescent="0.25">
      <c r="A65" s="38" t="s">
        <v>76</v>
      </c>
      <c r="B65" s="19" t="s">
        <v>38</v>
      </c>
      <c r="C65" s="20" t="s">
        <v>13</v>
      </c>
      <c r="D65" s="93">
        <f>ROUND(D64*1.26,2)</f>
        <v>678.28</v>
      </c>
      <c r="E65" s="21"/>
      <c r="F65" s="22"/>
      <c r="G65" s="22"/>
      <c r="H65" s="39">
        <f>2827.078</f>
        <v>2827.078</v>
      </c>
      <c r="I65" s="22">
        <f>ROUND(H65*D65,2)</f>
        <v>1917550.47</v>
      </c>
      <c r="J65" s="22">
        <f t="shared" ref="J65" si="60">ROUND(I65*1.2,2)</f>
        <v>2301060.56</v>
      </c>
      <c r="K65" s="23">
        <f>F65+I65</f>
        <v>1917550.47</v>
      </c>
      <c r="L65" s="24">
        <f>G65+J65</f>
        <v>2301060.56</v>
      </c>
    </row>
    <row r="66" spans="1:13" ht="18" customHeight="1" x14ac:dyDescent="0.25">
      <c r="A66" s="70"/>
      <c r="B66" s="71" t="s">
        <v>134</v>
      </c>
      <c r="C66" s="72"/>
      <c r="D66" s="72"/>
      <c r="E66" s="73"/>
      <c r="F66" s="74"/>
      <c r="G66" s="74"/>
      <c r="H66" s="75"/>
      <c r="I66" s="74"/>
      <c r="J66" s="74"/>
      <c r="K66" s="73"/>
      <c r="L66" s="76"/>
    </row>
    <row r="67" spans="1:13" ht="18.75" customHeight="1" x14ac:dyDescent="0.25">
      <c r="A67" s="11">
        <f>A64+1</f>
        <v>17</v>
      </c>
      <c r="B67" s="34" t="s">
        <v>26</v>
      </c>
      <c r="C67" s="11" t="s">
        <v>13</v>
      </c>
      <c r="D67" s="62">
        <v>31.2</v>
      </c>
      <c r="E67" s="18">
        <v>308.75</v>
      </c>
      <c r="F67" s="14">
        <f t="shared" ref="F67:F69" si="61">ROUND(E67*D67,2)</f>
        <v>9633</v>
      </c>
      <c r="G67" s="14">
        <f t="shared" ref="G67:G69" si="62">ROUND(F67*1.2,2)</f>
        <v>11559.6</v>
      </c>
      <c r="H67" s="15"/>
      <c r="I67" s="16"/>
      <c r="J67" s="16"/>
      <c r="K67" s="13">
        <f t="shared" ref="K67:L74" si="63">F67+I67</f>
        <v>9633</v>
      </c>
      <c r="L67" s="17">
        <f t="shared" si="63"/>
        <v>11559.6</v>
      </c>
    </row>
    <row r="68" spans="1:13" ht="18.75" customHeight="1" x14ac:dyDescent="0.25">
      <c r="A68" s="11">
        <f t="shared" ref="A68:A69" si="64">A67+1</f>
        <v>18</v>
      </c>
      <c r="B68" s="34" t="s">
        <v>16</v>
      </c>
      <c r="C68" s="11" t="s">
        <v>17</v>
      </c>
      <c r="D68" s="62">
        <f>D67*1.9</f>
        <v>59.279999999999994</v>
      </c>
      <c r="E68" s="18">
        <v>308.75</v>
      </c>
      <c r="F68" s="14">
        <f t="shared" si="61"/>
        <v>18302.7</v>
      </c>
      <c r="G68" s="14">
        <f t="shared" si="62"/>
        <v>21963.24</v>
      </c>
      <c r="H68" s="15"/>
      <c r="I68" s="16"/>
      <c r="J68" s="16"/>
      <c r="K68" s="13">
        <f t="shared" si="63"/>
        <v>18302.7</v>
      </c>
      <c r="L68" s="17">
        <f t="shared" si="63"/>
        <v>21963.24</v>
      </c>
    </row>
    <row r="69" spans="1:13" ht="20.25" customHeight="1" x14ac:dyDescent="0.25">
      <c r="A69" s="11">
        <f t="shared" si="64"/>
        <v>19</v>
      </c>
      <c r="B69" s="108" t="s">
        <v>135</v>
      </c>
      <c r="C69" s="88" t="s">
        <v>13</v>
      </c>
      <c r="D69" s="109">
        <v>2.4</v>
      </c>
      <c r="E69" s="15">
        <v>1310.05</v>
      </c>
      <c r="F69" s="16">
        <f t="shared" si="61"/>
        <v>3144.12</v>
      </c>
      <c r="G69" s="16">
        <f t="shared" si="62"/>
        <v>3772.94</v>
      </c>
      <c r="H69" s="110"/>
      <c r="I69" s="111"/>
      <c r="J69" s="111"/>
      <c r="K69" s="18">
        <f t="shared" si="63"/>
        <v>3144.12</v>
      </c>
      <c r="L69" s="91">
        <f t="shared" si="63"/>
        <v>3772.94</v>
      </c>
      <c r="M69" s="112"/>
    </row>
    <row r="70" spans="1:13" ht="20.25" customHeight="1" x14ac:dyDescent="0.25">
      <c r="A70" s="38" t="s">
        <v>78</v>
      </c>
      <c r="B70" s="19" t="s">
        <v>136</v>
      </c>
      <c r="C70" s="114" t="s">
        <v>13</v>
      </c>
      <c r="D70" s="115">
        <f>D69*1.1</f>
        <v>2.64</v>
      </c>
      <c r="E70" s="21"/>
      <c r="F70" s="22"/>
      <c r="G70" s="22"/>
      <c r="H70" s="22">
        <v>1191.3</v>
      </c>
      <c r="I70" s="22">
        <f>ROUND(H70*D70,2)</f>
        <v>3145.03</v>
      </c>
      <c r="J70" s="22">
        <f>ROUND(I70*1.2,2)</f>
        <v>3774.04</v>
      </c>
      <c r="K70" s="23">
        <f t="shared" si="63"/>
        <v>3145.03</v>
      </c>
      <c r="L70" s="22">
        <f t="shared" si="63"/>
        <v>3774.04</v>
      </c>
      <c r="M70" s="112"/>
    </row>
    <row r="71" spans="1:13" ht="20.25" customHeight="1" x14ac:dyDescent="0.25">
      <c r="A71" s="11">
        <f>A69+1</f>
        <v>20</v>
      </c>
      <c r="B71" s="108" t="s">
        <v>137</v>
      </c>
      <c r="C71" s="88" t="s">
        <v>13</v>
      </c>
      <c r="D71" s="109">
        <v>4.8</v>
      </c>
      <c r="E71" s="15">
        <v>1310.05</v>
      </c>
      <c r="F71" s="16">
        <f t="shared" ref="F71" si="65">ROUND(E71*D71,2)</f>
        <v>6288.24</v>
      </c>
      <c r="G71" s="16">
        <f t="shared" ref="G71" si="66">ROUND(F71*1.2,2)</f>
        <v>7545.89</v>
      </c>
      <c r="H71" s="110"/>
      <c r="I71" s="111"/>
      <c r="J71" s="111"/>
      <c r="K71" s="18">
        <f t="shared" si="63"/>
        <v>6288.24</v>
      </c>
      <c r="L71" s="91">
        <f t="shared" si="63"/>
        <v>7545.89</v>
      </c>
      <c r="M71" s="112"/>
    </row>
    <row r="72" spans="1:13" ht="20.25" customHeight="1" x14ac:dyDescent="0.25">
      <c r="A72" s="38" t="s">
        <v>139</v>
      </c>
      <c r="B72" s="19" t="s">
        <v>136</v>
      </c>
      <c r="C72" s="114" t="s">
        <v>13</v>
      </c>
      <c r="D72" s="115">
        <f>D71*1.1</f>
        <v>5.28</v>
      </c>
      <c r="E72" s="21"/>
      <c r="F72" s="22"/>
      <c r="G72" s="22"/>
      <c r="H72" s="22">
        <v>1191.3</v>
      </c>
      <c r="I72" s="22">
        <f>ROUND(H72*D72,2)</f>
        <v>6290.06</v>
      </c>
      <c r="J72" s="22">
        <f>ROUND(I72*1.2,2)</f>
        <v>7548.07</v>
      </c>
      <c r="K72" s="23">
        <f t="shared" si="63"/>
        <v>6290.06</v>
      </c>
      <c r="L72" s="22">
        <f t="shared" si="63"/>
        <v>7548.07</v>
      </c>
      <c r="M72" s="112"/>
    </row>
    <row r="73" spans="1:13" ht="20.25" customHeight="1" x14ac:dyDescent="0.25">
      <c r="A73" s="11">
        <f>A71+1</f>
        <v>21</v>
      </c>
      <c r="B73" s="108" t="s">
        <v>138</v>
      </c>
      <c r="C73" s="88" t="s">
        <v>13</v>
      </c>
      <c r="D73" s="109">
        <v>24</v>
      </c>
      <c r="E73" s="15">
        <v>1310.05</v>
      </c>
      <c r="F73" s="16">
        <f t="shared" ref="F73" si="67">ROUND(E73*D73,2)</f>
        <v>31441.200000000001</v>
      </c>
      <c r="G73" s="16">
        <f t="shared" ref="G73" si="68">ROUND(F73*1.2,2)</f>
        <v>37729.440000000002</v>
      </c>
      <c r="H73" s="110"/>
      <c r="I73" s="111"/>
      <c r="J73" s="111"/>
      <c r="K73" s="18">
        <f t="shared" si="63"/>
        <v>31441.200000000001</v>
      </c>
      <c r="L73" s="91">
        <f t="shared" si="63"/>
        <v>37729.440000000002</v>
      </c>
      <c r="M73" s="112"/>
    </row>
    <row r="74" spans="1:13" ht="20.25" customHeight="1" x14ac:dyDescent="0.25">
      <c r="A74" s="38" t="s">
        <v>140</v>
      </c>
      <c r="B74" s="19" t="s">
        <v>136</v>
      </c>
      <c r="C74" s="114" t="s">
        <v>13</v>
      </c>
      <c r="D74" s="115">
        <f>D73*1.1</f>
        <v>26.400000000000002</v>
      </c>
      <c r="E74" s="21"/>
      <c r="F74" s="22"/>
      <c r="G74" s="22"/>
      <c r="H74" s="22">
        <v>1191.3</v>
      </c>
      <c r="I74" s="22">
        <f>ROUND(H74*D74,2)</f>
        <v>31450.32</v>
      </c>
      <c r="J74" s="22">
        <f>ROUND(I74*1.2,2)</f>
        <v>37740.379999999997</v>
      </c>
      <c r="K74" s="23">
        <f t="shared" si="63"/>
        <v>31450.32</v>
      </c>
      <c r="L74" s="22">
        <f t="shared" si="63"/>
        <v>37740.379999999997</v>
      </c>
      <c r="M74" s="112"/>
    </row>
    <row r="75" spans="1:13" ht="23.25" customHeight="1" x14ac:dyDescent="0.25">
      <c r="A75" s="70"/>
      <c r="B75" s="77" t="s">
        <v>39</v>
      </c>
      <c r="C75" s="70"/>
      <c r="D75" s="80"/>
      <c r="E75" s="79"/>
      <c r="F75" s="74"/>
      <c r="G75" s="74"/>
      <c r="H75" s="75"/>
      <c r="I75" s="74"/>
      <c r="J75" s="74"/>
      <c r="K75" s="73"/>
      <c r="L75" s="76"/>
    </row>
    <row r="76" spans="1:13" ht="23.25" customHeight="1" x14ac:dyDescent="0.25">
      <c r="A76" s="36">
        <f>A73+1</f>
        <v>22</v>
      </c>
      <c r="B76" s="35" t="s">
        <v>102</v>
      </c>
      <c r="C76" s="36" t="s">
        <v>41</v>
      </c>
      <c r="D76" s="99">
        <v>6013.43</v>
      </c>
      <c r="E76" s="25">
        <v>1083</v>
      </c>
      <c r="F76" s="30">
        <f t="shared" ref="F76" si="69">ROUND(E76*D76,2)</f>
        <v>6512544.6900000004</v>
      </c>
      <c r="G76" s="30">
        <f t="shared" ref="G76" si="70">ROUND(F76*1.2,2)</f>
        <v>7815053.6299999999</v>
      </c>
      <c r="H76" s="27"/>
      <c r="I76" s="30"/>
      <c r="J76" s="30"/>
      <c r="K76" s="31">
        <f t="shared" ref="K76:L90" si="71">F76+I76</f>
        <v>6512544.6900000004</v>
      </c>
      <c r="L76" s="32">
        <f t="shared" si="71"/>
        <v>7815053.6299999999</v>
      </c>
    </row>
    <row r="77" spans="1:13" ht="37.5" customHeight="1" x14ac:dyDescent="0.25">
      <c r="A77" s="38" t="s">
        <v>145</v>
      </c>
      <c r="B77" s="19" t="s">
        <v>44</v>
      </c>
      <c r="C77" s="20" t="s">
        <v>17</v>
      </c>
      <c r="D77" s="116">
        <f>D76*0.05*2.48</f>
        <v>745.66532000000007</v>
      </c>
      <c r="E77" s="21"/>
      <c r="F77" s="22"/>
      <c r="G77" s="22"/>
      <c r="H77" s="65">
        <v>4407.05</v>
      </c>
      <c r="I77" s="22">
        <f>ROUND(H77*D77,2)</f>
        <v>3286184.35</v>
      </c>
      <c r="J77" s="22">
        <f t="shared" ref="J77" si="72">ROUND(I77*1.2,2)</f>
        <v>3943421.22</v>
      </c>
      <c r="K77" s="23">
        <f t="shared" si="71"/>
        <v>3286184.35</v>
      </c>
      <c r="L77" s="24">
        <f t="shared" si="71"/>
        <v>3943421.22</v>
      </c>
      <c r="M77" s="37" t="s">
        <v>144</v>
      </c>
    </row>
    <row r="78" spans="1:13" ht="30.75" customHeight="1" x14ac:dyDescent="0.25">
      <c r="A78" s="36">
        <f>A76+1</f>
        <v>23</v>
      </c>
      <c r="B78" s="35" t="s">
        <v>141</v>
      </c>
      <c r="C78" s="36" t="s">
        <v>41</v>
      </c>
      <c r="D78" s="99">
        <v>6013.43</v>
      </c>
      <c r="E78" s="69">
        <v>1516</v>
      </c>
      <c r="F78" s="30">
        <f>ROUND(E78*D78,2)</f>
        <v>9116359.8800000008</v>
      </c>
      <c r="G78" s="30">
        <f>ROUND(F78*1.2,2)</f>
        <v>10939631.859999999</v>
      </c>
      <c r="H78" s="27"/>
      <c r="I78" s="30"/>
      <c r="J78" s="30"/>
      <c r="K78" s="31">
        <f t="shared" si="71"/>
        <v>9116359.8800000008</v>
      </c>
      <c r="L78" s="32">
        <f t="shared" si="71"/>
        <v>10939631.859999999</v>
      </c>
      <c r="M78" s="37" t="s">
        <v>152</v>
      </c>
    </row>
    <row r="79" spans="1:13" ht="31.5" customHeight="1" x14ac:dyDescent="0.25">
      <c r="A79" s="38" t="s">
        <v>146</v>
      </c>
      <c r="B79" s="19" t="s">
        <v>43</v>
      </c>
      <c r="C79" s="20" t="s">
        <v>17</v>
      </c>
      <c r="D79" s="116">
        <f>D78*0.07*2.48</f>
        <v>1043.9314480000003</v>
      </c>
      <c r="E79" s="21"/>
      <c r="F79" s="22"/>
      <c r="G79" s="22"/>
      <c r="H79" s="65">
        <v>4407.05</v>
      </c>
      <c r="I79" s="22">
        <f>ROUND(H79*D79,2)</f>
        <v>4600658.09</v>
      </c>
      <c r="J79" s="22">
        <f t="shared" ref="J79" si="73">ROUND(I79*1.2,2)</f>
        <v>5520789.71</v>
      </c>
      <c r="K79" s="23">
        <f t="shared" si="71"/>
        <v>4600658.09</v>
      </c>
      <c r="L79" s="24">
        <f t="shared" si="71"/>
        <v>5520789.71</v>
      </c>
      <c r="M79" s="37" t="s">
        <v>144</v>
      </c>
    </row>
    <row r="80" spans="1:13" ht="31.5" customHeight="1" x14ac:dyDescent="0.25">
      <c r="A80" s="36">
        <f>A78+1</f>
        <v>24</v>
      </c>
      <c r="B80" s="35" t="s">
        <v>49</v>
      </c>
      <c r="C80" s="36" t="s">
        <v>41</v>
      </c>
      <c r="D80" s="97">
        <v>6013.43</v>
      </c>
      <c r="E80" s="25">
        <v>194.58</v>
      </c>
      <c r="F80" s="30">
        <f>ROUND(E80*D80,2)</f>
        <v>1170093.21</v>
      </c>
      <c r="G80" s="30">
        <f>ROUND(F80*1.2,2)</f>
        <v>1404111.85</v>
      </c>
      <c r="H80" s="27"/>
      <c r="I80" s="30"/>
      <c r="J80" s="30"/>
      <c r="K80" s="31">
        <f t="shared" si="71"/>
        <v>1170093.21</v>
      </c>
      <c r="L80" s="32">
        <f t="shared" si="71"/>
        <v>1404111.85</v>
      </c>
    </row>
    <row r="81" spans="1:13" ht="18.75" customHeight="1" x14ac:dyDescent="0.25">
      <c r="A81" s="38" t="s">
        <v>147</v>
      </c>
      <c r="B81" s="19" t="s">
        <v>38</v>
      </c>
      <c r="C81" s="20" t="s">
        <v>13</v>
      </c>
      <c r="D81" s="98">
        <f>D80*0.08*1.26</f>
        <v>606.15374400000007</v>
      </c>
      <c r="E81" s="21"/>
      <c r="F81" s="22"/>
      <c r="G81" s="22"/>
      <c r="H81" s="39">
        <v>2827.078</v>
      </c>
      <c r="I81" s="22">
        <f>ROUND(H81*D81,2)</f>
        <v>1713643.91</v>
      </c>
      <c r="J81" s="22">
        <f t="shared" ref="J81:J82" si="74">ROUND(I81*1.2,2)</f>
        <v>2056372.69</v>
      </c>
      <c r="K81" s="23">
        <f t="shared" si="71"/>
        <v>1713643.91</v>
      </c>
      <c r="L81" s="24">
        <f t="shared" si="71"/>
        <v>2056372.69</v>
      </c>
      <c r="M81" s="37"/>
    </row>
    <row r="82" spans="1:13" ht="18.75" customHeight="1" x14ac:dyDescent="0.25">
      <c r="A82" s="38" t="s">
        <v>148</v>
      </c>
      <c r="B82" s="19" t="s">
        <v>48</v>
      </c>
      <c r="C82" s="20" t="s">
        <v>17</v>
      </c>
      <c r="D82" s="117">
        <f>D80*0.86/1000</f>
        <v>5.1715498000000002</v>
      </c>
      <c r="E82" s="21"/>
      <c r="F82" s="22"/>
      <c r="G82" s="22"/>
      <c r="H82" s="39">
        <v>13706</v>
      </c>
      <c r="I82" s="22">
        <f>ROUND(H82*D82,2)</f>
        <v>70881.259999999995</v>
      </c>
      <c r="J82" s="22">
        <f t="shared" si="74"/>
        <v>85057.51</v>
      </c>
      <c r="K82" s="23">
        <f t="shared" si="71"/>
        <v>70881.259999999995</v>
      </c>
      <c r="L82" s="24">
        <f t="shared" si="71"/>
        <v>85057.51</v>
      </c>
      <c r="M82" s="63" t="s">
        <v>126</v>
      </c>
    </row>
    <row r="83" spans="1:13" ht="18.75" customHeight="1" x14ac:dyDescent="0.25">
      <c r="A83" s="36">
        <f>A80+1</f>
        <v>25</v>
      </c>
      <c r="B83" s="35" t="s">
        <v>154</v>
      </c>
      <c r="C83" s="36" t="s">
        <v>13</v>
      </c>
      <c r="D83" s="97">
        <v>724.39</v>
      </c>
      <c r="E83" s="25">
        <v>1666.3</v>
      </c>
      <c r="F83" s="30">
        <f>ROUND(E83*D83,2)</f>
        <v>1207051.06</v>
      </c>
      <c r="G83" s="30">
        <f>ROUND(F83*1.2,2)</f>
        <v>1448461.27</v>
      </c>
      <c r="H83" s="27"/>
      <c r="I83" s="30"/>
      <c r="J83" s="30"/>
      <c r="K83" s="31">
        <f t="shared" si="71"/>
        <v>1207051.06</v>
      </c>
      <c r="L83" s="32">
        <f t="shared" si="71"/>
        <v>1448461.27</v>
      </c>
    </row>
    <row r="84" spans="1:13" ht="18.75" customHeight="1" x14ac:dyDescent="0.25">
      <c r="A84" s="38" t="s">
        <v>149</v>
      </c>
      <c r="B84" s="19" t="s">
        <v>38</v>
      </c>
      <c r="C84" s="20" t="s">
        <v>13</v>
      </c>
      <c r="D84" s="98">
        <f>D83*1.26</f>
        <v>912.73140000000001</v>
      </c>
      <c r="E84" s="21"/>
      <c r="F84" s="22"/>
      <c r="G84" s="22"/>
      <c r="H84" s="39">
        <v>2827.078</v>
      </c>
      <c r="I84" s="22">
        <f>ROUND(H84*D84,2)</f>
        <v>2580362.86</v>
      </c>
      <c r="J84" s="22">
        <f t="shared" ref="J84" si="75">ROUND(I84*1.2,2)</f>
        <v>3096435.43</v>
      </c>
      <c r="K84" s="23">
        <f t="shared" si="71"/>
        <v>2580362.86</v>
      </c>
      <c r="L84" s="24">
        <f t="shared" si="71"/>
        <v>3096435.43</v>
      </c>
      <c r="M84" s="37"/>
    </row>
    <row r="85" spans="1:13" ht="18.75" customHeight="1" x14ac:dyDescent="0.25">
      <c r="A85" s="36">
        <f>A83+1</f>
        <v>26</v>
      </c>
      <c r="B85" s="35" t="s">
        <v>151</v>
      </c>
      <c r="C85" s="36" t="s">
        <v>13</v>
      </c>
      <c r="D85" s="97">
        <v>1448.78</v>
      </c>
      <c r="E85" s="25">
        <v>1055.45</v>
      </c>
      <c r="F85" s="30">
        <f>ROUND(E85*D85,2)</f>
        <v>1529114.85</v>
      </c>
      <c r="G85" s="30">
        <f>ROUND(F85*1.2,2)</f>
        <v>1834937.82</v>
      </c>
      <c r="H85" s="27"/>
      <c r="I85" s="30"/>
      <c r="J85" s="30"/>
      <c r="K85" s="31">
        <f t="shared" si="71"/>
        <v>1529114.85</v>
      </c>
      <c r="L85" s="32">
        <f t="shared" si="71"/>
        <v>1834937.82</v>
      </c>
    </row>
    <row r="86" spans="1:13" ht="18.75" customHeight="1" x14ac:dyDescent="0.25">
      <c r="A86" s="38" t="s">
        <v>79</v>
      </c>
      <c r="B86" s="19" t="s">
        <v>46</v>
      </c>
      <c r="C86" s="20" t="s">
        <v>13</v>
      </c>
      <c r="D86" s="98">
        <f>D85*1.1</f>
        <v>1593.6580000000001</v>
      </c>
      <c r="E86" s="21"/>
      <c r="F86" s="22"/>
      <c r="G86" s="22"/>
      <c r="H86" s="39">
        <v>1427.76</v>
      </c>
      <c r="I86" s="22">
        <f>ROUND(H86*D86,2)</f>
        <v>2275361.15</v>
      </c>
      <c r="J86" s="22">
        <f t="shared" ref="J86" si="76">ROUND(I86*1.2,2)</f>
        <v>2730433.38</v>
      </c>
      <c r="K86" s="23">
        <f t="shared" si="71"/>
        <v>2275361.15</v>
      </c>
      <c r="L86" s="24">
        <f t="shared" si="71"/>
        <v>2730433.38</v>
      </c>
      <c r="M86" s="37"/>
    </row>
    <row r="87" spans="1:13" ht="20.25" customHeight="1" x14ac:dyDescent="0.25">
      <c r="A87" s="36">
        <f>A85+1</f>
        <v>27</v>
      </c>
      <c r="B87" s="35" t="s">
        <v>142</v>
      </c>
      <c r="C87" s="36" t="s">
        <v>41</v>
      </c>
      <c r="D87" s="97">
        <v>4829.28</v>
      </c>
      <c r="E87" s="25">
        <v>183.58</v>
      </c>
      <c r="F87" s="30">
        <f>ROUND(E87*D87,2)</f>
        <v>886559.22</v>
      </c>
      <c r="G87" s="30">
        <f>ROUND(F87*1.2,2)</f>
        <v>1063871.06</v>
      </c>
      <c r="H87" s="27"/>
      <c r="I87" s="30"/>
      <c r="J87" s="30"/>
      <c r="K87" s="31">
        <f t="shared" si="71"/>
        <v>886559.22</v>
      </c>
      <c r="L87" s="32">
        <f t="shared" si="71"/>
        <v>1063871.06</v>
      </c>
    </row>
    <row r="88" spans="1:13" ht="18.75" customHeight="1" x14ac:dyDescent="0.25">
      <c r="A88" s="38" t="s">
        <v>80</v>
      </c>
      <c r="B88" s="19" t="s">
        <v>143</v>
      </c>
      <c r="C88" s="20" t="s">
        <v>41</v>
      </c>
      <c r="D88" s="98">
        <f>D87*1.1</f>
        <v>5312.2080000000005</v>
      </c>
      <c r="E88" s="21"/>
      <c r="F88" s="22"/>
      <c r="G88" s="22"/>
      <c r="H88" s="39">
        <v>153.33000000000001</v>
      </c>
      <c r="I88" s="22">
        <f>ROUND(H88*D88,2)</f>
        <v>814520.85</v>
      </c>
      <c r="J88" s="22">
        <f t="shared" ref="J88" si="77">ROUND(I88*1.2,2)</f>
        <v>977425.02</v>
      </c>
      <c r="K88" s="23">
        <f t="shared" si="71"/>
        <v>814520.85</v>
      </c>
      <c r="L88" s="24">
        <f t="shared" si="71"/>
        <v>977425.02</v>
      </c>
      <c r="M88" s="66"/>
    </row>
    <row r="89" spans="1:13" ht="18.75" customHeight="1" x14ac:dyDescent="0.25">
      <c r="A89" s="36">
        <f>A87+1</f>
        <v>28</v>
      </c>
      <c r="B89" s="35" t="s">
        <v>45</v>
      </c>
      <c r="C89" s="36" t="s">
        <v>35</v>
      </c>
      <c r="D89" s="97">
        <v>330</v>
      </c>
      <c r="E89" s="25">
        <v>1555.15</v>
      </c>
      <c r="F89" s="30">
        <f>ROUND(E89*D89,2)</f>
        <v>513199.5</v>
      </c>
      <c r="G89" s="30">
        <f>ROUND(F89*1.2,2)</f>
        <v>615839.4</v>
      </c>
      <c r="H89" s="27"/>
      <c r="I89" s="30"/>
      <c r="J89" s="30"/>
      <c r="K89" s="31">
        <f t="shared" si="71"/>
        <v>513199.5</v>
      </c>
      <c r="L89" s="32">
        <f t="shared" si="71"/>
        <v>615839.4</v>
      </c>
    </row>
    <row r="90" spans="1:13" ht="18.75" customHeight="1" x14ac:dyDescent="0.25">
      <c r="A90" s="38" t="s">
        <v>81</v>
      </c>
      <c r="B90" s="19" t="s">
        <v>47</v>
      </c>
      <c r="C90" s="20" t="s">
        <v>35</v>
      </c>
      <c r="D90" s="118">
        <v>330</v>
      </c>
      <c r="E90" s="21"/>
      <c r="F90" s="22"/>
      <c r="G90" s="22"/>
      <c r="H90" s="39">
        <v>247</v>
      </c>
      <c r="I90" s="22">
        <f>ROUND(H90*D90,2)</f>
        <v>81510</v>
      </c>
      <c r="J90" s="22">
        <f t="shared" ref="J90" si="78">ROUND(I90*1.2,2)</f>
        <v>97812</v>
      </c>
      <c r="K90" s="23">
        <f t="shared" si="71"/>
        <v>81510</v>
      </c>
      <c r="L90" s="24">
        <f t="shared" si="71"/>
        <v>97812</v>
      </c>
      <c r="M90" s="37"/>
    </row>
    <row r="91" spans="1:13" ht="29.25" customHeight="1" x14ac:dyDescent="0.25">
      <c r="A91" s="70"/>
      <c r="B91" s="77" t="s">
        <v>150</v>
      </c>
      <c r="C91" s="70"/>
      <c r="D91" s="119"/>
      <c r="E91" s="79"/>
      <c r="F91" s="74"/>
      <c r="G91" s="74"/>
      <c r="H91" s="75"/>
      <c r="I91" s="74"/>
      <c r="J91" s="74"/>
      <c r="K91" s="73"/>
      <c r="L91" s="76"/>
    </row>
    <row r="92" spans="1:13" ht="18.75" customHeight="1" x14ac:dyDescent="0.25">
      <c r="A92" s="36">
        <f>A89+1</f>
        <v>29</v>
      </c>
      <c r="B92" s="35" t="s">
        <v>153</v>
      </c>
      <c r="C92" s="36" t="s">
        <v>13</v>
      </c>
      <c r="D92" s="97">
        <v>65.5</v>
      </c>
      <c r="E92" s="25">
        <v>1666.3</v>
      </c>
      <c r="F92" s="30">
        <f>ROUND(E92*D92,2)</f>
        <v>109142.65</v>
      </c>
      <c r="G92" s="30">
        <f>ROUND(F92*1.2,2)</f>
        <v>130971.18</v>
      </c>
      <c r="H92" s="27"/>
      <c r="I92" s="30"/>
      <c r="J92" s="30"/>
      <c r="K92" s="31">
        <f t="shared" ref="K92:L93" si="79">F92+I92</f>
        <v>109142.65</v>
      </c>
      <c r="L92" s="32">
        <f t="shared" si="79"/>
        <v>130971.18</v>
      </c>
    </row>
    <row r="93" spans="1:13" ht="18.75" customHeight="1" x14ac:dyDescent="0.25">
      <c r="A93" s="38" t="s">
        <v>82</v>
      </c>
      <c r="B93" s="19" t="s">
        <v>38</v>
      </c>
      <c r="C93" s="20" t="s">
        <v>13</v>
      </c>
      <c r="D93" s="98">
        <f>D92*1.26</f>
        <v>82.53</v>
      </c>
      <c r="E93" s="21"/>
      <c r="F93" s="22"/>
      <c r="G93" s="22"/>
      <c r="H93" s="39">
        <v>2827.078</v>
      </c>
      <c r="I93" s="22">
        <f>ROUND(H93*D93,2)</f>
        <v>233318.75</v>
      </c>
      <c r="J93" s="22">
        <f t="shared" ref="J93" si="80">ROUND(I93*1.2,2)</f>
        <v>279982.5</v>
      </c>
      <c r="K93" s="23">
        <f t="shared" si="79"/>
        <v>233318.75</v>
      </c>
      <c r="L93" s="24">
        <f t="shared" si="79"/>
        <v>279982.5</v>
      </c>
      <c r="M93" s="37"/>
    </row>
    <row r="94" spans="1:13" ht="34.5" customHeight="1" x14ac:dyDescent="0.25">
      <c r="A94" s="70"/>
      <c r="B94" s="81" t="s">
        <v>167</v>
      </c>
      <c r="C94" s="70"/>
      <c r="D94" s="82"/>
      <c r="E94" s="79"/>
      <c r="F94" s="74"/>
      <c r="G94" s="74"/>
      <c r="H94" s="75"/>
      <c r="I94" s="74"/>
      <c r="J94" s="74"/>
      <c r="K94" s="73"/>
      <c r="L94" s="76"/>
    </row>
    <row r="95" spans="1:13" ht="21.75" customHeight="1" x14ac:dyDescent="0.25">
      <c r="A95" s="113" t="e">
        <f>#REF!+1</f>
        <v>#REF!</v>
      </c>
      <c r="B95" s="130" t="s">
        <v>168</v>
      </c>
      <c r="C95" s="131" t="s">
        <v>35</v>
      </c>
      <c r="D95" s="138">
        <v>22</v>
      </c>
      <c r="E95" s="132">
        <v>21240</v>
      </c>
      <c r="F95" s="14">
        <f t="shared" ref="F95:F97" si="81">ROUND(E95*D95,2)</f>
        <v>467280</v>
      </c>
      <c r="G95" s="14">
        <f t="shared" ref="G95:G97" si="82">ROUND(F95*1.2,2)</f>
        <v>560736</v>
      </c>
      <c r="H95" s="27"/>
      <c r="I95" s="16"/>
      <c r="J95" s="16"/>
      <c r="K95" s="13">
        <f t="shared" ref="K95:L98" si="83">F95+I95</f>
        <v>467280</v>
      </c>
      <c r="L95" s="14">
        <f t="shared" si="83"/>
        <v>560736</v>
      </c>
      <c r="M95" s="63" t="s">
        <v>174</v>
      </c>
    </row>
    <row r="96" spans="1:13" ht="21.75" customHeight="1" x14ac:dyDescent="0.25">
      <c r="A96" s="113" t="e">
        <f>A95+1</f>
        <v>#REF!</v>
      </c>
      <c r="B96" s="130" t="s">
        <v>169</v>
      </c>
      <c r="C96" s="131" t="s">
        <v>35</v>
      </c>
      <c r="D96" s="138">
        <v>44</v>
      </c>
      <c r="E96" s="132">
        <v>16840</v>
      </c>
      <c r="F96" s="14">
        <f t="shared" si="81"/>
        <v>740960</v>
      </c>
      <c r="G96" s="14">
        <f t="shared" si="82"/>
        <v>889152</v>
      </c>
      <c r="H96" s="27"/>
      <c r="I96" s="16"/>
      <c r="J96" s="16"/>
      <c r="K96" s="13">
        <f t="shared" si="83"/>
        <v>740960</v>
      </c>
      <c r="L96" s="14">
        <f t="shared" si="83"/>
        <v>889152</v>
      </c>
      <c r="M96" s="63" t="s">
        <v>174</v>
      </c>
    </row>
    <row r="97" spans="1:13" ht="21.75" customHeight="1" x14ac:dyDescent="0.25">
      <c r="A97" s="113" t="e">
        <f t="shared" ref="A97" si="84">A96+1</f>
        <v>#REF!</v>
      </c>
      <c r="B97" s="130" t="s">
        <v>170</v>
      </c>
      <c r="C97" s="131" t="s">
        <v>35</v>
      </c>
      <c r="D97" s="138">
        <v>44</v>
      </c>
      <c r="E97" s="132">
        <v>1020</v>
      </c>
      <c r="F97" s="14">
        <f t="shared" si="81"/>
        <v>44880</v>
      </c>
      <c r="G97" s="14">
        <f t="shared" si="82"/>
        <v>53856</v>
      </c>
      <c r="H97" s="27"/>
      <c r="I97" s="16"/>
      <c r="J97" s="16"/>
      <c r="K97" s="13">
        <f t="shared" si="83"/>
        <v>44880</v>
      </c>
      <c r="L97" s="14">
        <f t="shared" si="83"/>
        <v>53856</v>
      </c>
      <c r="M97" s="63" t="s">
        <v>174</v>
      </c>
    </row>
    <row r="98" spans="1:13" ht="24" customHeight="1" x14ac:dyDescent="0.25">
      <c r="A98" s="38" t="s">
        <v>173</v>
      </c>
      <c r="B98" s="137" t="s">
        <v>171</v>
      </c>
      <c r="C98" s="133" t="s">
        <v>172</v>
      </c>
      <c r="D98" s="139">
        <v>2</v>
      </c>
      <c r="E98" s="22"/>
      <c r="F98" s="22"/>
      <c r="G98" s="22"/>
      <c r="H98" s="135">
        <v>531646.56000000006</v>
      </c>
      <c r="I98" s="22">
        <f t="shared" ref="I98" si="85">ROUND(H98*D98,2)</f>
        <v>1063293.1200000001</v>
      </c>
      <c r="J98" s="22">
        <f t="shared" ref="J98" si="86">ROUND(I98*1.2,2)</f>
        <v>1275951.74</v>
      </c>
      <c r="K98" s="23">
        <f t="shared" si="83"/>
        <v>1063293.1200000001</v>
      </c>
      <c r="L98" s="22">
        <f t="shared" si="83"/>
        <v>1275951.74</v>
      </c>
      <c r="M98" s="63" t="s">
        <v>175</v>
      </c>
    </row>
    <row r="99" spans="1:13" ht="34.5" customHeight="1" x14ac:dyDescent="0.25">
      <c r="A99" s="70"/>
      <c r="B99" s="81" t="s">
        <v>179</v>
      </c>
      <c r="C99" s="70"/>
      <c r="D99" s="82"/>
      <c r="E99" s="79"/>
      <c r="F99" s="74"/>
      <c r="G99" s="74"/>
      <c r="H99" s="75"/>
      <c r="I99" s="74"/>
      <c r="J99" s="74"/>
      <c r="K99" s="73"/>
      <c r="L99" s="76"/>
    </row>
    <row r="100" spans="1:13" ht="21.75" customHeight="1" x14ac:dyDescent="0.25">
      <c r="A100" s="113" t="e">
        <f>A97+1</f>
        <v>#REF!</v>
      </c>
      <c r="B100" s="130" t="s">
        <v>168</v>
      </c>
      <c r="C100" s="131" t="s">
        <v>35</v>
      </c>
      <c r="D100" s="138">
        <v>76</v>
      </c>
      <c r="E100" s="132">
        <v>21240</v>
      </c>
      <c r="F100" s="14">
        <f t="shared" ref="F100:F103" si="87">ROUND(E100*D100,2)</f>
        <v>1614240</v>
      </c>
      <c r="G100" s="14">
        <f t="shared" ref="G100:G103" si="88">ROUND(F100*1.2,2)</f>
        <v>1937088</v>
      </c>
      <c r="H100" s="27"/>
      <c r="I100" s="16"/>
      <c r="J100" s="16"/>
      <c r="K100" s="13">
        <f t="shared" ref="K100:L104" si="89">F100+I100</f>
        <v>1614240</v>
      </c>
      <c r="L100" s="14">
        <f t="shared" si="89"/>
        <v>1937088</v>
      </c>
      <c r="M100" s="63" t="s">
        <v>174</v>
      </c>
    </row>
    <row r="101" spans="1:13" ht="21.75" customHeight="1" x14ac:dyDescent="0.25">
      <c r="A101" s="107" t="e">
        <f>A100+1</f>
        <v>#REF!</v>
      </c>
      <c r="B101" s="130" t="s">
        <v>169</v>
      </c>
      <c r="C101" s="131" t="s">
        <v>35</v>
      </c>
      <c r="D101" s="138">
        <v>152</v>
      </c>
      <c r="E101" s="132">
        <v>16840</v>
      </c>
      <c r="F101" s="14">
        <f t="shared" si="87"/>
        <v>2559680</v>
      </c>
      <c r="G101" s="14">
        <f t="shared" si="88"/>
        <v>3071616</v>
      </c>
      <c r="H101" s="27"/>
      <c r="I101" s="16"/>
      <c r="J101" s="16"/>
      <c r="K101" s="13">
        <f t="shared" si="89"/>
        <v>2559680</v>
      </c>
      <c r="L101" s="14">
        <f t="shared" si="89"/>
        <v>3071616</v>
      </c>
      <c r="M101" s="63" t="s">
        <v>174</v>
      </c>
    </row>
    <row r="102" spans="1:13" ht="21.75" customHeight="1" x14ac:dyDescent="0.25">
      <c r="A102" s="107" t="e">
        <f t="shared" ref="A102:A103" si="90">A101+1</f>
        <v>#REF!</v>
      </c>
      <c r="B102" s="136" t="s">
        <v>176</v>
      </c>
      <c r="C102" s="131" t="s">
        <v>35</v>
      </c>
      <c r="D102" s="138">
        <v>16</v>
      </c>
      <c r="E102" s="132"/>
      <c r="F102" s="14">
        <f t="shared" si="87"/>
        <v>0</v>
      </c>
      <c r="G102" s="14">
        <f t="shared" si="88"/>
        <v>0</v>
      </c>
      <c r="H102" s="27"/>
      <c r="I102" s="16"/>
      <c r="J102" s="16"/>
      <c r="K102" s="13">
        <f t="shared" si="89"/>
        <v>0</v>
      </c>
      <c r="L102" s="14">
        <f t="shared" si="89"/>
        <v>0</v>
      </c>
      <c r="M102" s="63"/>
    </row>
    <row r="103" spans="1:13" ht="21.75" customHeight="1" x14ac:dyDescent="0.25">
      <c r="A103" s="107" t="e">
        <f t="shared" si="90"/>
        <v>#REF!</v>
      </c>
      <c r="B103" s="136" t="s">
        <v>177</v>
      </c>
      <c r="C103" s="131" t="s">
        <v>35</v>
      </c>
      <c r="D103" s="138">
        <v>8</v>
      </c>
      <c r="E103" s="132"/>
      <c r="F103" s="14">
        <f t="shared" si="87"/>
        <v>0</v>
      </c>
      <c r="G103" s="14">
        <f t="shared" si="88"/>
        <v>0</v>
      </c>
      <c r="H103" s="27"/>
      <c r="I103" s="16"/>
      <c r="J103" s="16"/>
      <c r="K103" s="13">
        <f t="shared" si="89"/>
        <v>0</v>
      </c>
      <c r="L103" s="14">
        <f t="shared" si="89"/>
        <v>0</v>
      </c>
      <c r="M103" s="63"/>
    </row>
    <row r="104" spans="1:13" ht="24" customHeight="1" x14ac:dyDescent="0.25">
      <c r="A104" s="38" t="s">
        <v>178</v>
      </c>
      <c r="B104" s="137" t="s">
        <v>171</v>
      </c>
      <c r="C104" s="133" t="s">
        <v>172</v>
      </c>
      <c r="D104" s="139">
        <v>1</v>
      </c>
      <c r="E104" s="22"/>
      <c r="F104" s="22"/>
      <c r="G104" s="22"/>
      <c r="H104" s="135">
        <f>ROUND(4785220/1.2,2)</f>
        <v>3987683.33</v>
      </c>
      <c r="I104" s="22">
        <f t="shared" ref="I104" si="91">ROUND(H104*D104,2)</f>
        <v>3987683.33</v>
      </c>
      <c r="J104" s="22">
        <f t="shared" ref="J104" si="92">ROUND(I104*1.2,2)</f>
        <v>4785220</v>
      </c>
      <c r="K104" s="23">
        <f t="shared" si="89"/>
        <v>3987683.33</v>
      </c>
      <c r="L104" s="22">
        <f t="shared" si="89"/>
        <v>4785220</v>
      </c>
      <c r="M104" s="63" t="s">
        <v>328</v>
      </c>
    </row>
    <row r="105" spans="1:13" ht="23.25" customHeight="1" x14ac:dyDescent="0.25">
      <c r="A105" s="70"/>
      <c r="B105" s="81" t="s">
        <v>52</v>
      </c>
      <c r="C105" s="70"/>
      <c r="D105" s="82"/>
      <c r="E105" s="79"/>
      <c r="F105" s="74"/>
      <c r="G105" s="74"/>
      <c r="H105" s="75"/>
      <c r="I105" s="74"/>
      <c r="J105" s="74"/>
      <c r="K105" s="73"/>
      <c r="L105" s="76"/>
    </row>
    <row r="106" spans="1:13" ht="27.75" customHeight="1" x14ac:dyDescent="0.25">
      <c r="A106" s="36" t="e">
        <f>A103+1</f>
        <v>#REF!</v>
      </c>
      <c r="B106" s="35" t="s">
        <v>103</v>
      </c>
      <c r="C106" s="36" t="s">
        <v>13</v>
      </c>
      <c r="D106" s="99">
        <v>398.56</v>
      </c>
      <c r="E106" s="25">
        <v>419.9</v>
      </c>
      <c r="F106" s="30">
        <f t="shared" ref="F106" si="93">ROUND(E106*D106,2)</f>
        <v>167355.34</v>
      </c>
      <c r="G106" s="30">
        <f t="shared" ref="G106" si="94">ROUND(F106*1.2,2)</f>
        <v>200826.41</v>
      </c>
      <c r="H106" s="27"/>
      <c r="I106" s="30"/>
      <c r="J106" s="30"/>
      <c r="K106" s="31">
        <f t="shared" ref="K106:L113" si="95">F106+I106</f>
        <v>167355.34</v>
      </c>
      <c r="L106" s="32">
        <f t="shared" si="95"/>
        <v>200826.41</v>
      </c>
      <c r="M106" s="64"/>
    </row>
    <row r="107" spans="1:13" ht="18.75" customHeight="1" x14ac:dyDescent="0.25">
      <c r="A107" s="38" t="s">
        <v>180</v>
      </c>
      <c r="B107" s="68" t="s">
        <v>105</v>
      </c>
      <c r="C107" s="67" t="s">
        <v>13</v>
      </c>
      <c r="D107" s="140">
        <f>D106+1.1</f>
        <v>399.66</v>
      </c>
      <c r="E107" s="28"/>
      <c r="F107" s="22"/>
      <c r="G107" s="22"/>
      <c r="H107" s="65">
        <v>1262.44</v>
      </c>
      <c r="I107" s="22">
        <f>ROUND(H107*D107,2)</f>
        <v>504546.77</v>
      </c>
      <c r="J107" s="22">
        <f t="shared" ref="J107" si="96">ROUND(I107*1.2,2)</f>
        <v>605456.12</v>
      </c>
      <c r="K107" s="23">
        <f t="shared" si="95"/>
        <v>504546.77</v>
      </c>
      <c r="L107" s="24">
        <f t="shared" si="95"/>
        <v>605456.12</v>
      </c>
      <c r="M107" s="37" t="s">
        <v>106</v>
      </c>
    </row>
    <row r="108" spans="1:13" ht="29.25" customHeight="1" x14ac:dyDescent="0.25">
      <c r="A108" s="36" t="e">
        <f>A106+1</f>
        <v>#REF!</v>
      </c>
      <c r="B108" s="35" t="s">
        <v>104</v>
      </c>
      <c r="C108" s="36" t="s">
        <v>13</v>
      </c>
      <c r="D108" s="99">
        <v>99.92</v>
      </c>
      <c r="E108" s="69">
        <v>304.06</v>
      </c>
      <c r="F108" s="30">
        <f t="shared" ref="F108" si="97">ROUND(E108*D108,2)</f>
        <v>30381.68</v>
      </c>
      <c r="G108" s="30">
        <f t="shared" ref="G108" si="98">ROUND(F108*1.2,2)</f>
        <v>36458.019999999997</v>
      </c>
      <c r="H108" s="27"/>
      <c r="I108" s="30"/>
      <c r="J108" s="30"/>
      <c r="K108" s="31">
        <f t="shared" si="95"/>
        <v>30381.68</v>
      </c>
      <c r="L108" s="32">
        <f t="shared" si="95"/>
        <v>36458.019999999997</v>
      </c>
      <c r="M108" s="37" t="s">
        <v>106</v>
      </c>
    </row>
    <row r="109" spans="1:13" ht="18.75" customHeight="1" x14ac:dyDescent="0.25">
      <c r="A109" s="38" t="s">
        <v>97</v>
      </c>
      <c r="B109" s="68" t="s">
        <v>105</v>
      </c>
      <c r="C109" s="67" t="s">
        <v>13</v>
      </c>
      <c r="D109" s="140">
        <f>D108*1.1</f>
        <v>109.91200000000001</v>
      </c>
      <c r="E109" s="28"/>
      <c r="F109" s="22"/>
      <c r="G109" s="22"/>
      <c r="H109" s="65">
        <v>1262.44</v>
      </c>
      <c r="I109" s="22">
        <f>ROUND(H109*D109,2)</f>
        <v>138757.31</v>
      </c>
      <c r="J109" s="22">
        <f t="shared" ref="J109" si="99">ROUND(I109*1.2,2)</f>
        <v>166508.76999999999</v>
      </c>
      <c r="K109" s="23">
        <f t="shared" si="95"/>
        <v>138757.31</v>
      </c>
      <c r="L109" s="24">
        <f t="shared" si="95"/>
        <v>166508.76999999999</v>
      </c>
      <c r="M109" s="37" t="s">
        <v>106</v>
      </c>
    </row>
    <row r="110" spans="1:13" ht="18.75" customHeight="1" x14ac:dyDescent="0.25">
      <c r="A110" s="36" t="e">
        <f>A108+1</f>
        <v>#REF!</v>
      </c>
      <c r="B110" s="35" t="s">
        <v>53</v>
      </c>
      <c r="C110" s="36" t="s">
        <v>41</v>
      </c>
      <c r="D110" s="122">
        <v>2491</v>
      </c>
      <c r="E110" s="69">
        <v>118.81</v>
      </c>
      <c r="F110" s="30">
        <f t="shared" ref="F110" si="100">ROUND(E110*D110,2)</f>
        <v>295955.71000000002</v>
      </c>
      <c r="G110" s="30">
        <f t="shared" ref="G110" si="101">ROUND(F110*1.2,2)</f>
        <v>355146.85</v>
      </c>
      <c r="H110" s="27"/>
      <c r="I110" s="30"/>
      <c r="J110" s="30"/>
      <c r="K110" s="31">
        <f t="shared" si="95"/>
        <v>295955.71000000002</v>
      </c>
      <c r="L110" s="32">
        <f t="shared" si="95"/>
        <v>355146.85</v>
      </c>
      <c r="M110" s="37" t="s">
        <v>106</v>
      </c>
    </row>
    <row r="111" spans="1:13" ht="18.75" customHeight="1" x14ac:dyDescent="0.25">
      <c r="A111" s="38" t="s">
        <v>98</v>
      </c>
      <c r="B111" s="68" t="s">
        <v>54</v>
      </c>
      <c r="C111" s="67" t="s">
        <v>58</v>
      </c>
      <c r="D111" s="141">
        <v>16.5</v>
      </c>
      <c r="E111" s="28"/>
      <c r="F111" s="22"/>
      <c r="G111" s="22"/>
      <c r="H111" s="39">
        <v>461.7</v>
      </c>
      <c r="I111" s="22">
        <f>ROUND(H111*D111,2)</f>
        <v>7618.05</v>
      </c>
      <c r="J111" s="22">
        <f t="shared" ref="J111:J113" si="102">ROUND(I111*1.2,2)</f>
        <v>9141.66</v>
      </c>
      <c r="K111" s="23">
        <f t="shared" si="95"/>
        <v>7618.05</v>
      </c>
      <c r="L111" s="24">
        <f t="shared" si="95"/>
        <v>9141.66</v>
      </c>
      <c r="M111" s="64"/>
    </row>
    <row r="112" spans="1:13" ht="18.75" customHeight="1" x14ac:dyDescent="0.25">
      <c r="A112" s="38" t="s">
        <v>181</v>
      </c>
      <c r="B112" s="68" t="s">
        <v>55</v>
      </c>
      <c r="C112" s="67" t="s">
        <v>58</v>
      </c>
      <c r="D112" s="141">
        <v>16.5</v>
      </c>
      <c r="E112" s="28"/>
      <c r="F112" s="22"/>
      <c r="G112" s="22"/>
      <c r="H112" s="39">
        <v>615.6</v>
      </c>
      <c r="I112" s="22">
        <f>ROUND(H112*D112,2)</f>
        <v>10157.4</v>
      </c>
      <c r="J112" s="22">
        <f t="shared" si="102"/>
        <v>12188.88</v>
      </c>
      <c r="K112" s="23">
        <f t="shared" si="95"/>
        <v>10157.4</v>
      </c>
      <c r="L112" s="24">
        <f t="shared" si="95"/>
        <v>12188.88</v>
      </c>
      <c r="M112" s="64"/>
    </row>
    <row r="113" spans="1:13" ht="18.75" customHeight="1" x14ac:dyDescent="0.25">
      <c r="A113" s="38" t="s">
        <v>182</v>
      </c>
      <c r="B113" s="68" t="s">
        <v>56</v>
      </c>
      <c r="C113" s="67" t="s">
        <v>58</v>
      </c>
      <c r="D113" s="141">
        <v>16.5</v>
      </c>
      <c r="E113" s="28"/>
      <c r="F113" s="22"/>
      <c r="G113" s="22"/>
      <c r="H113" s="39">
        <v>1201.75</v>
      </c>
      <c r="I113" s="22">
        <f>ROUND(H113*D113,2)</f>
        <v>19828.88</v>
      </c>
      <c r="J113" s="22">
        <f t="shared" si="102"/>
        <v>23794.66</v>
      </c>
      <c r="K113" s="23">
        <f t="shared" si="95"/>
        <v>19828.88</v>
      </c>
      <c r="L113" s="24">
        <f t="shared" si="95"/>
        <v>23794.66</v>
      </c>
      <c r="M113" s="64"/>
    </row>
    <row r="114" spans="1:13" ht="18" customHeight="1" x14ac:dyDescent="0.25">
      <c r="A114" s="70"/>
      <c r="B114" s="81" t="s">
        <v>57</v>
      </c>
      <c r="C114" s="70"/>
      <c r="D114" s="82"/>
      <c r="E114" s="79"/>
      <c r="F114" s="74"/>
      <c r="G114" s="74"/>
      <c r="H114" s="75"/>
      <c r="I114" s="74"/>
      <c r="J114" s="74"/>
      <c r="K114" s="73"/>
      <c r="L114" s="76"/>
    </row>
    <row r="115" spans="1:13" ht="18.75" customHeight="1" x14ac:dyDescent="0.25">
      <c r="A115" s="36" t="e">
        <f>A110+1</f>
        <v>#REF!</v>
      </c>
      <c r="B115" s="35" t="s">
        <v>107</v>
      </c>
      <c r="C115" s="36" t="s">
        <v>41</v>
      </c>
      <c r="D115" s="104">
        <v>294</v>
      </c>
      <c r="E115" s="69">
        <f>308.75+188.1</f>
        <v>496.85</v>
      </c>
      <c r="F115" s="30">
        <f t="shared" ref="F115:F116" si="103">ROUND(E115*D115,2)</f>
        <v>146073.9</v>
      </c>
      <c r="G115" s="30">
        <f t="shared" ref="G115:G116" si="104">ROUND(F115*1.2,2)</f>
        <v>175288.68</v>
      </c>
      <c r="H115" s="27"/>
      <c r="I115" s="30"/>
      <c r="J115" s="30"/>
      <c r="K115" s="31">
        <f t="shared" ref="K115:L116" si="105">F115+I115</f>
        <v>146073.9</v>
      </c>
      <c r="L115" s="32">
        <f t="shared" si="105"/>
        <v>175288.68</v>
      </c>
      <c r="M115" s="64"/>
    </row>
    <row r="116" spans="1:13" ht="18.75" customHeight="1" x14ac:dyDescent="0.25">
      <c r="A116" s="36" t="e">
        <f>A115+1</f>
        <v>#REF!</v>
      </c>
      <c r="B116" s="35" t="s">
        <v>108</v>
      </c>
      <c r="C116" s="36" t="s">
        <v>41</v>
      </c>
      <c r="D116" s="122">
        <v>294</v>
      </c>
      <c r="E116" s="69">
        <f>157.6</f>
        <v>157.6</v>
      </c>
      <c r="F116" s="30">
        <f t="shared" si="103"/>
        <v>46334.400000000001</v>
      </c>
      <c r="G116" s="30">
        <f t="shared" si="104"/>
        <v>55601.279999999999</v>
      </c>
      <c r="H116" s="27"/>
      <c r="I116" s="30"/>
      <c r="J116" s="30"/>
      <c r="K116" s="31">
        <f t="shared" si="105"/>
        <v>46334.400000000001</v>
      </c>
      <c r="L116" s="32">
        <f t="shared" si="105"/>
        <v>55601.279999999999</v>
      </c>
    </row>
    <row r="117" spans="1:13" ht="18.75" customHeight="1" x14ac:dyDescent="0.25">
      <c r="A117" s="67" t="s">
        <v>99</v>
      </c>
      <c r="B117" s="83" t="s">
        <v>183</v>
      </c>
      <c r="C117" s="67" t="s">
        <v>41</v>
      </c>
      <c r="D117" s="140">
        <f>D116*1.1</f>
        <v>323.40000000000003</v>
      </c>
      <c r="E117" s="28"/>
      <c r="F117" s="22"/>
      <c r="G117" s="22"/>
      <c r="H117" s="21"/>
      <c r="I117" s="22">
        <f>ROUND(H117*D117,2)</f>
        <v>0</v>
      </c>
      <c r="J117" s="22">
        <f t="shared" ref="J117:J118" si="106">ROUND(I117*1.2,2)</f>
        <v>0</v>
      </c>
      <c r="K117" s="23">
        <f>F117+I117</f>
        <v>0</v>
      </c>
      <c r="L117" s="24">
        <f>G117+J117</f>
        <v>0</v>
      </c>
    </row>
    <row r="118" spans="1:13" ht="18.75" customHeight="1" x14ac:dyDescent="0.25">
      <c r="A118" s="67" t="s">
        <v>185</v>
      </c>
      <c r="B118" s="83" t="s">
        <v>184</v>
      </c>
      <c r="C118" s="67" t="s">
        <v>35</v>
      </c>
      <c r="D118" s="140">
        <v>675</v>
      </c>
      <c r="E118" s="28"/>
      <c r="F118" s="22"/>
      <c r="G118" s="22"/>
      <c r="H118" s="39"/>
      <c r="I118" s="22">
        <f>ROUND(H118*D118,2)</f>
        <v>0</v>
      </c>
      <c r="J118" s="22">
        <f t="shared" si="106"/>
        <v>0</v>
      </c>
      <c r="K118" s="23">
        <f t="shared" ref="K118:L120" si="107">F118+I118</f>
        <v>0</v>
      </c>
      <c r="L118" s="24">
        <f t="shared" si="107"/>
        <v>0</v>
      </c>
    </row>
    <row r="119" spans="1:13" ht="18.75" customHeight="1" x14ac:dyDescent="0.25">
      <c r="A119" s="36" t="e">
        <f>A116+1</f>
        <v>#REF!</v>
      </c>
      <c r="B119" s="35" t="s">
        <v>109</v>
      </c>
      <c r="C119" s="36" t="s">
        <v>41</v>
      </c>
      <c r="D119" s="122">
        <v>294</v>
      </c>
      <c r="E119" s="25">
        <v>1178</v>
      </c>
      <c r="F119" s="30">
        <f t="shared" ref="F119" si="108">ROUND(E119*D119,2)</f>
        <v>346332</v>
      </c>
      <c r="G119" s="30">
        <f t="shared" ref="G119" si="109">ROUND(F119*1.2,2)</f>
        <v>415598.4</v>
      </c>
      <c r="H119" s="27"/>
      <c r="I119" s="30"/>
      <c r="J119" s="30"/>
      <c r="K119" s="31">
        <f t="shared" si="107"/>
        <v>346332</v>
      </c>
      <c r="L119" s="32">
        <f t="shared" si="107"/>
        <v>415598.4</v>
      </c>
    </row>
    <row r="120" spans="1:13" ht="18.75" customHeight="1" x14ac:dyDescent="0.25">
      <c r="A120" s="67" t="s">
        <v>100</v>
      </c>
      <c r="B120" s="68" t="s">
        <v>66</v>
      </c>
      <c r="C120" s="67" t="s">
        <v>13</v>
      </c>
      <c r="D120" s="140">
        <f>D119*0.1*1.26</f>
        <v>37.044000000000004</v>
      </c>
      <c r="E120" s="28"/>
      <c r="F120" s="22"/>
      <c r="G120" s="22"/>
      <c r="H120" s="39">
        <f>2827.078</f>
        <v>2827.078</v>
      </c>
      <c r="I120" s="22">
        <f>ROUND(H120*D120,2)</f>
        <v>104726.28</v>
      </c>
      <c r="J120" s="22">
        <f t="shared" ref="J120" si="110">ROUND(I120*1.2,2)</f>
        <v>125671.54</v>
      </c>
      <c r="K120" s="23">
        <f t="shared" si="107"/>
        <v>104726.28</v>
      </c>
      <c r="L120" s="24">
        <f t="shared" si="107"/>
        <v>125671.54</v>
      </c>
    </row>
    <row r="121" spans="1:13" ht="18.75" customHeight="1" x14ac:dyDescent="0.25">
      <c r="A121" s="70"/>
      <c r="B121" s="81" t="s">
        <v>59</v>
      </c>
      <c r="C121" s="70"/>
      <c r="D121" s="144"/>
      <c r="E121" s="79"/>
      <c r="F121" s="74"/>
      <c r="G121" s="74"/>
      <c r="H121" s="75"/>
      <c r="I121" s="74"/>
      <c r="J121" s="74"/>
      <c r="K121" s="73"/>
      <c r="L121" s="76"/>
    </row>
    <row r="122" spans="1:13" ht="18.75" customHeight="1" x14ac:dyDescent="0.25">
      <c r="A122" s="36" t="e">
        <f>A119+1</f>
        <v>#REF!</v>
      </c>
      <c r="B122" s="35" t="s">
        <v>60</v>
      </c>
      <c r="C122" s="36" t="s">
        <v>13</v>
      </c>
      <c r="D122" s="122">
        <v>29.4</v>
      </c>
      <c r="E122" s="25">
        <v>1777</v>
      </c>
      <c r="F122" s="30">
        <f t="shared" ref="F122" si="111">ROUND(E122*D122,2)</f>
        <v>52243.8</v>
      </c>
      <c r="G122" s="30">
        <f t="shared" ref="G122" si="112">ROUND(F122*1.2,2)</f>
        <v>62692.56</v>
      </c>
      <c r="H122" s="27"/>
      <c r="I122" s="30"/>
      <c r="J122" s="30"/>
      <c r="K122" s="31">
        <f t="shared" ref="K122:L122" si="113">F122+I122</f>
        <v>52243.8</v>
      </c>
      <c r="L122" s="32">
        <f t="shared" si="113"/>
        <v>62692.56</v>
      </c>
    </row>
    <row r="123" spans="1:13" ht="26.25" customHeight="1" x14ac:dyDescent="0.25">
      <c r="A123" s="70"/>
      <c r="B123" s="81" t="s">
        <v>61</v>
      </c>
      <c r="C123" s="70"/>
      <c r="D123" s="82"/>
      <c r="E123" s="79"/>
      <c r="F123" s="74"/>
      <c r="G123" s="74"/>
      <c r="H123" s="75"/>
      <c r="I123" s="74"/>
      <c r="J123" s="74"/>
      <c r="K123" s="73"/>
      <c r="L123" s="76"/>
    </row>
    <row r="124" spans="1:13" ht="18.75" customHeight="1" x14ac:dyDescent="0.25">
      <c r="A124" s="36" t="e">
        <f>A122+1</f>
        <v>#REF!</v>
      </c>
      <c r="B124" s="35" t="s">
        <v>83</v>
      </c>
      <c r="C124" s="36" t="s">
        <v>15</v>
      </c>
      <c r="D124" s="104">
        <f>2.5*4</f>
        <v>10</v>
      </c>
      <c r="E124" s="25">
        <v>2455</v>
      </c>
      <c r="F124" s="30">
        <f t="shared" ref="F124" si="114">ROUND(E124*D124,2)</f>
        <v>24550</v>
      </c>
      <c r="G124" s="30">
        <f t="shared" ref="G124" si="115">ROUND(F124*1.2,2)</f>
        <v>29460</v>
      </c>
      <c r="H124" s="27"/>
      <c r="I124" s="30"/>
      <c r="J124" s="30"/>
      <c r="K124" s="31">
        <f t="shared" ref="K124:L130" si="116">F124+I124</f>
        <v>24550</v>
      </c>
      <c r="L124" s="32">
        <f t="shared" si="116"/>
        <v>29460</v>
      </c>
    </row>
    <row r="125" spans="1:13" ht="18.75" customHeight="1" x14ac:dyDescent="0.25">
      <c r="A125" s="67" t="s">
        <v>186</v>
      </c>
      <c r="B125" s="68" t="s">
        <v>62</v>
      </c>
      <c r="C125" s="67" t="s">
        <v>35</v>
      </c>
      <c r="D125" s="100">
        <v>3</v>
      </c>
      <c r="E125" s="28"/>
      <c r="F125" s="22"/>
      <c r="G125" s="22"/>
      <c r="H125" s="28">
        <v>4006</v>
      </c>
      <c r="I125" s="22">
        <f>ROUND(H125*D125,2)</f>
        <v>12018</v>
      </c>
      <c r="J125" s="22">
        <f t="shared" ref="J125:J126" si="117">ROUND(I125*1.2,2)</f>
        <v>14421.6</v>
      </c>
      <c r="K125" s="23">
        <f t="shared" si="116"/>
        <v>12018</v>
      </c>
      <c r="L125" s="24">
        <f t="shared" si="116"/>
        <v>14421.6</v>
      </c>
    </row>
    <row r="126" spans="1:13" ht="18.75" customHeight="1" x14ac:dyDescent="0.25">
      <c r="A126" s="67" t="s">
        <v>187</v>
      </c>
      <c r="B126" s="68" t="s">
        <v>63</v>
      </c>
      <c r="C126" s="67" t="s">
        <v>35</v>
      </c>
      <c r="D126" s="100">
        <v>4</v>
      </c>
      <c r="E126" s="28"/>
      <c r="F126" s="22"/>
      <c r="G126" s="22"/>
      <c r="H126" s="28">
        <v>12650</v>
      </c>
      <c r="I126" s="22">
        <f>ROUND(H126*D126,2)</f>
        <v>50600</v>
      </c>
      <c r="J126" s="22">
        <f t="shared" si="117"/>
        <v>60720</v>
      </c>
      <c r="K126" s="23">
        <f t="shared" si="116"/>
        <v>50600</v>
      </c>
      <c r="L126" s="24">
        <f t="shared" si="116"/>
        <v>60720</v>
      </c>
    </row>
    <row r="127" spans="1:13" ht="26.25" customHeight="1" x14ac:dyDescent="0.25">
      <c r="A127" s="36" t="e">
        <f>A124+1</f>
        <v>#REF!</v>
      </c>
      <c r="B127" s="35" t="s">
        <v>65</v>
      </c>
      <c r="C127" s="36" t="s">
        <v>13</v>
      </c>
      <c r="D127" s="122">
        <v>3.3</v>
      </c>
      <c r="E127" s="25">
        <v>1240</v>
      </c>
      <c r="F127" s="30">
        <f t="shared" ref="F127" si="118">ROUND(E127*D127,2)</f>
        <v>4092</v>
      </c>
      <c r="G127" s="30">
        <f t="shared" ref="G127" si="119">ROUND(F127*1.2,2)</f>
        <v>4910.3999999999996</v>
      </c>
      <c r="H127" s="27"/>
      <c r="I127" s="30"/>
      <c r="J127" s="30"/>
      <c r="K127" s="31">
        <f t="shared" si="116"/>
        <v>4092</v>
      </c>
      <c r="L127" s="32">
        <f t="shared" si="116"/>
        <v>4910.3999999999996</v>
      </c>
    </row>
    <row r="128" spans="1:13" ht="18" customHeight="1" x14ac:dyDescent="0.25">
      <c r="A128" s="67" t="s">
        <v>188</v>
      </c>
      <c r="B128" s="68" t="s">
        <v>66</v>
      </c>
      <c r="C128" s="67" t="s">
        <v>13</v>
      </c>
      <c r="D128" s="140">
        <f>D127*1.26</f>
        <v>4.1579999999999995</v>
      </c>
      <c r="E128" s="28"/>
      <c r="F128" s="22"/>
      <c r="G128" s="22"/>
      <c r="H128" s="39">
        <v>2827.078</v>
      </c>
      <c r="I128" s="22">
        <f>ROUND(H128*D128,2)</f>
        <v>11754.99</v>
      </c>
      <c r="J128" s="22">
        <f t="shared" ref="J128" si="120">ROUND(I128*1.2,2)</f>
        <v>14105.99</v>
      </c>
      <c r="K128" s="23">
        <f t="shared" si="116"/>
        <v>11754.99</v>
      </c>
      <c r="L128" s="24">
        <f t="shared" si="116"/>
        <v>14105.99</v>
      </c>
    </row>
    <row r="129" spans="1:13" ht="20.25" customHeight="1" x14ac:dyDescent="0.25">
      <c r="A129" s="36" t="e">
        <f>A127+1</f>
        <v>#REF!</v>
      </c>
      <c r="B129" s="35" t="s">
        <v>67</v>
      </c>
      <c r="C129" s="36" t="s">
        <v>13</v>
      </c>
      <c r="D129" s="143">
        <v>0.75900000000000001</v>
      </c>
      <c r="E129" s="25">
        <v>4844.8</v>
      </c>
      <c r="F129" s="30">
        <f t="shared" ref="F129:F130" si="121">ROUND(E129*D129,2)</f>
        <v>3677.2</v>
      </c>
      <c r="G129" s="30">
        <f t="shared" ref="G129:G130" si="122">ROUND(F129*1.2,2)</f>
        <v>4412.6400000000003</v>
      </c>
      <c r="H129" s="27"/>
      <c r="I129" s="30"/>
      <c r="J129" s="30"/>
      <c r="K129" s="31">
        <f t="shared" si="116"/>
        <v>3677.2</v>
      </c>
      <c r="L129" s="32">
        <f t="shared" si="116"/>
        <v>4412.6400000000003</v>
      </c>
    </row>
    <row r="130" spans="1:13" ht="18" customHeight="1" x14ac:dyDescent="0.25">
      <c r="A130" s="36" t="e">
        <f>A129+1</f>
        <v>#REF!</v>
      </c>
      <c r="B130" s="35" t="s">
        <v>189</v>
      </c>
      <c r="C130" s="36" t="s">
        <v>15</v>
      </c>
      <c r="D130" s="104">
        <f>2.5*4</f>
        <v>10</v>
      </c>
      <c r="E130" s="25">
        <f>2455*0.8</f>
        <v>1964</v>
      </c>
      <c r="F130" s="30">
        <f t="shared" si="121"/>
        <v>19640</v>
      </c>
      <c r="G130" s="30">
        <f t="shared" si="122"/>
        <v>23568</v>
      </c>
      <c r="H130" s="27"/>
      <c r="I130" s="30"/>
      <c r="J130" s="30"/>
      <c r="K130" s="31">
        <f t="shared" si="116"/>
        <v>19640</v>
      </c>
      <c r="L130" s="32">
        <f t="shared" si="116"/>
        <v>23568</v>
      </c>
    </row>
    <row r="131" spans="1:13" ht="18" customHeight="1" x14ac:dyDescent="0.25">
      <c r="A131" s="36"/>
      <c r="B131" s="145" t="s">
        <v>164</v>
      </c>
      <c r="C131" s="36"/>
      <c r="D131" s="142"/>
      <c r="E131" s="25"/>
      <c r="F131" s="30"/>
      <c r="G131" s="30"/>
      <c r="H131" s="27"/>
      <c r="I131" s="30"/>
      <c r="J131" s="30"/>
      <c r="K131" s="31"/>
      <c r="L131" s="32"/>
    </row>
    <row r="132" spans="1:13" ht="18" customHeight="1" x14ac:dyDescent="0.25">
      <c r="A132" s="36" t="e">
        <f>A130+1</f>
        <v>#REF!</v>
      </c>
      <c r="B132" s="35" t="s">
        <v>165</v>
      </c>
      <c r="C132" s="36" t="s">
        <v>17</v>
      </c>
      <c r="D132" s="146">
        <v>3.0230000000000001</v>
      </c>
      <c r="E132" s="25">
        <v>544.86</v>
      </c>
      <c r="F132" s="30">
        <f t="shared" ref="F132:F133" si="123">ROUND(E132*D132,2)</f>
        <v>1647.11</v>
      </c>
      <c r="G132" s="30">
        <f t="shared" ref="G132:G133" si="124">ROUND(F132*1.2,2)</f>
        <v>1976.53</v>
      </c>
      <c r="H132" s="27"/>
      <c r="I132" s="30"/>
      <c r="J132" s="30"/>
      <c r="K132" s="31">
        <f t="shared" ref="K132:L133" si="125">F132+I132</f>
        <v>1647.11</v>
      </c>
      <c r="L132" s="32">
        <f t="shared" si="125"/>
        <v>1976.53</v>
      </c>
    </row>
    <row r="133" spans="1:13" ht="18" customHeight="1" x14ac:dyDescent="0.25">
      <c r="A133" s="36" t="e">
        <f>A132+1</f>
        <v>#REF!</v>
      </c>
      <c r="B133" s="35" t="s">
        <v>166</v>
      </c>
      <c r="C133" s="36" t="s">
        <v>17</v>
      </c>
      <c r="D133" s="31">
        <v>51.45</v>
      </c>
      <c r="E133" s="25">
        <v>544.86</v>
      </c>
      <c r="F133" s="30">
        <f t="shared" si="123"/>
        <v>28033.05</v>
      </c>
      <c r="G133" s="30">
        <f t="shared" si="124"/>
        <v>33639.660000000003</v>
      </c>
      <c r="H133" s="27"/>
      <c r="I133" s="30"/>
      <c r="J133" s="30"/>
      <c r="K133" s="31">
        <f t="shared" si="125"/>
        <v>28033.05</v>
      </c>
      <c r="L133" s="32">
        <f t="shared" si="125"/>
        <v>33639.660000000003</v>
      </c>
    </row>
    <row r="134" spans="1:13" ht="31.5" customHeight="1" x14ac:dyDescent="0.25">
      <c r="A134" s="70"/>
      <c r="B134" s="81" t="s">
        <v>190</v>
      </c>
      <c r="C134" s="70"/>
      <c r="D134" s="82"/>
      <c r="E134" s="79"/>
      <c r="F134" s="74"/>
      <c r="G134" s="74"/>
      <c r="H134" s="75"/>
      <c r="I134" s="74"/>
      <c r="J134" s="74"/>
      <c r="K134" s="73"/>
      <c r="L134" s="76"/>
    </row>
    <row r="135" spans="1:13" ht="21.75" customHeight="1" x14ac:dyDescent="0.25">
      <c r="A135" s="36" t="e">
        <f>A133+1</f>
        <v>#REF!</v>
      </c>
      <c r="B135" s="35" t="s">
        <v>191</v>
      </c>
      <c r="C135" s="36" t="s">
        <v>41</v>
      </c>
      <c r="D135" s="31">
        <v>18.27</v>
      </c>
      <c r="E135" s="69">
        <v>2101.14</v>
      </c>
      <c r="F135" s="30">
        <f t="shared" ref="F135" si="126">ROUND(E135*D135,2)</f>
        <v>38387.83</v>
      </c>
      <c r="G135" s="30">
        <f t="shared" ref="G135" si="127">ROUND(F135*1.2,2)</f>
        <v>46065.4</v>
      </c>
      <c r="H135" s="27"/>
      <c r="I135" s="30"/>
      <c r="J135" s="30"/>
      <c r="K135" s="31">
        <f t="shared" ref="K135:L136" si="128">F135+I135</f>
        <v>38387.83</v>
      </c>
      <c r="L135" s="32">
        <f t="shared" si="128"/>
        <v>46065.4</v>
      </c>
      <c r="M135" s="37" t="s">
        <v>106</v>
      </c>
    </row>
    <row r="136" spans="1:13" ht="18" customHeight="1" x14ac:dyDescent="0.25">
      <c r="A136" s="67" t="s">
        <v>193</v>
      </c>
      <c r="B136" s="83" t="s">
        <v>192</v>
      </c>
      <c r="C136" s="67" t="s">
        <v>41</v>
      </c>
      <c r="D136" s="140">
        <v>18.27</v>
      </c>
      <c r="E136" s="28"/>
      <c r="F136" s="22"/>
      <c r="G136" s="22"/>
      <c r="H136" s="65">
        <f>1133.33/1.2</f>
        <v>944.44166666666661</v>
      </c>
      <c r="I136" s="22">
        <f>ROUND(H136*D136,2)</f>
        <v>17254.95</v>
      </c>
      <c r="J136" s="22">
        <f t="shared" ref="J136" si="129">ROUND(I136*1.2,2)</f>
        <v>20705.939999999999</v>
      </c>
      <c r="K136" s="23">
        <f t="shared" si="128"/>
        <v>17254.95</v>
      </c>
      <c r="L136" s="24">
        <f t="shared" si="128"/>
        <v>20705.939999999999</v>
      </c>
      <c r="M136" s="63" t="s">
        <v>312</v>
      </c>
    </row>
    <row r="137" spans="1:13" ht="27.75" customHeight="1" x14ac:dyDescent="0.25">
      <c r="A137" s="70"/>
      <c r="B137" s="81" t="s">
        <v>194</v>
      </c>
      <c r="C137" s="70"/>
      <c r="D137" s="82"/>
      <c r="E137" s="79"/>
      <c r="F137" s="74"/>
      <c r="G137" s="74"/>
      <c r="H137" s="75"/>
      <c r="I137" s="74"/>
      <c r="J137" s="74"/>
      <c r="K137" s="73"/>
      <c r="L137" s="76"/>
    </row>
    <row r="138" spans="1:13" ht="21.75" customHeight="1" x14ac:dyDescent="0.25">
      <c r="A138" s="156"/>
      <c r="B138" s="157" t="s">
        <v>198</v>
      </c>
      <c r="C138" s="158"/>
      <c r="D138" s="159"/>
      <c r="E138" s="160"/>
      <c r="F138" s="161"/>
      <c r="G138" s="161"/>
      <c r="H138" s="162"/>
      <c r="I138" s="161"/>
      <c r="J138" s="161"/>
      <c r="K138" s="160"/>
      <c r="L138" s="163"/>
    </row>
    <row r="139" spans="1:13" ht="21.75" customHeight="1" x14ac:dyDescent="0.25">
      <c r="A139" s="11"/>
      <c r="B139" s="129" t="s">
        <v>223</v>
      </c>
      <c r="C139" s="88"/>
      <c r="D139" s="109"/>
      <c r="E139" s="18"/>
      <c r="F139" s="16"/>
      <c r="G139" s="16"/>
      <c r="H139" s="147"/>
      <c r="I139" s="16"/>
      <c r="J139" s="16"/>
      <c r="K139" s="18"/>
      <c r="L139" s="91"/>
      <c r="M139" s="66"/>
    </row>
    <row r="140" spans="1:13" ht="28.5" customHeight="1" x14ac:dyDescent="0.25">
      <c r="A140" s="88" t="e">
        <f>A135+1</f>
        <v>#REF!</v>
      </c>
      <c r="B140" s="120" t="s">
        <v>196</v>
      </c>
      <c r="C140" s="121" t="s">
        <v>13</v>
      </c>
      <c r="D140" s="149">
        <v>0.27</v>
      </c>
      <c r="E140" s="655">
        <f>14540/0.84*0.27</f>
        <v>4673.5714285714284</v>
      </c>
      <c r="F140" s="655">
        <f>ROUND(E140*1,2)</f>
        <v>4673.57</v>
      </c>
      <c r="G140" s="655">
        <f t="shared" ref="G140" si="130">ROUND(F140*1.2,2)</f>
        <v>5608.28</v>
      </c>
      <c r="H140" s="655"/>
      <c r="I140" s="655"/>
      <c r="J140" s="655"/>
      <c r="K140" s="655">
        <f t="shared" ref="K140:L140" si="131">F140+I140</f>
        <v>4673.57</v>
      </c>
      <c r="L140" s="655">
        <f t="shared" si="131"/>
        <v>5608.28</v>
      </c>
      <c r="M140" s="66"/>
    </row>
    <row r="141" spans="1:13" ht="19.5" customHeight="1" x14ac:dyDescent="0.25">
      <c r="A141" s="113" t="s">
        <v>197</v>
      </c>
      <c r="B141" s="120" t="s">
        <v>195</v>
      </c>
      <c r="C141" s="121" t="s">
        <v>35</v>
      </c>
      <c r="D141" s="89">
        <v>1</v>
      </c>
      <c r="E141" s="657"/>
      <c r="F141" s="657"/>
      <c r="G141" s="657"/>
      <c r="H141" s="657"/>
      <c r="I141" s="657"/>
      <c r="J141" s="657"/>
      <c r="K141" s="657"/>
      <c r="L141" s="657"/>
      <c r="M141" s="148"/>
    </row>
    <row r="142" spans="1:13" ht="18" customHeight="1" x14ac:dyDescent="0.25">
      <c r="A142" s="36"/>
      <c r="B142" s="129" t="s">
        <v>224</v>
      </c>
      <c r="C142" s="36"/>
      <c r="D142" s="142"/>
      <c r="E142" s="25"/>
      <c r="F142" s="30"/>
      <c r="G142" s="30"/>
      <c r="H142" s="27"/>
      <c r="I142" s="30"/>
      <c r="J142" s="30"/>
      <c r="K142" s="31"/>
      <c r="L142" s="32"/>
    </row>
    <row r="143" spans="1:13" ht="30.75" customHeight="1" x14ac:dyDescent="0.25">
      <c r="A143" s="88" t="e">
        <f>A140+1</f>
        <v>#REF!</v>
      </c>
      <c r="B143" s="120" t="s">
        <v>199</v>
      </c>
      <c r="C143" s="88" t="s">
        <v>13</v>
      </c>
      <c r="D143" s="109">
        <f>0.27+0.1</f>
        <v>0.37</v>
      </c>
      <c r="E143" s="25">
        <v>17265.68</v>
      </c>
      <c r="F143" s="16">
        <f t="shared" ref="F143" si="132">ROUND(E143*D143,2)</f>
        <v>6388.3</v>
      </c>
      <c r="G143" s="16">
        <f t="shared" ref="G143" si="133">ROUND(F143*1.2,2)</f>
        <v>7665.96</v>
      </c>
      <c r="H143" s="147"/>
      <c r="I143" s="16"/>
      <c r="J143" s="16"/>
      <c r="K143" s="18">
        <f t="shared" ref="K143:L146" si="134">F143+I143</f>
        <v>6388.3</v>
      </c>
      <c r="L143" s="91">
        <f t="shared" si="134"/>
        <v>7665.96</v>
      </c>
      <c r="M143" s="112"/>
    </row>
    <row r="144" spans="1:13" ht="18.75" customHeight="1" x14ac:dyDescent="0.25">
      <c r="A144" s="113" t="s">
        <v>207</v>
      </c>
      <c r="B144" s="154" t="s">
        <v>202</v>
      </c>
      <c r="C144" s="114" t="s">
        <v>35</v>
      </c>
      <c r="D144" s="151">
        <v>1</v>
      </c>
      <c r="E144" s="28"/>
      <c r="F144" s="22"/>
      <c r="G144" s="22"/>
      <c r="H144" s="152">
        <v>7056</v>
      </c>
      <c r="I144" s="22">
        <f t="shared" ref="I144:I146" si="135">ROUND(H144*D144,2)</f>
        <v>7056</v>
      </c>
      <c r="J144" s="22">
        <f t="shared" ref="J144:J146" si="136">ROUND(I144*1.2,2)</f>
        <v>8467.2000000000007</v>
      </c>
      <c r="K144" s="23">
        <f t="shared" si="134"/>
        <v>7056</v>
      </c>
      <c r="L144" s="22">
        <f t="shared" si="134"/>
        <v>8467.2000000000007</v>
      </c>
      <c r="M144" s="37" t="s">
        <v>210</v>
      </c>
    </row>
    <row r="145" spans="1:13" ht="18.75" customHeight="1" x14ac:dyDescent="0.25">
      <c r="A145" s="113" t="s">
        <v>208</v>
      </c>
      <c r="B145" s="150" t="s">
        <v>206</v>
      </c>
      <c r="C145" s="114" t="s">
        <v>35</v>
      </c>
      <c r="D145" s="151">
        <v>1</v>
      </c>
      <c r="E145" s="28"/>
      <c r="F145" s="22"/>
      <c r="G145" s="22"/>
      <c r="H145" s="152">
        <v>3136</v>
      </c>
      <c r="I145" s="22">
        <f t="shared" si="135"/>
        <v>3136</v>
      </c>
      <c r="J145" s="22">
        <f t="shared" si="136"/>
        <v>3763.2</v>
      </c>
      <c r="K145" s="23">
        <f t="shared" si="134"/>
        <v>3136</v>
      </c>
      <c r="L145" s="22">
        <f t="shared" si="134"/>
        <v>3763.2</v>
      </c>
      <c r="M145" s="37"/>
    </row>
    <row r="146" spans="1:13" ht="18.75" customHeight="1" x14ac:dyDescent="0.25">
      <c r="A146" s="113" t="s">
        <v>209</v>
      </c>
      <c r="B146" s="154" t="s">
        <v>216</v>
      </c>
      <c r="C146" s="114" t="s">
        <v>35</v>
      </c>
      <c r="D146" s="151">
        <v>1</v>
      </c>
      <c r="E146" s="28"/>
      <c r="F146" s="22"/>
      <c r="G146" s="22"/>
      <c r="H146" s="152">
        <v>14421</v>
      </c>
      <c r="I146" s="22">
        <f t="shared" si="135"/>
        <v>14421</v>
      </c>
      <c r="J146" s="22">
        <f t="shared" si="136"/>
        <v>17305.2</v>
      </c>
      <c r="K146" s="23">
        <f t="shared" si="134"/>
        <v>14421</v>
      </c>
      <c r="L146" s="22">
        <f t="shared" si="134"/>
        <v>17305.2</v>
      </c>
      <c r="M146" s="37" t="s">
        <v>210</v>
      </c>
    </row>
    <row r="147" spans="1:13" ht="21.75" customHeight="1" x14ac:dyDescent="0.25">
      <c r="A147" s="156"/>
      <c r="B147" s="157" t="s">
        <v>211</v>
      </c>
      <c r="C147" s="158"/>
      <c r="D147" s="159"/>
      <c r="E147" s="160"/>
      <c r="F147" s="161"/>
      <c r="G147" s="161"/>
      <c r="H147" s="162"/>
      <c r="I147" s="161"/>
      <c r="J147" s="161"/>
      <c r="K147" s="160"/>
      <c r="L147" s="163"/>
    </row>
    <row r="148" spans="1:13" ht="21.75" customHeight="1" x14ac:dyDescent="0.25">
      <c r="A148" s="11"/>
      <c r="B148" s="129" t="s">
        <v>223</v>
      </c>
      <c r="C148" s="88"/>
      <c r="D148" s="109"/>
      <c r="E148" s="18"/>
      <c r="F148" s="16"/>
      <c r="G148" s="16"/>
      <c r="H148" s="147"/>
      <c r="I148" s="16"/>
      <c r="J148" s="16"/>
      <c r="K148" s="18"/>
      <c r="L148" s="91"/>
      <c r="M148" s="66"/>
    </row>
    <row r="149" spans="1:13" ht="21" customHeight="1" x14ac:dyDescent="0.25">
      <c r="A149" s="88" t="e">
        <f>A143+1</f>
        <v>#REF!</v>
      </c>
      <c r="B149" s="120" t="s">
        <v>212</v>
      </c>
      <c r="C149" s="121" t="s">
        <v>13</v>
      </c>
      <c r="D149" s="149">
        <f>0.06+0.24+0.18</f>
        <v>0.48</v>
      </c>
      <c r="E149" s="167">
        <f>14540/0.84*0.48</f>
        <v>8308.5714285714275</v>
      </c>
      <c r="F149" s="167">
        <f>ROUND(E149*1,2)</f>
        <v>8308.57</v>
      </c>
      <c r="G149" s="167">
        <f t="shared" ref="G149:G151" si="137">ROUND(F149*1.2,2)</f>
        <v>9970.2800000000007</v>
      </c>
      <c r="H149" s="167"/>
      <c r="I149" s="167"/>
      <c r="J149" s="167"/>
      <c r="K149" s="167">
        <f t="shared" ref="K149:L151" si="138">F149+I149</f>
        <v>8308.57</v>
      </c>
      <c r="L149" s="167">
        <f t="shared" si="138"/>
        <v>9970.2800000000007</v>
      </c>
      <c r="M149" s="66"/>
    </row>
    <row r="150" spans="1:13" ht="21" customHeight="1" x14ac:dyDescent="0.25">
      <c r="A150" s="88" t="e">
        <f>A149+1</f>
        <v>#REF!</v>
      </c>
      <c r="B150" s="120" t="s">
        <v>213</v>
      </c>
      <c r="C150" s="121" t="s">
        <v>35</v>
      </c>
      <c r="D150" s="101">
        <v>1</v>
      </c>
      <c r="E150" s="167">
        <f>2170.75*0.7</f>
        <v>1519.5249999999999</v>
      </c>
      <c r="F150" s="167">
        <f>ROUND(E150*1,2)</f>
        <v>1519.53</v>
      </c>
      <c r="G150" s="167">
        <f t="shared" si="137"/>
        <v>1823.44</v>
      </c>
      <c r="H150" s="167"/>
      <c r="I150" s="167"/>
      <c r="J150" s="167"/>
      <c r="K150" s="167">
        <f t="shared" si="138"/>
        <v>1519.53</v>
      </c>
      <c r="L150" s="167">
        <f t="shared" si="138"/>
        <v>1823.44</v>
      </c>
      <c r="M150" s="66"/>
    </row>
    <row r="151" spans="1:13" ht="21" customHeight="1" x14ac:dyDescent="0.25">
      <c r="A151" s="88" t="e">
        <f>A150+1</f>
        <v>#REF!</v>
      </c>
      <c r="B151" s="120" t="s">
        <v>214</v>
      </c>
      <c r="C151" s="121" t="s">
        <v>15</v>
      </c>
      <c r="D151" s="101">
        <v>8</v>
      </c>
      <c r="E151" s="167">
        <f>1853.74*0.5</f>
        <v>926.87</v>
      </c>
      <c r="F151" s="167">
        <f>ROUND(E151*1,2)</f>
        <v>926.87</v>
      </c>
      <c r="G151" s="167">
        <f t="shared" si="137"/>
        <v>1112.24</v>
      </c>
      <c r="H151" s="167"/>
      <c r="I151" s="167"/>
      <c r="J151" s="167"/>
      <c r="K151" s="167">
        <f t="shared" si="138"/>
        <v>926.87</v>
      </c>
      <c r="L151" s="167">
        <f t="shared" si="138"/>
        <v>1112.24</v>
      </c>
      <c r="M151" s="66"/>
    </row>
    <row r="152" spans="1:13" ht="21.75" customHeight="1" x14ac:dyDescent="0.25">
      <c r="A152" s="156"/>
      <c r="B152" s="157" t="s">
        <v>215</v>
      </c>
      <c r="C152" s="158"/>
      <c r="D152" s="159"/>
      <c r="E152" s="160"/>
      <c r="F152" s="161"/>
      <c r="G152" s="161"/>
      <c r="H152" s="162"/>
      <c r="I152" s="161"/>
      <c r="J152" s="161"/>
      <c r="K152" s="160"/>
      <c r="L152" s="163"/>
    </row>
    <row r="153" spans="1:13" ht="21.75" customHeight="1" x14ac:dyDescent="0.25">
      <c r="A153" s="11"/>
      <c r="B153" s="129" t="s">
        <v>223</v>
      </c>
      <c r="C153" s="88"/>
      <c r="D153" s="109"/>
      <c r="E153" s="18"/>
      <c r="F153" s="16"/>
      <c r="G153" s="16"/>
      <c r="H153" s="147"/>
      <c r="I153" s="16"/>
      <c r="J153" s="16"/>
      <c r="K153" s="18"/>
      <c r="L153" s="91"/>
      <c r="M153" s="66"/>
    </row>
    <row r="154" spans="1:13" ht="18.75" customHeight="1" x14ac:dyDescent="0.25">
      <c r="A154" s="88" t="e">
        <f>A151+1</f>
        <v>#REF!</v>
      </c>
      <c r="B154" s="120" t="s">
        <v>196</v>
      </c>
      <c r="C154" s="121" t="s">
        <v>13</v>
      </c>
      <c r="D154" s="149">
        <v>0.27</v>
      </c>
      <c r="E154" s="655">
        <f>14540/0.84*0.27</f>
        <v>4673.5714285714284</v>
      </c>
      <c r="F154" s="655">
        <f>ROUND(E154*1,2)</f>
        <v>4673.57</v>
      </c>
      <c r="G154" s="655">
        <f t="shared" ref="G154" si="139">ROUND(F154*1.2,2)</f>
        <v>5608.28</v>
      </c>
      <c r="H154" s="655"/>
      <c r="I154" s="655"/>
      <c r="J154" s="655"/>
      <c r="K154" s="655">
        <f t="shared" ref="K154:L154" si="140">F154+I154</f>
        <v>4673.57</v>
      </c>
      <c r="L154" s="655">
        <f t="shared" si="140"/>
        <v>5608.28</v>
      </c>
      <c r="M154" s="66"/>
    </row>
    <row r="155" spans="1:13" ht="19.5" customHeight="1" x14ac:dyDescent="0.25">
      <c r="A155" s="113" t="s">
        <v>266</v>
      </c>
      <c r="B155" s="120" t="s">
        <v>195</v>
      </c>
      <c r="C155" s="121" t="s">
        <v>35</v>
      </c>
      <c r="D155" s="89">
        <v>1</v>
      </c>
      <c r="E155" s="657"/>
      <c r="F155" s="657"/>
      <c r="G155" s="657"/>
      <c r="H155" s="657"/>
      <c r="I155" s="657"/>
      <c r="J155" s="657"/>
      <c r="K155" s="657"/>
      <c r="L155" s="657"/>
      <c r="M155" s="148"/>
    </row>
    <row r="156" spans="1:13" ht="18" customHeight="1" x14ac:dyDescent="0.25">
      <c r="A156" s="36"/>
      <c r="B156" s="129" t="s">
        <v>224</v>
      </c>
      <c r="C156" s="36"/>
      <c r="D156" s="142"/>
      <c r="E156" s="25"/>
      <c r="F156" s="30"/>
      <c r="G156" s="30"/>
      <c r="H156" s="27"/>
      <c r="I156" s="30"/>
      <c r="J156" s="30"/>
      <c r="K156" s="31"/>
      <c r="L156" s="32"/>
    </row>
    <row r="157" spans="1:13" ht="30.75" customHeight="1" x14ac:dyDescent="0.25">
      <c r="A157" s="88" t="e">
        <f>A154+1</f>
        <v>#REF!</v>
      </c>
      <c r="B157" s="120" t="s">
        <v>199</v>
      </c>
      <c r="C157" s="88" t="s">
        <v>13</v>
      </c>
      <c r="D157" s="109">
        <f>0.27+0.1</f>
        <v>0.37</v>
      </c>
      <c r="E157" s="25">
        <v>17265.68</v>
      </c>
      <c r="F157" s="16">
        <f t="shared" ref="F157" si="141">ROUND(E157*D157,2)</f>
        <v>6388.3</v>
      </c>
      <c r="G157" s="16">
        <f t="shared" ref="G157" si="142">ROUND(F157*1.2,2)</f>
        <v>7665.96</v>
      </c>
      <c r="H157" s="147"/>
      <c r="I157" s="16"/>
      <c r="J157" s="16"/>
      <c r="K157" s="18">
        <f t="shared" ref="K157:L160" si="143">F157+I157</f>
        <v>6388.3</v>
      </c>
      <c r="L157" s="91">
        <f t="shared" si="143"/>
        <v>7665.96</v>
      </c>
      <c r="M157" s="112"/>
    </row>
    <row r="158" spans="1:13" ht="18.75" customHeight="1" x14ac:dyDescent="0.25">
      <c r="A158" s="113" t="s">
        <v>267</v>
      </c>
      <c r="B158" s="154" t="s">
        <v>202</v>
      </c>
      <c r="C158" s="114" t="s">
        <v>35</v>
      </c>
      <c r="D158" s="151">
        <v>1</v>
      </c>
      <c r="E158" s="28"/>
      <c r="F158" s="22"/>
      <c r="G158" s="22"/>
      <c r="H158" s="152">
        <v>7056</v>
      </c>
      <c r="I158" s="22">
        <f t="shared" ref="I158:I160" si="144">ROUND(H158*D158,2)</f>
        <v>7056</v>
      </c>
      <c r="J158" s="22">
        <f t="shared" ref="J158:J160" si="145">ROUND(I158*1.2,2)</f>
        <v>8467.2000000000007</v>
      </c>
      <c r="K158" s="23">
        <f t="shared" si="143"/>
        <v>7056</v>
      </c>
      <c r="L158" s="22">
        <f t="shared" si="143"/>
        <v>8467.2000000000007</v>
      </c>
      <c r="M158" s="37" t="s">
        <v>210</v>
      </c>
    </row>
    <row r="159" spans="1:13" ht="18.75" customHeight="1" x14ac:dyDescent="0.25">
      <c r="A159" s="113" t="s">
        <v>268</v>
      </c>
      <c r="B159" s="150" t="s">
        <v>206</v>
      </c>
      <c r="C159" s="114" t="s">
        <v>35</v>
      </c>
      <c r="D159" s="151">
        <v>1</v>
      </c>
      <c r="E159" s="28"/>
      <c r="F159" s="22"/>
      <c r="G159" s="22"/>
      <c r="H159" s="152">
        <v>3136</v>
      </c>
      <c r="I159" s="22">
        <f t="shared" si="144"/>
        <v>3136</v>
      </c>
      <c r="J159" s="22">
        <f t="shared" si="145"/>
        <v>3763.2</v>
      </c>
      <c r="K159" s="23">
        <f t="shared" si="143"/>
        <v>3136</v>
      </c>
      <c r="L159" s="22">
        <f t="shared" si="143"/>
        <v>3763.2</v>
      </c>
      <c r="M159" s="37"/>
    </row>
    <row r="160" spans="1:13" ht="18.75" customHeight="1" x14ac:dyDescent="0.25">
      <c r="A160" s="113" t="s">
        <v>269</v>
      </c>
      <c r="B160" s="154" t="s">
        <v>216</v>
      </c>
      <c r="C160" s="114" t="s">
        <v>35</v>
      </c>
      <c r="D160" s="151">
        <v>1</v>
      </c>
      <c r="E160" s="28"/>
      <c r="F160" s="22"/>
      <c r="G160" s="22"/>
      <c r="H160" s="152">
        <v>14421</v>
      </c>
      <c r="I160" s="22">
        <f t="shared" si="144"/>
        <v>14421</v>
      </c>
      <c r="J160" s="22">
        <f t="shared" si="145"/>
        <v>17305.2</v>
      </c>
      <c r="K160" s="23">
        <f t="shared" si="143"/>
        <v>14421</v>
      </c>
      <c r="L160" s="22">
        <f t="shared" si="143"/>
        <v>17305.2</v>
      </c>
      <c r="M160" s="37" t="s">
        <v>210</v>
      </c>
    </row>
    <row r="161" spans="1:13" ht="21.75" customHeight="1" x14ac:dyDescent="0.25">
      <c r="A161" s="156"/>
      <c r="B161" s="157" t="s">
        <v>221</v>
      </c>
      <c r="C161" s="158"/>
      <c r="D161" s="159"/>
      <c r="E161" s="160"/>
      <c r="F161" s="161"/>
      <c r="G161" s="161"/>
      <c r="H161" s="162"/>
      <c r="I161" s="161"/>
      <c r="J161" s="161"/>
      <c r="K161" s="160"/>
      <c r="L161" s="163"/>
    </row>
    <row r="162" spans="1:13" ht="21.75" customHeight="1" x14ac:dyDescent="0.25">
      <c r="A162" s="11"/>
      <c r="B162" s="129" t="s">
        <v>223</v>
      </c>
      <c r="C162" s="88"/>
      <c r="D162" s="109"/>
      <c r="E162" s="18"/>
      <c r="F162" s="16"/>
      <c r="G162" s="16"/>
      <c r="H162" s="147"/>
      <c r="I162" s="16"/>
      <c r="J162" s="16"/>
      <c r="K162" s="18"/>
      <c r="L162" s="91"/>
      <c r="M162" s="66"/>
    </row>
    <row r="163" spans="1:13" ht="18.75" customHeight="1" x14ac:dyDescent="0.25">
      <c r="A163" s="107" t="e">
        <f>A157+1</f>
        <v>#REF!</v>
      </c>
      <c r="B163" s="105" t="s">
        <v>222</v>
      </c>
      <c r="C163" s="88" t="s">
        <v>35</v>
      </c>
      <c r="D163" s="106">
        <v>1</v>
      </c>
      <c r="E163" s="15">
        <f>1974*0.7</f>
        <v>1381.8</v>
      </c>
      <c r="F163" s="91">
        <f>ROUND(E163*D163,2)</f>
        <v>1381.8</v>
      </c>
      <c r="G163" s="91">
        <f t="shared" ref="G163" si="146">ROUND(F163*1.2,2)</f>
        <v>1658.16</v>
      </c>
      <c r="H163" s="18"/>
      <c r="I163" s="91"/>
      <c r="J163" s="91"/>
      <c r="K163" s="18">
        <f t="shared" ref="K163:L163" si="147">F163+I163</f>
        <v>1381.8</v>
      </c>
      <c r="L163" s="91">
        <f t="shared" si="147"/>
        <v>1658.16</v>
      </c>
    </row>
    <row r="164" spans="1:13" ht="18" customHeight="1" x14ac:dyDescent="0.25">
      <c r="A164" s="36"/>
      <c r="B164" s="129" t="s">
        <v>224</v>
      </c>
      <c r="C164" s="36"/>
      <c r="D164" s="142"/>
      <c r="E164" s="25"/>
      <c r="F164" s="30"/>
      <c r="G164" s="30"/>
      <c r="H164" s="27"/>
      <c r="I164" s="30"/>
      <c r="J164" s="30"/>
      <c r="K164" s="31"/>
      <c r="L164" s="32"/>
    </row>
    <row r="165" spans="1:13" ht="30.75" customHeight="1" x14ac:dyDescent="0.25">
      <c r="A165" s="88" t="e">
        <f>A163+1</f>
        <v>#REF!</v>
      </c>
      <c r="B165" s="120" t="s">
        <v>199</v>
      </c>
      <c r="C165" s="88" t="s">
        <v>13</v>
      </c>
      <c r="D165" s="109">
        <f>0.05</f>
        <v>0.05</v>
      </c>
      <c r="E165" s="25">
        <v>17265.68</v>
      </c>
      <c r="F165" s="16">
        <f t="shared" ref="F165" si="148">ROUND(E165*D165,2)</f>
        <v>863.28</v>
      </c>
      <c r="G165" s="16">
        <f t="shared" ref="G165" si="149">ROUND(F165*1.2,2)</f>
        <v>1035.94</v>
      </c>
      <c r="H165" s="147"/>
      <c r="I165" s="16"/>
      <c r="J165" s="16"/>
      <c r="K165" s="18">
        <f t="shared" ref="K165:L167" si="150">F165+I165</f>
        <v>863.28</v>
      </c>
      <c r="L165" s="91">
        <f t="shared" si="150"/>
        <v>1035.94</v>
      </c>
      <c r="M165" s="112"/>
    </row>
    <row r="166" spans="1:13" ht="18.75" customHeight="1" x14ac:dyDescent="0.25">
      <c r="A166" s="113" t="s">
        <v>217</v>
      </c>
      <c r="B166" s="150" t="s">
        <v>225</v>
      </c>
      <c r="C166" s="114" t="s">
        <v>35</v>
      </c>
      <c r="D166" s="151">
        <v>1</v>
      </c>
      <c r="E166" s="28"/>
      <c r="F166" s="22"/>
      <c r="G166" s="22"/>
      <c r="H166" s="152"/>
      <c r="I166" s="22">
        <f t="shared" ref="I166:I167" si="151">ROUND(H166*D166,2)</f>
        <v>0</v>
      </c>
      <c r="J166" s="22">
        <f t="shared" ref="J166:J167" si="152">ROUND(I166*1.2,2)</f>
        <v>0</v>
      </c>
      <c r="K166" s="23">
        <f t="shared" si="150"/>
        <v>0</v>
      </c>
      <c r="L166" s="22">
        <f t="shared" si="150"/>
        <v>0</v>
      </c>
      <c r="M166" s="37"/>
    </row>
    <row r="167" spans="1:13" ht="18.75" customHeight="1" x14ac:dyDescent="0.25">
      <c r="A167" s="113" t="s">
        <v>218</v>
      </c>
      <c r="B167" s="154" t="s">
        <v>216</v>
      </c>
      <c r="C167" s="114" t="s">
        <v>35</v>
      </c>
      <c r="D167" s="151">
        <v>1</v>
      </c>
      <c r="E167" s="28"/>
      <c r="F167" s="22"/>
      <c r="G167" s="22"/>
      <c r="H167" s="152">
        <v>14421</v>
      </c>
      <c r="I167" s="22">
        <f t="shared" si="151"/>
        <v>14421</v>
      </c>
      <c r="J167" s="22">
        <f t="shared" si="152"/>
        <v>17305.2</v>
      </c>
      <c r="K167" s="23">
        <f t="shared" si="150"/>
        <v>14421</v>
      </c>
      <c r="L167" s="22">
        <f t="shared" si="150"/>
        <v>17305.2</v>
      </c>
      <c r="M167" s="37" t="s">
        <v>210</v>
      </c>
    </row>
    <row r="168" spans="1:13" ht="21.75" customHeight="1" x14ac:dyDescent="0.25">
      <c r="A168" s="156"/>
      <c r="B168" s="157" t="s">
        <v>231</v>
      </c>
      <c r="C168" s="158"/>
      <c r="D168" s="159"/>
      <c r="E168" s="160"/>
      <c r="F168" s="161"/>
      <c r="G168" s="161"/>
      <c r="H168" s="162"/>
      <c r="I168" s="161"/>
      <c r="J168" s="161"/>
      <c r="K168" s="160"/>
      <c r="L168" s="163"/>
    </row>
    <row r="169" spans="1:13" ht="21.75" customHeight="1" x14ac:dyDescent="0.25">
      <c r="A169" s="11"/>
      <c r="B169" s="129" t="s">
        <v>223</v>
      </c>
      <c r="C169" s="88"/>
      <c r="D169" s="109"/>
      <c r="E169" s="18"/>
      <c r="F169" s="16"/>
      <c r="G169" s="16"/>
      <c r="H169" s="147"/>
      <c r="I169" s="16"/>
      <c r="J169" s="16"/>
      <c r="K169" s="18"/>
      <c r="L169" s="91"/>
      <c r="M169" s="66"/>
    </row>
    <row r="170" spans="1:13" ht="28.5" customHeight="1" x14ac:dyDescent="0.25">
      <c r="A170" s="88" t="e">
        <f>A165+1</f>
        <v>#REF!</v>
      </c>
      <c r="B170" s="120" t="s">
        <v>196</v>
      </c>
      <c r="C170" s="121" t="s">
        <v>13</v>
      </c>
      <c r="D170" s="149">
        <v>0.52</v>
      </c>
      <c r="E170" s="655">
        <f>14540/0.84*0.52</f>
        <v>9000.9523809523816</v>
      </c>
      <c r="F170" s="655">
        <f>ROUND(E170*1,2)</f>
        <v>9000.9500000000007</v>
      </c>
      <c r="G170" s="655">
        <f t="shared" ref="G170" si="153">ROUND(F170*1.2,2)</f>
        <v>10801.14</v>
      </c>
      <c r="H170" s="655"/>
      <c r="I170" s="655"/>
      <c r="J170" s="655"/>
      <c r="K170" s="655">
        <f t="shared" ref="K170:L170" si="154">F170+I170</f>
        <v>9000.9500000000007</v>
      </c>
      <c r="L170" s="655">
        <f t="shared" si="154"/>
        <v>10801.14</v>
      </c>
      <c r="M170" s="66"/>
    </row>
    <row r="171" spans="1:13" ht="19.5" customHeight="1" x14ac:dyDescent="0.25">
      <c r="A171" s="113" t="s">
        <v>219</v>
      </c>
      <c r="B171" s="120" t="s">
        <v>195</v>
      </c>
      <c r="C171" s="121" t="s">
        <v>35</v>
      </c>
      <c r="D171" s="89">
        <v>1</v>
      </c>
      <c r="E171" s="656"/>
      <c r="F171" s="656"/>
      <c r="G171" s="656"/>
      <c r="H171" s="656"/>
      <c r="I171" s="656"/>
      <c r="J171" s="656"/>
      <c r="K171" s="656"/>
      <c r="L171" s="656"/>
      <c r="M171" s="148"/>
    </row>
    <row r="172" spans="1:13" ht="19.5" customHeight="1" x14ac:dyDescent="0.25">
      <c r="A172" s="113"/>
      <c r="B172" s="129" t="s">
        <v>224</v>
      </c>
      <c r="C172" s="121"/>
      <c r="D172" s="89"/>
      <c r="E172" s="168"/>
      <c r="F172" s="168"/>
      <c r="G172" s="168"/>
      <c r="H172" s="168"/>
      <c r="I172" s="168"/>
      <c r="J172" s="168"/>
      <c r="K172" s="168"/>
      <c r="L172" s="168"/>
      <c r="M172" s="148"/>
    </row>
    <row r="173" spans="1:13" ht="30.75" customHeight="1" x14ac:dyDescent="0.25">
      <c r="A173" s="88" t="e">
        <f>A170+1</f>
        <v>#REF!</v>
      </c>
      <c r="B173" s="120" t="s">
        <v>199</v>
      </c>
      <c r="C173" s="88" t="s">
        <v>13</v>
      </c>
      <c r="D173" s="109">
        <f>0.52+0.05</f>
        <v>0.57000000000000006</v>
      </c>
      <c r="E173" s="25">
        <v>17265.68</v>
      </c>
      <c r="F173" s="16">
        <f t="shared" ref="F173" si="155">ROUND(E173*D173,2)</f>
        <v>9841.44</v>
      </c>
      <c r="G173" s="16">
        <f t="shared" ref="G173" si="156">ROUND(F173*1.2,2)</f>
        <v>11809.73</v>
      </c>
      <c r="H173" s="147"/>
      <c r="I173" s="16"/>
      <c r="J173" s="16"/>
      <c r="K173" s="18">
        <f t="shared" ref="K173:L176" si="157">F173+I173</f>
        <v>9841.44</v>
      </c>
      <c r="L173" s="91">
        <f t="shared" si="157"/>
        <v>11809.73</v>
      </c>
      <c r="M173" s="112"/>
    </row>
    <row r="174" spans="1:13" ht="18.75" customHeight="1" x14ac:dyDescent="0.25">
      <c r="A174" s="113" t="s">
        <v>220</v>
      </c>
      <c r="B174" s="154" t="s">
        <v>232</v>
      </c>
      <c r="C174" s="114" t="s">
        <v>35</v>
      </c>
      <c r="D174" s="151">
        <v>1</v>
      </c>
      <c r="E174" s="28"/>
      <c r="F174" s="22"/>
      <c r="G174" s="22"/>
      <c r="H174" s="152">
        <v>11691.67</v>
      </c>
      <c r="I174" s="22">
        <f t="shared" ref="I174:I176" si="158">ROUND(H174*D174,2)</f>
        <v>11691.67</v>
      </c>
      <c r="J174" s="22">
        <f t="shared" ref="J174:J176" si="159">ROUND(I174*1.2,2)</f>
        <v>14030</v>
      </c>
      <c r="K174" s="23">
        <f t="shared" si="157"/>
        <v>11691.67</v>
      </c>
      <c r="L174" s="22">
        <f t="shared" si="157"/>
        <v>14030</v>
      </c>
      <c r="M174" s="37" t="s">
        <v>210</v>
      </c>
    </row>
    <row r="175" spans="1:13" ht="18.75" customHeight="1" x14ac:dyDescent="0.25">
      <c r="A175" s="113" t="s">
        <v>270</v>
      </c>
      <c r="B175" s="154" t="s">
        <v>233</v>
      </c>
      <c r="C175" s="114" t="s">
        <v>35</v>
      </c>
      <c r="D175" s="151">
        <v>1</v>
      </c>
      <c r="E175" s="28"/>
      <c r="F175" s="22"/>
      <c r="G175" s="22"/>
      <c r="H175" s="155">
        <v>1379.4</v>
      </c>
      <c r="I175" s="22">
        <f t="shared" si="158"/>
        <v>1379.4</v>
      </c>
      <c r="J175" s="22">
        <f t="shared" si="159"/>
        <v>1655.28</v>
      </c>
      <c r="K175" s="23">
        <f t="shared" si="157"/>
        <v>1379.4</v>
      </c>
      <c r="L175" s="22">
        <f t="shared" si="157"/>
        <v>1655.28</v>
      </c>
      <c r="M175" s="37" t="s">
        <v>244</v>
      </c>
    </row>
    <row r="176" spans="1:13" ht="18.75" customHeight="1" x14ac:dyDescent="0.25">
      <c r="A176" s="113" t="s">
        <v>271</v>
      </c>
      <c r="B176" s="154" t="s">
        <v>216</v>
      </c>
      <c r="C176" s="114" t="s">
        <v>35</v>
      </c>
      <c r="D176" s="151">
        <v>1</v>
      </c>
      <c r="E176" s="28"/>
      <c r="F176" s="22"/>
      <c r="G176" s="22"/>
      <c r="H176" s="152">
        <v>14421</v>
      </c>
      <c r="I176" s="22">
        <f t="shared" si="158"/>
        <v>14421</v>
      </c>
      <c r="J176" s="22">
        <f t="shared" si="159"/>
        <v>17305.2</v>
      </c>
      <c r="K176" s="23">
        <f t="shared" si="157"/>
        <v>14421</v>
      </c>
      <c r="L176" s="22">
        <f t="shared" si="157"/>
        <v>17305.2</v>
      </c>
      <c r="M176" s="37" t="s">
        <v>210</v>
      </c>
    </row>
    <row r="177" spans="1:13" ht="21.75" customHeight="1" x14ac:dyDescent="0.25">
      <c r="A177" s="156"/>
      <c r="B177" s="157" t="s">
        <v>237</v>
      </c>
      <c r="C177" s="158"/>
      <c r="D177" s="159"/>
      <c r="E177" s="160"/>
      <c r="F177" s="161"/>
      <c r="G177" s="161"/>
      <c r="H177" s="162"/>
      <c r="I177" s="161"/>
      <c r="J177" s="161"/>
      <c r="K177" s="160"/>
      <c r="L177" s="163"/>
    </row>
    <row r="178" spans="1:13" ht="21.75" customHeight="1" x14ac:dyDescent="0.25">
      <c r="A178" s="11"/>
      <c r="B178" s="129" t="s">
        <v>223</v>
      </c>
      <c r="C178" s="88"/>
      <c r="D178" s="109"/>
      <c r="E178" s="18"/>
      <c r="F178" s="16"/>
      <c r="G178" s="16"/>
      <c r="H178" s="147"/>
      <c r="I178" s="16"/>
      <c r="J178" s="16"/>
      <c r="K178" s="18"/>
      <c r="L178" s="91"/>
      <c r="M178" s="66"/>
    </row>
    <row r="179" spans="1:13" ht="18.75" customHeight="1" x14ac:dyDescent="0.25">
      <c r="A179" s="107" t="e">
        <f>A173+1</f>
        <v>#REF!</v>
      </c>
      <c r="B179" s="105" t="s">
        <v>222</v>
      </c>
      <c r="C179" s="88" t="s">
        <v>35</v>
      </c>
      <c r="D179" s="106">
        <v>1</v>
      </c>
      <c r="E179" s="15">
        <f>1974*0.7</f>
        <v>1381.8</v>
      </c>
      <c r="F179" s="91">
        <f>ROUND(E179*D179,2)</f>
        <v>1381.8</v>
      </c>
      <c r="G179" s="91">
        <f t="shared" ref="G179" si="160">ROUND(F179*1.2,2)</f>
        <v>1658.16</v>
      </c>
      <c r="H179" s="18"/>
      <c r="I179" s="91"/>
      <c r="J179" s="91"/>
      <c r="K179" s="18">
        <f t="shared" ref="K179:L179" si="161">F179+I179</f>
        <v>1381.8</v>
      </c>
      <c r="L179" s="91">
        <f t="shared" si="161"/>
        <v>1658.16</v>
      </c>
    </row>
    <row r="180" spans="1:13" ht="18" customHeight="1" x14ac:dyDescent="0.25">
      <c r="A180" s="36"/>
      <c r="B180" s="129" t="s">
        <v>224</v>
      </c>
      <c r="C180" s="36"/>
      <c r="D180" s="142"/>
      <c r="E180" s="25"/>
      <c r="F180" s="30"/>
      <c r="G180" s="30"/>
      <c r="H180" s="27"/>
      <c r="I180" s="30"/>
      <c r="J180" s="30"/>
      <c r="K180" s="31"/>
      <c r="L180" s="32"/>
    </row>
    <row r="181" spans="1:13" ht="30.75" customHeight="1" x14ac:dyDescent="0.25">
      <c r="A181" s="88" t="e">
        <f>A179+1</f>
        <v>#REF!</v>
      </c>
      <c r="B181" s="120" t="s">
        <v>199</v>
      </c>
      <c r="C181" s="88" t="s">
        <v>13</v>
      </c>
      <c r="D181" s="109">
        <f>0.1+0.08</f>
        <v>0.18</v>
      </c>
      <c r="E181" s="25">
        <v>17265.68</v>
      </c>
      <c r="F181" s="16">
        <f t="shared" ref="F181" si="162">ROUND(E181*D181,2)</f>
        <v>3107.82</v>
      </c>
      <c r="G181" s="16">
        <f t="shared" ref="G181" si="163">ROUND(F181*1.2,2)</f>
        <v>3729.38</v>
      </c>
      <c r="H181" s="147"/>
      <c r="I181" s="16"/>
      <c r="J181" s="16"/>
      <c r="K181" s="18">
        <f t="shared" ref="K181:L184" si="164">F181+I181</f>
        <v>3107.82</v>
      </c>
      <c r="L181" s="91">
        <f t="shared" si="164"/>
        <v>3729.38</v>
      </c>
      <c r="M181" s="112"/>
    </row>
    <row r="182" spans="1:13" ht="18.75" customHeight="1" x14ac:dyDescent="0.25">
      <c r="A182" s="113" t="s">
        <v>228</v>
      </c>
      <c r="B182" s="150" t="s">
        <v>239</v>
      </c>
      <c r="C182" s="114" t="s">
        <v>35</v>
      </c>
      <c r="D182" s="151">
        <v>1</v>
      </c>
      <c r="E182" s="28"/>
      <c r="F182" s="22"/>
      <c r="G182" s="22"/>
      <c r="H182" s="152">
        <v>4025</v>
      </c>
      <c r="I182" s="22">
        <f t="shared" ref="I182:I184" si="165">ROUND(H182*D182,2)</f>
        <v>4025</v>
      </c>
      <c r="J182" s="22">
        <f t="shared" ref="J182:J184" si="166">ROUND(I182*1.2,2)</f>
        <v>4830</v>
      </c>
      <c r="K182" s="23">
        <f t="shared" si="164"/>
        <v>4025</v>
      </c>
      <c r="L182" s="22">
        <f t="shared" si="164"/>
        <v>4830</v>
      </c>
      <c r="M182" s="37"/>
    </row>
    <row r="183" spans="1:13" ht="18.75" customHeight="1" x14ac:dyDescent="0.25">
      <c r="A183" s="113" t="s">
        <v>226</v>
      </c>
      <c r="B183" s="150" t="s">
        <v>238</v>
      </c>
      <c r="C183" s="114" t="s">
        <v>35</v>
      </c>
      <c r="D183" s="151">
        <v>1</v>
      </c>
      <c r="E183" s="28"/>
      <c r="F183" s="22"/>
      <c r="G183" s="22"/>
      <c r="H183" s="152">
        <v>3099.25</v>
      </c>
      <c r="I183" s="22">
        <f t="shared" si="165"/>
        <v>3099.25</v>
      </c>
      <c r="J183" s="22">
        <f t="shared" si="166"/>
        <v>3719.1</v>
      </c>
      <c r="K183" s="23">
        <f t="shared" si="164"/>
        <v>3099.25</v>
      </c>
      <c r="L183" s="22">
        <f t="shared" si="164"/>
        <v>3719.1</v>
      </c>
      <c r="M183" s="37"/>
    </row>
    <row r="184" spans="1:13" ht="18.75" customHeight="1" x14ac:dyDescent="0.25">
      <c r="A184" s="113" t="s">
        <v>227</v>
      </c>
      <c r="B184" s="154" t="s">
        <v>216</v>
      </c>
      <c r="C184" s="114" t="s">
        <v>35</v>
      </c>
      <c r="D184" s="151">
        <v>1</v>
      </c>
      <c r="E184" s="28"/>
      <c r="F184" s="22"/>
      <c r="G184" s="22"/>
      <c r="H184" s="152">
        <v>14421</v>
      </c>
      <c r="I184" s="22">
        <f t="shared" si="165"/>
        <v>14421</v>
      </c>
      <c r="J184" s="22">
        <f t="shared" si="166"/>
        <v>17305.2</v>
      </c>
      <c r="K184" s="23">
        <f t="shared" si="164"/>
        <v>14421</v>
      </c>
      <c r="L184" s="22">
        <f t="shared" si="164"/>
        <v>17305.2</v>
      </c>
      <c r="M184" s="37" t="s">
        <v>210</v>
      </c>
    </row>
    <row r="185" spans="1:13" ht="21.75" customHeight="1" x14ac:dyDescent="0.25">
      <c r="A185" s="156"/>
      <c r="B185" s="157" t="s">
        <v>231</v>
      </c>
      <c r="C185" s="158"/>
      <c r="D185" s="159"/>
      <c r="E185" s="160"/>
      <c r="F185" s="161"/>
      <c r="G185" s="161"/>
      <c r="H185" s="162"/>
      <c r="I185" s="161"/>
      <c r="J185" s="161"/>
      <c r="K185" s="160"/>
      <c r="L185" s="163"/>
    </row>
    <row r="186" spans="1:13" ht="21.75" customHeight="1" x14ac:dyDescent="0.25">
      <c r="A186" s="11"/>
      <c r="B186" s="129" t="s">
        <v>223</v>
      </c>
      <c r="C186" s="88"/>
      <c r="D186" s="109"/>
      <c r="E186" s="18"/>
      <c r="F186" s="16"/>
      <c r="G186" s="16"/>
      <c r="H186" s="147"/>
      <c r="I186" s="16"/>
      <c r="J186" s="16"/>
      <c r="K186" s="18"/>
      <c r="L186" s="91"/>
      <c r="M186" s="66"/>
    </row>
    <row r="187" spans="1:13" ht="28.5" customHeight="1" x14ac:dyDescent="0.25">
      <c r="A187" s="88" t="e">
        <f>A181+1</f>
        <v>#REF!</v>
      </c>
      <c r="B187" s="120" t="s">
        <v>196</v>
      </c>
      <c r="C187" s="121" t="s">
        <v>13</v>
      </c>
      <c r="D187" s="149">
        <v>0.1</v>
      </c>
      <c r="E187" s="655">
        <f>14540/0.84*0.1</f>
        <v>1730.952380952381</v>
      </c>
      <c r="F187" s="655">
        <f>ROUND(E187*1,2)</f>
        <v>1730.95</v>
      </c>
      <c r="G187" s="655">
        <f t="shared" ref="G187" si="167">ROUND(F187*1.2,2)</f>
        <v>2077.14</v>
      </c>
      <c r="H187" s="655"/>
      <c r="I187" s="655"/>
      <c r="J187" s="655"/>
      <c r="K187" s="655">
        <f t="shared" ref="K187:L187" si="168">F187+I187</f>
        <v>1730.95</v>
      </c>
      <c r="L187" s="655">
        <f t="shared" si="168"/>
        <v>2077.14</v>
      </c>
      <c r="M187" s="66"/>
    </row>
    <row r="188" spans="1:13" ht="19.5" customHeight="1" x14ac:dyDescent="0.25">
      <c r="A188" s="113" t="s">
        <v>229</v>
      </c>
      <c r="B188" s="120" t="s">
        <v>195</v>
      </c>
      <c r="C188" s="121" t="s">
        <v>35</v>
      </c>
      <c r="D188" s="89">
        <v>1</v>
      </c>
      <c r="E188" s="656"/>
      <c r="F188" s="656"/>
      <c r="G188" s="656"/>
      <c r="H188" s="656"/>
      <c r="I188" s="656"/>
      <c r="J188" s="656"/>
      <c r="K188" s="656"/>
      <c r="L188" s="656"/>
      <c r="M188" s="148"/>
    </row>
    <row r="189" spans="1:13" ht="19.5" customHeight="1" x14ac:dyDescent="0.25">
      <c r="A189" s="113"/>
      <c r="B189" s="129" t="s">
        <v>224</v>
      </c>
      <c r="C189" s="121"/>
      <c r="D189" s="89"/>
      <c r="E189" s="168"/>
      <c r="F189" s="168"/>
      <c r="G189" s="168"/>
      <c r="H189" s="168"/>
      <c r="I189" s="168"/>
      <c r="J189" s="168"/>
      <c r="K189" s="168"/>
      <c r="L189" s="168"/>
      <c r="M189" s="148"/>
    </row>
    <row r="190" spans="1:13" ht="30.75" customHeight="1" x14ac:dyDescent="0.25">
      <c r="A190" s="88" t="e">
        <f>A187+1</f>
        <v>#REF!</v>
      </c>
      <c r="B190" s="120" t="s">
        <v>199</v>
      </c>
      <c r="C190" s="88" t="s">
        <v>13</v>
      </c>
      <c r="D190" s="109">
        <f>0.1+0.02</f>
        <v>0.12000000000000001</v>
      </c>
      <c r="E190" s="25">
        <v>17265.68</v>
      </c>
      <c r="F190" s="16">
        <f t="shared" ref="F190" si="169">ROUND(E190*D190,2)</f>
        <v>2071.88</v>
      </c>
      <c r="G190" s="16">
        <f t="shared" ref="G190" si="170">ROUND(F190*1.2,2)</f>
        <v>2486.2600000000002</v>
      </c>
      <c r="H190" s="147"/>
      <c r="I190" s="16"/>
      <c r="J190" s="16"/>
      <c r="K190" s="18">
        <f t="shared" ref="K190:L193" si="171">F190+I190</f>
        <v>2071.88</v>
      </c>
      <c r="L190" s="91">
        <f t="shared" si="171"/>
        <v>2486.2600000000002</v>
      </c>
      <c r="M190" s="112"/>
    </row>
    <row r="191" spans="1:13" ht="18.75" customHeight="1" x14ac:dyDescent="0.25">
      <c r="A191" s="113" t="s">
        <v>230</v>
      </c>
      <c r="B191" s="154" t="s">
        <v>239</v>
      </c>
      <c r="C191" s="114" t="s">
        <v>35</v>
      </c>
      <c r="D191" s="151">
        <v>1</v>
      </c>
      <c r="E191" s="28"/>
      <c r="F191" s="22"/>
      <c r="G191" s="22"/>
      <c r="H191" s="152">
        <v>4025</v>
      </c>
      <c r="I191" s="22">
        <f t="shared" ref="I191:I193" si="172">ROUND(H191*D191,2)</f>
        <v>4025</v>
      </c>
      <c r="J191" s="22">
        <f t="shared" ref="J191:J193" si="173">ROUND(I191*1.2,2)</f>
        <v>4830</v>
      </c>
      <c r="K191" s="23">
        <f t="shared" si="171"/>
        <v>4025</v>
      </c>
      <c r="L191" s="22">
        <f t="shared" si="171"/>
        <v>4830</v>
      </c>
      <c r="M191" s="37" t="s">
        <v>210</v>
      </c>
    </row>
    <row r="192" spans="1:13" ht="18.75" customHeight="1" x14ac:dyDescent="0.25">
      <c r="A192" s="113" t="s">
        <v>272</v>
      </c>
      <c r="B192" s="150" t="s">
        <v>243</v>
      </c>
      <c r="C192" s="114" t="s">
        <v>35</v>
      </c>
      <c r="D192" s="151">
        <v>1</v>
      </c>
      <c r="E192" s="28"/>
      <c r="F192" s="22"/>
      <c r="G192" s="22"/>
      <c r="H192" s="155">
        <v>751.45</v>
      </c>
      <c r="I192" s="22">
        <f t="shared" si="172"/>
        <v>751.45</v>
      </c>
      <c r="J192" s="22">
        <f t="shared" si="173"/>
        <v>901.74</v>
      </c>
      <c r="K192" s="23">
        <f t="shared" si="171"/>
        <v>751.45</v>
      </c>
      <c r="L192" s="22">
        <f t="shared" si="171"/>
        <v>901.74</v>
      </c>
      <c r="M192" s="37" t="s">
        <v>244</v>
      </c>
    </row>
    <row r="193" spans="1:13" ht="18.75" customHeight="1" x14ac:dyDescent="0.25">
      <c r="A193" s="113" t="s">
        <v>273</v>
      </c>
      <c r="B193" s="154" t="s">
        <v>216</v>
      </c>
      <c r="C193" s="114" t="s">
        <v>35</v>
      </c>
      <c r="D193" s="151">
        <v>1</v>
      </c>
      <c r="E193" s="28"/>
      <c r="F193" s="22"/>
      <c r="G193" s="22"/>
      <c r="H193" s="152">
        <v>14421</v>
      </c>
      <c r="I193" s="22">
        <f t="shared" si="172"/>
        <v>14421</v>
      </c>
      <c r="J193" s="22">
        <f t="shared" si="173"/>
        <v>17305.2</v>
      </c>
      <c r="K193" s="23">
        <f t="shared" si="171"/>
        <v>14421</v>
      </c>
      <c r="L193" s="22">
        <f t="shared" si="171"/>
        <v>17305.2</v>
      </c>
      <c r="M193" s="37" t="s">
        <v>210</v>
      </c>
    </row>
    <row r="194" spans="1:13" ht="21.75" customHeight="1" x14ac:dyDescent="0.25">
      <c r="A194" s="156"/>
      <c r="B194" s="157" t="s">
        <v>245</v>
      </c>
      <c r="C194" s="158"/>
      <c r="D194" s="159"/>
      <c r="E194" s="160"/>
      <c r="F194" s="161"/>
      <c r="G194" s="161"/>
      <c r="H194" s="162"/>
      <c r="I194" s="161"/>
      <c r="J194" s="161"/>
      <c r="K194" s="160"/>
      <c r="L194" s="163"/>
    </row>
    <row r="195" spans="1:13" ht="21.75" customHeight="1" x14ac:dyDescent="0.25">
      <c r="A195" s="11"/>
      <c r="B195" s="129" t="s">
        <v>223</v>
      </c>
      <c r="C195" s="88"/>
      <c r="D195" s="109"/>
      <c r="E195" s="18"/>
      <c r="F195" s="16"/>
      <c r="G195" s="16"/>
      <c r="H195" s="147"/>
      <c r="I195" s="16"/>
      <c r="J195" s="16"/>
      <c r="K195" s="18"/>
      <c r="L195" s="91"/>
      <c r="M195" s="66"/>
    </row>
    <row r="196" spans="1:13" ht="18.75" customHeight="1" x14ac:dyDescent="0.25">
      <c r="A196" s="107" t="e">
        <f>A190+1</f>
        <v>#REF!</v>
      </c>
      <c r="B196" s="105" t="s">
        <v>222</v>
      </c>
      <c r="C196" s="88" t="s">
        <v>35</v>
      </c>
      <c r="D196" s="106">
        <v>1</v>
      </c>
      <c r="E196" s="15">
        <f>1974*0.7</f>
        <v>1381.8</v>
      </c>
      <c r="F196" s="91">
        <f>ROUND(E196*D196,2)</f>
        <v>1381.8</v>
      </c>
      <c r="G196" s="91">
        <f t="shared" ref="G196" si="174">ROUND(F196*1.2,2)</f>
        <v>1658.16</v>
      </c>
      <c r="H196" s="18"/>
      <c r="I196" s="91"/>
      <c r="J196" s="91"/>
      <c r="K196" s="18">
        <f t="shared" ref="K196:L196" si="175">F196+I196</f>
        <v>1381.8</v>
      </c>
      <c r="L196" s="91">
        <f t="shared" si="175"/>
        <v>1658.16</v>
      </c>
    </row>
    <row r="197" spans="1:13" ht="19.5" customHeight="1" x14ac:dyDescent="0.25">
      <c r="A197" s="113"/>
      <c r="B197" s="129" t="s">
        <v>224</v>
      </c>
      <c r="C197" s="121"/>
      <c r="D197" s="89"/>
      <c r="E197" s="168"/>
      <c r="F197" s="168"/>
      <c r="G197" s="168"/>
      <c r="H197" s="168"/>
      <c r="I197" s="168"/>
      <c r="J197" s="168"/>
      <c r="K197" s="168"/>
      <c r="L197" s="168"/>
      <c r="M197" s="148"/>
    </row>
    <row r="198" spans="1:13" ht="30.75" customHeight="1" x14ac:dyDescent="0.25">
      <c r="A198" s="88" t="e">
        <f>A196+1</f>
        <v>#REF!</v>
      </c>
      <c r="B198" s="120" t="s">
        <v>199</v>
      </c>
      <c r="C198" s="88" t="s">
        <v>13</v>
      </c>
      <c r="D198" s="109">
        <f>0.18</f>
        <v>0.18</v>
      </c>
      <c r="E198" s="25">
        <v>17265.68</v>
      </c>
      <c r="F198" s="16">
        <f t="shared" ref="F198" si="176">ROUND(E198*D198,2)</f>
        <v>3107.82</v>
      </c>
      <c r="G198" s="16">
        <f t="shared" ref="G198" si="177">ROUND(F198*1.2,2)</f>
        <v>3729.38</v>
      </c>
      <c r="H198" s="147"/>
      <c r="I198" s="16"/>
      <c r="J198" s="16"/>
      <c r="K198" s="18">
        <f t="shared" ref="K198:L199" si="178">F198+I198</f>
        <v>3107.82</v>
      </c>
      <c r="L198" s="91">
        <f t="shared" si="178"/>
        <v>3729.38</v>
      </c>
      <c r="M198" s="112"/>
    </row>
    <row r="199" spans="1:13" ht="18.75" customHeight="1" x14ac:dyDescent="0.25">
      <c r="A199" s="113" t="s">
        <v>234</v>
      </c>
      <c r="B199" s="150" t="s">
        <v>250</v>
      </c>
      <c r="C199" s="114" t="s">
        <v>35</v>
      </c>
      <c r="D199" s="151">
        <v>1</v>
      </c>
      <c r="E199" s="21"/>
      <c r="F199" s="22"/>
      <c r="G199" s="22"/>
      <c r="H199" s="152">
        <v>5079.17</v>
      </c>
      <c r="I199" s="22">
        <f t="shared" ref="I199" si="179">ROUND(H199*D199,2)</f>
        <v>5079.17</v>
      </c>
      <c r="J199" s="22">
        <f t="shared" ref="J199" si="180">ROUND(I199*1.2,2)</f>
        <v>6095</v>
      </c>
      <c r="K199" s="23">
        <f t="shared" si="178"/>
        <v>5079.17</v>
      </c>
      <c r="L199" s="22">
        <f t="shared" si="178"/>
        <v>6095</v>
      </c>
      <c r="M199" s="37"/>
    </row>
    <row r="200" spans="1:13" ht="21.75" customHeight="1" x14ac:dyDescent="0.25">
      <c r="A200" s="156"/>
      <c r="B200" s="157" t="s">
        <v>253</v>
      </c>
      <c r="C200" s="158"/>
      <c r="D200" s="159"/>
      <c r="E200" s="160"/>
      <c r="F200" s="161"/>
      <c r="G200" s="161"/>
      <c r="H200" s="162"/>
      <c r="I200" s="161"/>
      <c r="J200" s="161"/>
      <c r="K200" s="160"/>
      <c r="L200" s="163"/>
    </row>
    <row r="201" spans="1:13" ht="21.75" customHeight="1" x14ac:dyDescent="0.25">
      <c r="A201" s="11"/>
      <c r="B201" s="129" t="s">
        <v>223</v>
      </c>
      <c r="C201" s="88"/>
      <c r="D201" s="109"/>
      <c r="E201" s="18"/>
      <c r="F201" s="16"/>
      <c r="G201" s="16"/>
      <c r="H201" s="147"/>
      <c r="I201" s="16"/>
      <c r="J201" s="16"/>
      <c r="K201" s="18"/>
      <c r="L201" s="91"/>
      <c r="M201" s="66"/>
    </row>
    <row r="202" spans="1:13" ht="18" customHeight="1" x14ac:dyDescent="0.25">
      <c r="A202" s="88" t="e">
        <f>A198+1</f>
        <v>#REF!</v>
      </c>
      <c r="B202" s="120" t="s">
        <v>196</v>
      </c>
      <c r="C202" s="121" t="s">
        <v>13</v>
      </c>
      <c r="D202" s="149">
        <v>0.52</v>
      </c>
      <c r="E202" s="655">
        <f>14540/0.84*0.52</f>
        <v>9000.9523809523816</v>
      </c>
      <c r="F202" s="655">
        <f>ROUND(E202*1,2)</f>
        <v>9000.9500000000007</v>
      </c>
      <c r="G202" s="655">
        <f t="shared" ref="G202" si="181">ROUND(F202*1.2,2)</f>
        <v>10801.14</v>
      </c>
      <c r="H202" s="655"/>
      <c r="I202" s="655"/>
      <c r="J202" s="655"/>
      <c r="K202" s="655">
        <f t="shared" ref="K202:L202" si="182">F202+I202</f>
        <v>9000.9500000000007</v>
      </c>
      <c r="L202" s="655">
        <f t="shared" si="182"/>
        <v>10801.14</v>
      </c>
      <c r="M202" s="66"/>
    </row>
    <row r="203" spans="1:13" ht="19.5" customHeight="1" x14ac:dyDescent="0.25">
      <c r="A203" s="113" t="s">
        <v>235</v>
      </c>
      <c r="B203" s="120" t="s">
        <v>195</v>
      </c>
      <c r="C203" s="121" t="s">
        <v>35</v>
      </c>
      <c r="D203" s="89">
        <v>1</v>
      </c>
      <c r="E203" s="656"/>
      <c r="F203" s="656"/>
      <c r="G203" s="656"/>
      <c r="H203" s="656"/>
      <c r="I203" s="656"/>
      <c r="J203" s="656"/>
      <c r="K203" s="656"/>
      <c r="L203" s="656"/>
      <c r="M203" s="148"/>
    </row>
    <row r="204" spans="1:13" ht="19.5" customHeight="1" x14ac:dyDescent="0.25">
      <c r="A204" s="113"/>
      <c r="B204" s="129" t="s">
        <v>224</v>
      </c>
      <c r="C204" s="121"/>
      <c r="D204" s="89"/>
      <c r="E204" s="168"/>
      <c r="F204" s="168"/>
      <c r="G204" s="168"/>
      <c r="H204" s="168"/>
      <c r="I204" s="168"/>
      <c r="J204" s="168"/>
      <c r="K204" s="168"/>
      <c r="L204" s="168"/>
      <c r="M204" s="148"/>
    </row>
    <row r="205" spans="1:13" ht="30.75" customHeight="1" x14ac:dyDescent="0.25">
      <c r="A205" s="88" t="e">
        <f>A202+1</f>
        <v>#REF!</v>
      </c>
      <c r="B205" s="120" t="s">
        <v>199</v>
      </c>
      <c r="C205" s="88" t="s">
        <v>13</v>
      </c>
      <c r="D205" s="109">
        <f>0.52+0.08</f>
        <v>0.6</v>
      </c>
      <c r="E205" s="25">
        <v>17265.68</v>
      </c>
      <c r="F205" s="16">
        <f t="shared" ref="F205" si="183">ROUND(E205*D205,2)</f>
        <v>10359.41</v>
      </c>
      <c r="G205" s="16">
        <f t="shared" ref="G205" si="184">ROUND(F205*1.2,2)</f>
        <v>12431.29</v>
      </c>
      <c r="H205" s="147"/>
      <c r="I205" s="16"/>
      <c r="J205" s="16"/>
      <c r="K205" s="18">
        <f t="shared" ref="K205:L208" si="185">F205+I205</f>
        <v>10359.41</v>
      </c>
      <c r="L205" s="91">
        <f t="shared" si="185"/>
        <v>12431.29</v>
      </c>
      <c r="M205" s="112"/>
    </row>
    <row r="206" spans="1:13" ht="18.75" customHeight="1" x14ac:dyDescent="0.25">
      <c r="A206" s="113" t="s">
        <v>236</v>
      </c>
      <c r="B206" s="154" t="s">
        <v>232</v>
      </c>
      <c r="C206" s="114" t="s">
        <v>35</v>
      </c>
      <c r="D206" s="151">
        <v>1</v>
      </c>
      <c r="E206" s="28"/>
      <c r="F206" s="22"/>
      <c r="G206" s="22"/>
      <c r="H206" s="152">
        <v>11691.67</v>
      </c>
      <c r="I206" s="22">
        <f t="shared" ref="I206:I208" si="186">ROUND(H206*D206,2)</f>
        <v>11691.67</v>
      </c>
      <c r="J206" s="22">
        <f t="shared" ref="J206:J208" si="187">ROUND(I206*1.2,2)</f>
        <v>14030</v>
      </c>
      <c r="K206" s="23">
        <f t="shared" si="185"/>
        <v>11691.67</v>
      </c>
      <c r="L206" s="22">
        <f t="shared" si="185"/>
        <v>14030</v>
      </c>
      <c r="M206" s="37" t="s">
        <v>210</v>
      </c>
    </row>
    <row r="207" spans="1:13" ht="18.75" customHeight="1" x14ac:dyDescent="0.25">
      <c r="A207" s="113" t="s">
        <v>274</v>
      </c>
      <c r="B207" s="150" t="s">
        <v>238</v>
      </c>
      <c r="C207" s="114" t="s">
        <v>35</v>
      </c>
      <c r="D207" s="151">
        <v>1</v>
      </c>
      <c r="E207" s="28"/>
      <c r="F207" s="22"/>
      <c r="G207" s="22"/>
      <c r="H207" s="152">
        <v>3099.25</v>
      </c>
      <c r="I207" s="22">
        <f t="shared" si="186"/>
        <v>3099.25</v>
      </c>
      <c r="J207" s="22">
        <f t="shared" si="187"/>
        <v>3719.1</v>
      </c>
      <c r="K207" s="23">
        <f t="shared" si="185"/>
        <v>3099.25</v>
      </c>
      <c r="L207" s="22">
        <f t="shared" si="185"/>
        <v>3719.1</v>
      </c>
      <c r="M207" s="37"/>
    </row>
    <row r="208" spans="1:13" ht="18.75" customHeight="1" x14ac:dyDescent="0.25">
      <c r="A208" s="113" t="s">
        <v>275</v>
      </c>
      <c r="B208" s="154" t="s">
        <v>216</v>
      </c>
      <c r="C208" s="114" t="s">
        <v>35</v>
      </c>
      <c r="D208" s="151">
        <v>1</v>
      </c>
      <c r="E208" s="28"/>
      <c r="F208" s="22"/>
      <c r="G208" s="22"/>
      <c r="H208" s="152">
        <v>14421</v>
      </c>
      <c r="I208" s="22">
        <f t="shared" si="186"/>
        <v>14421</v>
      </c>
      <c r="J208" s="22">
        <f t="shared" si="187"/>
        <v>17305.2</v>
      </c>
      <c r="K208" s="23">
        <f t="shared" si="185"/>
        <v>14421</v>
      </c>
      <c r="L208" s="22">
        <f t="shared" si="185"/>
        <v>17305.2</v>
      </c>
      <c r="M208" s="37" t="s">
        <v>210</v>
      </c>
    </row>
    <row r="209" spans="1:13" ht="21.75" customHeight="1" x14ac:dyDescent="0.25">
      <c r="A209" s="156"/>
      <c r="B209" s="157" t="s">
        <v>256</v>
      </c>
      <c r="C209" s="158"/>
      <c r="D209" s="159"/>
      <c r="E209" s="160"/>
      <c r="F209" s="161"/>
      <c r="G209" s="161"/>
      <c r="H209" s="162"/>
      <c r="I209" s="161"/>
      <c r="J209" s="161"/>
      <c r="K209" s="160"/>
      <c r="L209" s="163"/>
    </row>
    <row r="210" spans="1:13" ht="21.75" customHeight="1" x14ac:dyDescent="0.25">
      <c r="A210" s="11"/>
      <c r="B210" s="129" t="s">
        <v>223</v>
      </c>
      <c r="C210" s="88"/>
      <c r="D210" s="109"/>
      <c r="E210" s="18"/>
      <c r="F210" s="16"/>
      <c r="G210" s="16"/>
      <c r="H210" s="147"/>
      <c r="I210" s="16"/>
      <c r="J210" s="16"/>
      <c r="K210" s="18"/>
      <c r="L210" s="91"/>
      <c r="M210" s="66"/>
    </row>
    <row r="211" spans="1:13" ht="28.5" customHeight="1" x14ac:dyDescent="0.25">
      <c r="A211" s="88" t="e">
        <f>A205+1</f>
        <v>#REF!</v>
      </c>
      <c r="B211" s="120" t="s">
        <v>196</v>
      </c>
      <c r="C211" s="121" t="s">
        <v>13</v>
      </c>
      <c r="D211" s="149">
        <f>0.1+0.24</f>
        <v>0.33999999999999997</v>
      </c>
      <c r="E211" s="655">
        <f>14540/0.84*0.34</f>
        <v>5885.2380952380954</v>
      </c>
      <c r="F211" s="655">
        <f>ROUND(E211*1,2)</f>
        <v>5885.24</v>
      </c>
      <c r="G211" s="655">
        <f t="shared" ref="G211" si="188">ROUND(F211*1.2,2)</f>
        <v>7062.29</v>
      </c>
      <c r="H211" s="655"/>
      <c r="I211" s="655"/>
      <c r="J211" s="655"/>
      <c r="K211" s="655">
        <f t="shared" ref="K211:L211" si="189">F211+I211</f>
        <v>5885.24</v>
      </c>
      <c r="L211" s="655">
        <f t="shared" si="189"/>
        <v>7062.29</v>
      </c>
      <c r="M211" s="66"/>
    </row>
    <row r="212" spans="1:13" ht="19.5" customHeight="1" x14ac:dyDescent="0.25">
      <c r="A212" s="113" t="s">
        <v>276</v>
      </c>
      <c r="B212" s="120" t="s">
        <v>195</v>
      </c>
      <c r="C212" s="121" t="s">
        <v>35</v>
      </c>
      <c r="D212" s="89">
        <v>1</v>
      </c>
      <c r="E212" s="656"/>
      <c r="F212" s="656"/>
      <c r="G212" s="656"/>
      <c r="H212" s="656"/>
      <c r="I212" s="656"/>
      <c r="J212" s="656"/>
      <c r="K212" s="656"/>
      <c r="L212" s="656"/>
      <c r="M212" s="148"/>
    </row>
    <row r="213" spans="1:13" ht="19.5" customHeight="1" x14ac:dyDescent="0.25">
      <c r="A213" s="113"/>
      <c r="B213" s="129" t="s">
        <v>224</v>
      </c>
      <c r="C213" s="121"/>
      <c r="D213" s="89"/>
      <c r="E213" s="168"/>
      <c r="F213" s="168"/>
      <c r="G213" s="168"/>
      <c r="H213" s="168"/>
      <c r="I213" s="168"/>
      <c r="J213" s="168"/>
      <c r="K213" s="168"/>
      <c r="L213" s="168"/>
      <c r="M213" s="148"/>
    </row>
    <row r="214" spans="1:13" ht="30.75" customHeight="1" x14ac:dyDescent="0.25">
      <c r="A214" s="88" t="e">
        <f>A211+1</f>
        <v>#REF!</v>
      </c>
      <c r="B214" s="120" t="s">
        <v>199</v>
      </c>
      <c r="C214" s="88" t="s">
        <v>13</v>
      </c>
      <c r="D214" s="109">
        <f>0.1+0.08</f>
        <v>0.18</v>
      </c>
      <c r="E214" s="25">
        <v>17265.68</v>
      </c>
      <c r="F214" s="16">
        <f t="shared" ref="F214" si="190">ROUND(E214*D214,2)</f>
        <v>3107.82</v>
      </c>
      <c r="G214" s="16">
        <f t="shared" ref="G214" si="191">ROUND(F214*1.2,2)</f>
        <v>3729.38</v>
      </c>
      <c r="H214" s="147"/>
      <c r="I214" s="16"/>
      <c r="J214" s="16"/>
      <c r="K214" s="18">
        <f t="shared" ref="K214:L217" si="192">F214+I214</f>
        <v>3107.82</v>
      </c>
      <c r="L214" s="91">
        <f t="shared" si="192"/>
        <v>3729.38</v>
      </c>
      <c r="M214" s="112"/>
    </row>
    <row r="215" spans="1:13" ht="18.75" customHeight="1" x14ac:dyDescent="0.25">
      <c r="A215" s="113" t="s">
        <v>240</v>
      </c>
      <c r="B215" s="154" t="s">
        <v>239</v>
      </c>
      <c r="C215" s="114" t="s">
        <v>35</v>
      </c>
      <c r="D215" s="151">
        <v>1</v>
      </c>
      <c r="E215" s="28"/>
      <c r="F215" s="22"/>
      <c r="G215" s="22"/>
      <c r="H215" s="152">
        <v>4025</v>
      </c>
      <c r="I215" s="22">
        <f t="shared" ref="I215:I217" si="193">ROUND(H215*D215,2)</f>
        <v>4025</v>
      </c>
      <c r="J215" s="22">
        <f t="shared" ref="J215:J217" si="194">ROUND(I215*1.2,2)</f>
        <v>4830</v>
      </c>
      <c r="K215" s="23">
        <f t="shared" si="192"/>
        <v>4025</v>
      </c>
      <c r="L215" s="22">
        <f t="shared" si="192"/>
        <v>4830</v>
      </c>
      <c r="M215" s="37" t="s">
        <v>210</v>
      </c>
    </row>
    <row r="216" spans="1:13" ht="18.75" customHeight="1" x14ac:dyDescent="0.25">
      <c r="A216" s="113" t="s">
        <v>241</v>
      </c>
      <c r="B216" s="150" t="s">
        <v>238</v>
      </c>
      <c r="C216" s="114" t="s">
        <v>35</v>
      </c>
      <c r="D216" s="151">
        <v>1</v>
      </c>
      <c r="E216" s="28"/>
      <c r="F216" s="22"/>
      <c r="G216" s="22"/>
      <c r="H216" s="152">
        <v>3099.25</v>
      </c>
      <c r="I216" s="22">
        <f t="shared" si="193"/>
        <v>3099.25</v>
      </c>
      <c r="J216" s="22">
        <f t="shared" si="194"/>
        <v>3719.1</v>
      </c>
      <c r="K216" s="23">
        <f t="shared" si="192"/>
        <v>3099.25</v>
      </c>
      <c r="L216" s="22">
        <f t="shared" si="192"/>
        <v>3719.1</v>
      </c>
      <c r="M216" s="37"/>
    </row>
    <row r="217" spans="1:13" ht="18.75" customHeight="1" x14ac:dyDescent="0.25">
      <c r="A217" s="113" t="s">
        <v>242</v>
      </c>
      <c r="B217" s="154" t="s">
        <v>216</v>
      </c>
      <c r="C217" s="114" t="s">
        <v>35</v>
      </c>
      <c r="D217" s="151">
        <v>1</v>
      </c>
      <c r="E217" s="28"/>
      <c r="F217" s="22"/>
      <c r="G217" s="22"/>
      <c r="H217" s="152">
        <v>14421</v>
      </c>
      <c r="I217" s="22">
        <f t="shared" si="193"/>
        <v>14421</v>
      </c>
      <c r="J217" s="22">
        <f t="shared" si="194"/>
        <v>17305.2</v>
      </c>
      <c r="K217" s="23">
        <f t="shared" si="192"/>
        <v>14421</v>
      </c>
      <c r="L217" s="22">
        <f t="shared" si="192"/>
        <v>17305.2</v>
      </c>
      <c r="M217" s="37" t="s">
        <v>210</v>
      </c>
    </row>
    <row r="218" spans="1:13" ht="21.75" customHeight="1" x14ac:dyDescent="0.25">
      <c r="A218" s="156"/>
      <c r="B218" s="157" t="s">
        <v>258</v>
      </c>
      <c r="C218" s="158"/>
      <c r="D218" s="159"/>
      <c r="E218" s="160"/>
      <c r="F218" s="161"/>
      <c r="G218" s="161"/>
      <c r="H218" s="162"/>
      <c r="I218" s="161"/>
      <c r="J218" s="161"/>
      <c r="K218" s="160"/>
      <c r="L218" s="163"/>
    </row>
    <row r="219" spans="1:13" ht="21.75" customHeight="1" x14ac:dyDescent="0.25">
      <c r="A219" s="11"/>
      <c r="B219" s="129" t="s">
        <v>223</v>
      </c>
      <c r="C219" s="88"/>
      <c r="D219" s="109"/>
      <c r="E219" s="18"/>
      <c r="F219" s="16"/>
      <c r="G219" s="16"/>
      <c r="H219" s="147"/>
      <c r="I219" s="16"/>
      <c r="J219" s="16"/>
      <c r="K219" s="18"/>
      <c r="L219" s="91"/>
      <c r="M219" s="66"/>
    </row>
    <row r="220" spans="1:13" ht="21" customHeight="1" x14ac:dyDescent="0.25">
      <c r="A220" s="88" t="e">
        <f>A214+1</f>
        <v>#REF!</v>
      </c>
      <c r="B220" s="120" t="s">
        <v>212</v>
      </c>
      <c r="C220" s="121" t="s">
        <v>13</v>
      </c>
      <c r="D220" s="149">
        <f>0.06+0.219+0.06+0.24+0.19</f>
        <v>0.76899999999999991</v>
      </c>
      <c r="E220" s="167">
        <f>14540/0.84*0.48</f>
        <v>8308.5714285714275</v>
      </c>
      <c r="F220" s="167">
        <f>ROUND(E220*1,2)</f>
        <v>8308.57</v>
      </c>
      <c r="G220" s="167">
        <f t="shared" ref="G220:G222" si="195">ROUND(F220*1.2,2)</f>
        <v>9970.2800000000007</v>
      </c>
      <c r="H220" s="167"/>
      <c r="I220" s="167"/>
      <c r="J220" s="167"/>
      <c r="K220" s="167">
        <f t="shared" ref="K220:L222" si="196">F220+I220</f>
        <v>8308.57</v>
      </c>
      <c r="L220" s="167">
        <f t="shared" si="196"/>
        <v>9970.2800000000007</v>
      </c>
      <c r="M220" s="66"/>
    </row>
    <row r="221" spans="1:13" ht="21" customHeight="1" x14ac:dyDescent="0.25">
      <c r="A221" s="88" t="e">
        <f>A220+1</f>
        <v>#REF!</v>
      </c>
      <c r="B221" s="120" t="s">
        <v>213</v>
      </c>
      <c r="C221" s="121" t="s">
        <v>35</v>
      </c>
      <c r="D221" s="101">
        <v>2</v>
      </c>
      <c r="E221" s="167">
        <f>2170.75*0.7</f>
        <v>1519.5249999999999</v>
      </c>
      <c r="F221" s="167">
        <f>ROUND(E221*1,2)</f>
        <v>1519.53</v>
      </c>
      <c r="G221" s="167">
        <f t="shared" si="195"/>
        <v>1823.44</v>
      </c>
      <c r="H221" s="167"/>
      <c r="I221" s="167"/>
      <c r="J221" s="167"/>
      <c r="K221" s="167">
        <f t="shared" si="196"/>
        <v>1519.53</v>
      </c>
      <c r="L221" s="167">
        <f t="shared" si="196"/>
        <v>1823.44</v>
      </c>
      <c r="M221" s="66"/>
    </row>
    <row r="222" spans="1:13" ht="21" customHeight="1" x14ac:dyDescent="0.25">
      <c r="A222" s="88" t="e">
        <f>A221+1</f>
        <v>#REF!</v>
      </c>
      <c r="B222" s="120" t="s">
        <v>257</v>
      </c>
      <c r="C222" s="121" t="s">
        <v>15</v>
      </c>
      <c r="D222" s="149">
        <f>4.4+5.6</f>
        <v>10</v>
      </c>
      <c r="E222" s="167">
        <f>1149.5*0.7</f>
        <v>804.65</v>
      </c>
      <c r="F222" s="167">
        <f>ROUND(E222*1,2)</f>
        <v>804.65</v>
      </c>
      <c r="G222" s="167">
        <f t="shared" si="195"/>
        <v>965.58</v>
      </c>
      <c r="H222" s="167"/>
      <c r="I222" s="167"/>
      <c r="J222" s="167"/>
      <c r="K222" s="167">
        <f t="shared" si="196"/>
        <v>804.65</v>
      </c>
      <c r="L222" s="167">
        <f t="shared" si="196"/>
        <v>965.58</v>
      </c>
      <c r="M222" s="66"/>
    </row>
    <row r="223" spans="1:13" ht="21.75" customHeight="1" x14ac:dyDescent="0.25">
      <c r="A223" s="156"/>
      <c r="B223" s="157" t="s">
        <v>259</v>
      </c>
      <c r="C223" s="158"/>
      <c r="D223" s="159"/>
      <c r="E223" s="160"/>
      <c r="F223" s="161"/>
      <c r="G223" s="161"/>
      <c r="H223" s="162"/>
      <c r="I223" s="161"/>
      <c r="J223" s="161"/>
      <c r="K223" s="160"/>
      <c r="L223" s="163"/>
    </row>
    <row r="224" spans="1:13" ht="19.5" customHeight="1" x14ac:dyDescent="0.25">
      <c r="A224" s="113"/>
      <c r="B224" s="129" t="s">
        <v>224</v>
      </c>
      <c r="C224" s="121"/>
      <c r="D224" s="89"/>
      <c r="E224" s="168"/>
      <c r="F224" s="168"/>
      <c r="G224" s="168"/>
      <c r="H224" s="168"/>
      <c r="I224" s="168"/>
      <c r="J224" s="168"/>
      <c r="K224" s="168"/>
      <c r="L224" s="168"/>
      <c r="M224" s="148"/>
    </row>
    <row r="225" spans="1:13" ht="30.75" customHeight="1" x14ac:dyDescent="0.25">
      <c r="A225" s="88" t="e">
        <f>A222+1</f>
        <v>#REF!</v>
      </c>
      <c r="B225" s="120" t="s">
        <v>199</v>
      </c>
      <c r="C225" s="88" t="s">
        <v>13</v>
      </c>
      <c r="D225" s="109">
        <v>0.02</v>
      </c>
      <c r="E225" s="25">
        <v>17265.68</v>
      </c>
      <c r="F225" s="16">
        <f t="shared" ref="F225" si="197">ROUND(E225*D225,2)</f>
        <v>345.31</v>
      </c>
      <c r="G225" s="16">
        <f t="shared" ref="G225" si="198">ROUND(F225*1.2,2)</f>
        <v>414.37</v>
      </c>
      <c r="H225" s="147"/>
      <c r="I225" s="16"/>
      <c r="J225" s="16"/>
      <c r="K225" s="18">
        <f t="shared" ref="K225:L227" si="199">F225+I225</f>
        <v>345.31</v>
      </c>
      <c r="L225" s="91">
        <f t="shared" si="199"/>
        <v>414.37</v>
      </c>
      <c r="M225" s="112"/>
    </row>
    <row r="226" spans="1:13" ht="18.75" customHeight="1" x14ac:dyDescent="0.25">
      <c r="A226" s="113" t="s">
        <v>246</v>
      </c>
      <c r="B226" s="150" t="s">
        <v>238</v>
      </c>
      <c r="C226" s="114" t="s">
        <v>35</v>
      </c>
      <c r="D226" s="151">
        <v>1</v>
      </c>
      <c r="E226" s="28"/>
      <c r="F226" s="22"/>
      <c r="G226" s="22"/>
      <c r="H226" s="152">
        <v>3099.25</v>
      </c>
      <c r="I226" s="22">
        <f t="shared" ref="I226:I227" si="200">ROUND(H226*D226,2)</f>
        <v>3099.25</v>
      </c>
      <c r="J226" s="22">
        <f t="shared" ref="J226:J227" si="201">ROUND(I226*1.2,2)</f>
        <v>3719.1</v>
      </c>
      <c r="K226" s="23">
        <f t="shared" si="199"/>
        <v>3099.25</v>
      </c>
      <c r="L226" s="22">
        <f t="shared" si="199"/>
        <v>3719.1</v>
      </c>
      <c r="M226" s="37"/>
    </row>
    <row r="227" spans="1:13" ht="18.75" customHeight="1" x14ac:dyDescent="0.25">
      <c r="A227" s="113" t="s">
        <v>247</v>
      </c>
      <c r="B227" s="150" t="s">
        <v>216</v>
      </c>
      <c r="C227" s="114" t="s">
        <v>35</v>
      </c>
      <c r="D227" s="151">
        <v>1</v>
      </c>
      <c r="E227" s="28"/>
      <c r="F227" s="22"/>
      <c r="G227" s="22"/>
      <c r="H227" s="152">
        <v>14421</v>
      </c>
      <c r="I227" s="22">
        <f t="shared" si="200"/>
        <v>14421</v>
      </c>
      <c r="J227" s="22">
        <f t="shared" si="201"/>
        <v>17305.2</v>
      </c>
      <c r="K227" s="23">
        <f t="shared" si="199"/>
        <v>14421</v>
      </c>
      <c r="L227" s="22">
        <f t="shared" si="199"/>
        <v>17305.2</v>
      </c>
      <c r="M227" s="37"/>
    </row>
    <row r="228" spans="1:13" ht="21.75" customHeight="1" x14ac:dyDescent="0.25">
      <c r="A228" s="156"/>
      <c r="B228" s="157" t="s">
        <v>263</v>
      </c>
      <c r="C228" s="158"/>
      <c r="D228" s="159"/>
      <c r="E228" s="160"/>
      <c r="F228" s="161"/>
      <c r="G228" s="161"/>
      <c r="H228" s="162"/>
      <c r="I228" s="161"/>
      <c r="J228" s="161"/>
      <c r="K228" s="160"/>
      <c r="L228" s="163"/>
    </row>
    <row r="229" spans="1:13" ht="19.5" customHeight="1" x14ac:dyDescent="0.25">
      <c r="A229" s="113"/>
      <c r="B229" s="129" t="s">
        <v>224</v>
      </c>
      <c r="C229" s="121"/>
      <c r="D229" s="89"/>
      <c r="E229" s="168"/>
      <c r="F229" s="168"/>
      <c r="G229" s="168"/>
      <c r="H229" s="168"/>
      <c r="I229" s="168"/>
      <c r="J229" s="168"/>
      <c r="K229" s="168"/>
      <c r="L229" s="168"/>
      <c r="M229" s="148"/>
    </row>
    <row r="230" spans="1:13" ht="18" customHeight="1" x14ac:dyDescent="0.25">
      <c r="A230" s="36" t="e">
        <f>A225+1</f>
        <v>#REF!</v>
      </c>
      <c r="B230" s="35" t="s">
        <v>262</v>
      </c>
      <c r="C230" s="36" t="s">
        <v>13</v>
      </c>
      <c r="D230" s="143">
        <f>0.042+0.084+0.084+0.084+0.084</f>
        <v>0.37800000000000006</v>
      </c>
      <c r="E230" s="25">
        <v>6799</v>
      </c>
      <c r="F230" s="30">
        <f t="shared" ref="F230" si="202">ROUND(E230*D230,2)</f>
        <v>2570.02</v>
      </c>
      <c r="G230" s="30">
        <f t="shared" ref="G230" si="203">ROUND(F230*1.2,2)</f>
        <v>3084.02</v>
      </c>
      <c r="H230" s="27"/>
      <c r="I230" s="30"/>
      <c r="J230" s="30"/>
      <c r="K230" s="31">
        <f t="shared" ref="K230:L233" si="204">F230+I230</f>
        <v>2570.02</v>
      </c>
      <c r="L230" s="32">
        <f t="shared" si="204"/>
        <v>3084.02</v>
      </c>
    </row>
    <row r="231" spans="1:13" ht="18" customHeight="1" x14ac:dyDescent="0.25">
      <c r="A231" s="67" t="s">
        <v>248</v>
      </c>
      <c r="B231" s="68" t="s">
        <v>64</v>
      </c>
      <c r="C231" s="67" t="s">
        <v>35</v>
      </c>
      <c r="D231" s="164">
        <f>453*D230</f>
        <v>171.23400000000004</v>
      </c>
      <c r="E231" s="28"/>
      <c r="F231" s="22"/>
      <c r="G231" s="22"/>
      <c r="H231" s="28">
        <v>24</v>
      </c>
      <c r="I231" s="22">
        <f>ROUND(H231*D231,2)</f>
        <v>4109.62</v>
      </c>
      <c r="J231" s="22">
        <f t="shared" ref="J231" si="205">ROUND(I231*1.2,2)</f>
        <v>4931.54</v>
      </c>
      <c r="K231" s="23">
        <f t="shared" si="204"/>
        <v>4109.62</v>
      </c>
      <c r="L231" s="24">
        <f t="shared" si="204"/>
        <v>4931.54</v>
      </c>
    </row>
    <row r="232" spans="1:13" ht="18.75" customHeight="1" x14ac:dyDescent="0.25">
      <c r="A232" s="107" t="e">
        <f>A230+1</f>
        <v>#REF!</v>
      </c>
      <c r="B232" s="105" t="s">
        <v>129</v>
      </c>
      <c r="C232" s="88" t="s">
        <v>35</v>
      </c>
      <c r="D232" s="106">
        <v>5</v>
      </c>
      <c r="E232" s="15">
        <v>1974</v>
      </c>
      <c r="F232" s="91">
        <f>ROUND(E232*D232,2)</f>
        <v>9870</v>
      </c>
      <c r="G232" s="91">
        <f t="shared" ref="G232" si="206">ROUND(F232*1.2,2)</f>
        <v>11844</v>
      </c>
      <c r="H232" s="18"/>
      <c r="I232" s="91"/>
      <c r="J232" s="91"/>
      <c r="K232" s="18">
        <f t="shared" si="204"/>
        <v>9870</v>
      </c>
      <c r="L232" s="91">
        <f t="shared" si="204"/>
        <v>11844</v>
      </c>
    </row>
    <row r="233" spans="1:13" ht="18.75" customHeight="1" x14ac:dyDescent="0.25">
      <c r="A233" s="85" t="s">
        <v>249</v>
      </c>
      <c r="B233" s="68" t="s">
        <v>128</v>
      </c>
      <c r="C233" s="67" t="s">
        <v>35</v>
      </c>
      <c r="D233" s="100">
        <v>5</v>
      </c>
      <c r="E233" s="28"/>
      <c r="F233" s="22"/>
      <c r="G233" s="22"/>
      <c r="H233" s="28">
        <v>14421</v>
      </c>
      <c r="I233" s="22">
        <f t="shared" ref="I233" si="207">ROUND(H233*D233,2)</f>
        <v>72105</v>
      </c>
      <c r="J233" s="22">
        <f t="shared" ref="J233" si="208">ROUND(I233*1.2,2)</f>
        <v>86526</v>
      </c>
      <c r="K233" s="23">
        <f t="shared" si="204"/>
        <v>72105</v>
      </c>
      <c r="L233" s="24">
        <f t="shared" si="204"/>
        <v>86526</v>
      </c>
    </row>
    <row r="234" spans="1:13" ht="21.75" customHeight="1" x14ac:dyDescent="0.25">
      <c r="A234" s="156"/>
      <c r="B234" s="157" t="s">
        <v>264</v>
      </c>
      <c r="C234" s="158"/>
      <c r="D234" s="159"/>
      <c r="E234" s="160"/>
      <c r="F234" s="161"/>
      <c r="G234" s="161"/>
      <c r="H234" s="162"/>
      <c r="I234" s="161"/>
      <c r="J234" s="161"/>
      <c r="K234" s="160"/>
      <c r="L234" s="163"/>
    </row>
    <row r="235" spans="1:13" ht="18.75" customHeight="1" x14ac:dyDescent="0.25">
      <c r="A235" s="107" t="e">
        <f>A232+1</f>
        <v>#REF!</v>
      </c>
      <c r="B235" s="105" t="s">
        <v>129</v>
      </c>
      <c r="C235" s="88" t="s">
        <v>35</v>
      </c>
      <c r="D235" s="106">
        <v>1</v>
      </c>
      <c r="E235" s="15">
        <v>1974</v>
      </c>
      <c r="F235" s="91">
        <f>ROUND(E235*D235,2)</f>
        <v>1974</v>
      </c>
      <c r="G235" s="91">
        <f t="shared" ref="G235" si="209">ROUND(F235*1.2,2)</f>
        <v>2368.8000000000002</v>
      </c>
      <c r="H235" s="18"/>
      <c r="I235" s="91"/>
      <c r="J235" s="91"/>
      <c r="K235" s="18">
        <f t="shared" ref="K235:L241" si="210">F235+I235</f>
        <v>1974</v>
      </c>
      <c r="L235" s="91">
        <f t="shared" si="210"/>
        <v>2368.8000000000002</v>
      </c>
    </row>
    <row r="236" spans="1:13" ht="18.75" customHeight="1" x14ac:dyDescent="0.25">
      <c r="A236" s="85" t="s">
        <v>277</v>
      </c>
      <c r="B236" s="68" t="s">
        <v>128</v>
      </c>
      <c r="C236" s="67" t="s">
        <v>35</v>
      </c>
      <c r="D236" s="100">
        <v>1</v>
      </c>
      <c r="E236" s="28"/>
      <c r="F236" s="22"/>
      <c r="G236" s="22"/>
      <c r="H236" s="28">
        <v>14421</v>
      </c>
      <c r="I236" s="22">
        <f t="shared" ref="I236" si="211">ROUND(H236*D236,2)</f>
        <v>14421</v>
      </c>
      <c r="J236" s="22">
        <f t="shared" ref="J236" si="212">ROUND(I236*1.2,2)</f>
        <v>17305.2</v>
      </c>
      <c r="K236" s="23">
        <f t="shared" si="210"/>
        <v>14421</v>
      </c>
      <c r="L236" s="24">
        <f t="shared" si="210"/>
        <v>17305.2</v>
      </c>
    </row>
    <row r="237" spans="1:13" ht="18.75" customHeight="1" x14ac:dyDescent="0.25">
      <c r="A237" s="156"/>
      <c r="B237" s="157" t="s">
        <v>265</v>
      </c>
      <c r="C237" s="158"/>
      <c r="D237" s="159"/>
      <c r="E237" s="160"/>
      <c r="F237" s="161"/>
      <c r="G237" s="161"/>
      <c r="H237" s="162"/>
      <c r="I237" s="161"/>
      <c r="J237" s="161"/>
      <c r="K237" s="160"/>
      <c r="L237" s="163"/>
    </row>
    <row r="238" spans="1:13" ht="27.75" customHeight="1" x14ac:dyDescent="0.25">
      <c r="A238" s="88" t="e">
        <f>A232+1</f>
        <v>#REF!</v>
      </c>
      <c r="B238" s="108" t="s">
        <v>260</v>
      </c>
      <c r="C238" s="88" t="s">
        <v>41</v>
      </c>
      <c r="D238" s="149">
        <f>0.29+0.22+0.44*4+0.185+1.46+4.76+2.3+1.24+1.46+5.15+0.61+3.57+3.41</f>
        <v>26.415000000000003</v>
      </c>
      <c r="E238" s="18">
        <v>144.4</v>
      </c>
      <c r="F238" s="16">
        <f>ROUND(E238*D238,2)</f>
        <v>3814.33</v>
      </c>
      <c r="G238" s="16">
        <f t="shared" ref="G238" si="213">ROUND(F238*1.2,2)</f>
        <v>4577.2</v>
      </c>
      <c r="H238" s="18"/>
      <c r="I238" s="16"/>
      <c r="J238" s="16"/>
      <c r="K238" s="18">
        <f t="shared" si="210"/>
        <v>3814.33</v>
      </c>
      <c r="L238" s="91">
        <f t="shared" si="210"/>
        <v>4577.2</v>
      </c>
      <c r="M238" s="66"/>
    </row>
    <row r="239" spans="1:13" ht="17.25" customHeight="1" x14ac:dyDescent="0.25">
      <c r="A239" s="113" t="s">
        <v>277</v>
      </c>
      <c r="B239" s="150" t="s">
        <v>203</v>
      </c>
      <c r="C239" s="114" t="s">
        <v>204</v>
      </c>
      <c r="D239" s="153">
        <f>D238*0.3*20/16</f>
        <v>9.9056250000000006</v>
      </c>
      <c r="E239" s="28"/>
      <c r="F239" s="22"/>
      <c r="G239" s="22"/>
      <c r="H239" s="152">
        <v>237.5</v>
      </c>
      <c r="I239" s="22">
        <f>ROUND(H239*D239,2)</f>
        <v>2352.59</v>
      </c>
      <c r="J239" s="22">
        <f t="shared" ref="J239" si="214">ROUND(I239*1.2,2)</f>
        <v>2823.11</v>
      </c>
      <c r="K239" s="23">
        <f t="shared" si="210"/>
        <v>2352.59</v>
      </c>
      <c r="L239" s="22">
        <f t="shared" si="210"/>
        <v>2823.11</v>
      </c>
      <c r="M239" s="66"/>
    </row>
    <row r="240" spans="1:13" ht="28.5" customHeight="1" x14ac:dyDescent="0.25">
      <c r="A240" s="88" t="e">
        <f>A238+1</f>
        <v>#REF!</v>
      </c>
      <c r="B240" s="108" t="s">
        <v>261</v>
      </c>
      <c r="C240" s="88" t="s">
        <v>41</v>
      </c>
      <c r="D240" s="149">
        <f>0.29+0.22+0.44*4+0.185+1.46+4.76+2.3+1.24+1.46+5.15+0.61+3.57+3.41</f>
        <v>26.415000000000003</v>
      </c>
      <c r="E240" s="18">
        <v>299.76</v>
      </c>
      <c r="F240" s="16">
        <f>ROUND(E240*D240,2)</f>
        <v>7918.16</v>
      </c>
      <c r="G240" s="16">
        <f t="shared" ref="G240" si="215">ROUND(F240*1.2,2)</f>
        <v>9501.7900000000009</v>
      </c>
      <c r="H240" s="18"/>
      <c r="I240" s="16"/>
      <c r="J240" s="16"/>
      <c r="K240" s="18">
        <f t="shared" si="210"/>
        <v>7918.16</v>
      </c>
      <c r="L240" s="91">
        <f t="shared" si="210"/>
        <v>9501.7900000000009</v>
      </c>
      <c r="M240" s="66"/>
    </row>
    <row r="241" spans="1:13" x14ac:dyDescent="0.25">
      <c r="A241" s="113" t="s">
        <v>251</v>
      </c>
      <c r="B241" s="150" t="s">
        <v>205</v>
      </c>
      <c r="C241" s="114" t="s">
        <v>58</v>
      </c>
      <c r="D241" s="115">
        <f>D240*0.7*2</f>
        <v>36.981000000000002</v>
      </c>
      <c r="E241" s="28"/>
      <c r="F241" s="22"/>
      <c r="G241" s="22"/>
      <c r="H241" s="152">
        <v>296.39999999999998</v>
      </c>
      <c r="I241" s="22">
        <f t="shared" ref="I241" si="216">ROUND(H241*D241,2)</f>
        <v>10961.17</v>
      </c>
      <c r="J241" s="22">
        <f t="shared" ref="J241" si="217">ROUND(I241*1.2,2)</f>
        <v>13153.4</v>
      </c>
      <c r="K241" s="28">
        <f t="shared" si="210"/>
        <v>10961.17</v>
      </c>
      <c r="L241" s="134">
        <f t="shared" si="210"/>
        <v>13153.4</v>
      </c>
      <c r="M241" s="66"/>
    </row>
    <row r="242" spans="1:13" ht="18" customHeight="1" x14ac:dyDescent="0.25">
      <c r="A242" s="36"/>
      <c r="B242" s="145" t="s">
        <v>164</v>
      </c>
      <c r="C242" s="36"/>
      <c r="D242" s="142"/>
      <c r="E242" s="25"/>
      <c r="F242" s="30"/>
      <c r="G242" s="30"/>
      <c r="H242" s="27"/>
      <c r="I242" s="30"/>
      <c r="J242" s="30"/>
      <c r="K242" s="31"/>
      <c r="L242" s="32"/>
    </row>
    <row r="243" spans="1:13" ht="18" customHeight="1" x14ac:dyDescent="0.25">
      <c r="A243" s="36" t="e">
        <f>A240+1</f>
        <v>#REF!</v>
      </c>
      <c r="B243" s="35" t="s">
        <v>165</v>
      </c>
      <c r="C243" s="36" t="s">
        <v>17</v>
      </c>
      <c r="D243" s="146">
        <v>10.88</v>
      </c>
      <c r="E243" s="25">
        <v>544.86</v>
      </c>
      <c r="F243" s="30">
        <f t="shared" ref="F243" si="218">ROUND(E243*D243,2)</f>
        <v>5928.08</v>
      </c>
      <c r="G243" s="30">
        <f t="shared" ref="G243" si="219">ROUND(F243*1.2,2)</f>
        <v>7113.7</v>
      </c>
      <c r="H243" s="27"/>
      <c r="I243" s="30"/>
      <c r="J243" s="30"/>
      <c r="K243" s="31">
        <f t="shared" ref="K243:L243" si="220">F243+I243</f>
        <v>5928.08</v>
      </c>
      <c r="L243" s="32">
        <f t="shared" si="220"/>
        <v>7113.7</v>
      </c>
    </row>
    <row r="244" spans="1:13" ht="27.75" customHeight="1" x14ac:dyDescent="0.25">
      <c r="A244" s="70"/>
      <c r="B244" s="81" t="s">
        <v>278</v>
      </c>
      <c r="C244" s="70"/>
      <c r="D244" s="82"/>
      <c r="E244" s="79"/>
      <c r="F244" s="74"/>
      <c r="G244" s="74"/>
      <c r="H244" s="75"/>
      <c r="I244" s="74"/>
      <c r="J244" s="74"/>
      <c r="K244" s="73"/>
      <c r="L244" s="76"/>
    </row>
    <row r="245" spans="1:13" ht="44.25" customHeight="1" x14ac:dyDescent="0.25">
      <c r="A245" s="36" t="e">
        <f>A243+1</f>
        <v>#REF!</v>
      </c>
      <c r="B245" s="35" t="s">
        <v>279</v>
      </c>
      <c r="C245" s="36" t="s">
        <v>35</v>
      </c>
      <c r="D245" s="104">
        <v>4</v>
      </c>
      <c r="E245" s="69">
        <v>6852.75</v>
      </c>
      <c r="F245" s="30">
        <f t="shared" ref="F245" si="221">ROUND(E245*D245,2)</f>
        <v>27411</v>
      </c>
      <c r="G245" s="30">
        <f t="shared" ref="G245" si="222">ROUND(F245*1.2,2)</f>
        <v>32893.199999999997</v>
      </c>
      <c r="H245" s="27"/>
      <c r="I245" s="30"/>
      <c r="J245" s="30"/>
      <c r="K245" s="31">
        <f t="shared" ref="K245:L260" si="223">F245+I245</f>
        <v>27411</v>
      </c>
      <c r="L245" s="32">
        <f t="shared" si="223"/>
        <v>32893.199999999997</v>
      </c>
      <c r="M245" s="37" t="s">
        <v>106</v>
      </c>
    </row>
    <row r="246" spans="1:13" ht="24" customHeight="1" x14ac:dyDescent="0.25">
      <c r="A246" s="67" t="s">
        <v>252</v>
      </c>
      <c r="B246" s="68" t="s">
        <v>282</v>
      </c>
      <c r="C246" s="67" t="s">
        <v>35</v>
      </c>
      <c r="D246" s="100">
        <v>4</v>
      </c>
      <c r="E246" s="28"/>
      <c r="F246" s="22"/>
      <c r="G246" s="22"/>
      <c r="H246" s="86">
        <f>4800/1.2</f>
        <v>4000</v>
      </c>
      <c r="I246" s="22">
        <f>ROUND(H246*D246,2)</f>
        <v>16000</v>
      </c>
      <c r="J246" s="22">
        <f t="shared" ref="J246:J248" si="224">ROUND(I246*1.2,2)</f>
        <v>19200</v>
      </c>
      <c r="K246" s="23">
        <f t="shared" si="223"/>
        <v>16000</v>
      </c>
      <c r="L246" s="24">
        <f t="shared" si="223"/>
        <v>19200</v>
      </c>
      <c r="M246" s="37"/>
    </row>
    <row r="247" spans="1:13" ht="24" customHeight="1" x14ac:dyDescent="0.25">
      <c r="A247" s="67" t="s">
        <v>285</v>
      </c>
      <c r="B247" s="68" t="s">
        <v>283</v>
      </c>
      <c r="C247" s="67" t="s">
        <v>35</v>
      </c>
      <c r="D247" s="100">
        <v>8</v>
      </c>
      <c r="E247" s="28"/>
      <c r="F247" s="22"/>
      <c r="G247" s="22"/>
      <c r="H247" s="86">
        <f>100/1.2</f>
        <v>83.333333333333343</v>
      </c>
      <c r="I247" s="22">
        <f>ROUND(H247*D247,2)</f>
        <v>666.67</v>
      </c>
      <c r="J247" s="22">
        <f t="shared" si="224"/>
        <v>800</v>
      </c>
      <c r="K247" s="23">
        <f t="shared" si="223"/>
        <v>666.67</v>
      </c>
      <c r="L247" s="24">
        <f t="shared" si="223"/>
        <v>800</v>
      </c>
      <c r="M247" s="37"/>
    </row>
    <row r="248" spans="1:13" ht="30" customHeight="1" x14ac:dyDescent="0.25">
      <c r="A248" s="67" t="s">
        <v>286</v>
      </c>
      <c r="B248" s="68" t="s">
        <v>284</v>
      </c>
      <c r="C248" s="67" t="s">
        <v>35</v>
      </c>
      <c r="D248" s="100">
        <v>4</v>
      </c>
      <c r="E248" s="28"/>
      <c r="F248" s="22"/>
      <c r="G248" s="22"/>
      <c r="H248" s="86">
        <f>3200/1.2</f>
        <v>2666.666666666667</v>
      </c>
      <c r="I248" s="22">
        <f>ROUND(H248*D248,2)</f>
        <v>10666.67</v>
      </c>
      <c r="J248" s="22">
        <f t="shared" si="224"/>
        <v>12800</v>
      </c>
      <c r="K248" s="23">
        <f t="shared" si="223"/>
        <v>10666.67</v>
      </c>
      <c r="L248" s="24">
        <f t="shared" si="223"/>
        <v>12800</v>
      </c>
      <c r="M248" s="37"/>
    </row>
    <row r="249" spans="1:13" ht="33" customHeight="1" x14ac:dyDescent="0.25">
      <c r="A249" s="36" t="e">
        <f>A245+1</f>
        <v>#REF!</v>
      </c>
      <c r="B249" s="35" t="s">
        <v>280</v>
      </c>
      <c r="C249" s="36" t="s">
        <v>35</v>
      </c>
      <c r="D249" s="104">
        <v>16</v>
      </c>
      <c r="E249" s="69">
        <v>12278.56</v>
      </c>
      <c r="F249" s="30">
        <f t="shared" ref="F249" si="225">ROUND(E249*D249,2)</f>
        <v>196456.95999999999</v>
      </c>
      <c r="G249" s="30">
        <f t="shared" ref="G249" si="226">ROUND(F249*1.2,2)</f>
        <v>235748.35</v>
      </c>
      <c r="H249" s="27"/>
      <c r="I249" s="30"/>
      <c r="J249" s="30"/>
      <c r="K249" s="31">
        <f t="shared" si="223"/>
        <v>196456.95999999999</v>
      </c>
      <c r="L249" s="32">
        <f t="shared" si="223"/>
        <v>235748.35</v>
      </c>
      <c r="M249" s="37" t="s">
        <v>106</v>
      </c>
    </row>
    <row r="250" spans="1:13" ht="23.25" customHeight="1" x14ac:dyDescent="0.25">
      <c r="A250" s="67" t="s">
        <v>254</v>
      </c>
      <c r="B250" s="68" t="s">
        <v>287</v>
      </c>
      <c r="C250" s="67" t="s">
        <v>35</v>
      </c>
      <c r="D250" s="100">
        <v>16</v>
      </c>
      <c r="E250" s="28"/>
      <c r="F250" s="22"/>
      <c r="G250" s="22"/>
      <c r="H250" s="86">
        <f>2400/1.2</f>
        <v>2000</v>
      </c>
      <c r="I250" s="22">
        <f>ROUND(H250*D250,2)</f>
        <v>32000</v>
      </c>
      <c r="J250" s="22">
        <f t="shared" ref="J250:J262" si="227">ROUND(I250*1.2,2)</f>
        <v>38400</v>
      </c>
      <c r="K250" s="23">
        <f t="shared" si="223"/>
        <v>32000</v>
      </c>
      <c r="L250" s="24">
        <f t="shared" si="223"/>
        <v>38400</v>
      </c>
      <c r="M250" s="63" t="s">
        <v>313</v>
      </c>
    </row>
    <row r="251" spans="1:13" ht="23.25" customHeight="1" x14ac:dyDescent="0.25">
      <c r="A251" s="67" t="s">
        <v>300</v>
      </c>
      <c r="B251" s="68" t="s">
        <v>288</v>
      </c>
      <c r="C251" s="67" t="s">
        <v>35</v>
      </c>
      <c r="D251" s="100">
        <v>16</v>
      </c>
      <c r="E251" s="28"/>
      <c r="F251" s="22"/>
      <c r="G251" s="22"/>
      <c r="H251" s="86">
        <f>3322.22/1.2</f>
        <v>2768.5166666666664</v>
      </c>
      <c r="I251" s="22">
        <f t="shared" ref="I251:I262" si="228">ROUND(H251*D251,2)</f>
        <v>44296.27</v>
      </c>
      <c r="J251" s="22">
        <f t="shared" si="227"/>
        <v>53155.519999999997</v>
      </c>
      <c r="K251" s="23">
        <f t="shared" si="223"/>
        <v>44296.27</v>
      </c>
      <c r="L251" s="24">
        <f t="shared" si="223"/>
        <v>53155.519999999997</v>
      </c>
      <c r="M251" s="63" t="s">
        <v>312</v>
      </c>
    </row>
    <row r="252" spans="1:13" ht="23.25" customHeight="1" x14ac:dyDescent="0.25">
      <c r="A252" s="67" t="s">
        <v>301</v>
      </c>
      <c r="B252" s="68" t="s">
        <v>283</v>
      </c>
      <c r="C252" s="67" t="s">
        <v>35</v>
      </c>
      <c r="D252" s="100">
        <v>48</v>
      </c>
      <c r="E252" s="28"/>
      <c r="F252" s="22"/>
      <c r="G252" s="22"/>
      <c r="H252" s="86">
        <f>100/1.2</f>
        <v>83.333333333333343</v>
      </c>
      <c r="I252" s="22">
        <f t="shared" si="228"/>
        <v>4000</v>
      </c>
      <c r="J252" s="22">
        <f t="shared" si="227"/>
        <v>4800</v>
      </c>
      <c r="K252" s="23">
        <f t="shared" si="223"/>
        <v>4000</v>
      </c>
      <c r="L252" s="24">
        <f t="shared" si="223"/>
        <v>4800</v>
      </c>
      <c r="M252" s="63" t="s">
        <v>313</v>
      </c>
    </row>
    <row r="253" spans="1:13" ht="23.25" customHeight="1" x14ac:dyDescent="0.25">
      <c r="A253" s="67" t="s">
        <v>302</v>
      </c>
      <c r="B253" s="68" t="s">
        <v>289</v>
      </c>
      <c r="C253" s="67" t="s">
        <v>35</v>
      </c>
      <c r="D253" s="100">
        <v>2</v>
      </c>
      <c r="E253" s="28"/>
      <c r="F253" s="22"/>
      <c r="G253" s="22"/>
      <c r="H253" s="86">
        <f>3200/1.2</f>
        <v>2666.666666666667</v>
      </c>
      <c r="I253" s="22">
        <f t="shared" si="228"/>
        <v>5333.33</v>
      </c>
      <c r="J253" s="22">
        <f t="shared" si="227"/>
        <v>6400</v>
      </c>
      <c r="K253" s="23">
        <f t="shared" si="223"/>
        <v>5333.33</v>
      </c>
      <c r="L253" s="24">
        <f t="shared" si="223"/>
        <v>6400</v>
      </c>
      <c r="M253" s="63" t="s">
        <v>313</v>
      </c>
    </row>
    <row r="254" spans="1:13" ht="23.25" customHeight="1" x14ac:dyDescent="0.25">
      <c r="A254" s="67" t="s">
        <v>303</v>
      </c>
      <c r="B254" s="68" t="s">
        <v>290</v>
      </c>
      <c r="C254" s="67" t="s">
        <v>35</v>
      </c>
      <c r="D254" s="100">
        <v>8</v>
      </c>
      <c r="E254" s="28"/>
      <c r="F254" s="22"/>
      <c r="G254" s="22"/>
      <c r="H254" s="86">
        <f>3000/1.2</f>
        <v>2500</v>
      </c>
      <c r="I254" s="22">
        <f t="shared" si="228"/>
        <v>20000</v>
      </c>
      <c r="J254" s="22">
        <f t="shared" si="227"/>
        <v>24000</v>
      </c>
      <c r="K254" s="23">
        <f t="shared" si="223"/>
        <v>20000</v>
      </c>
      <c r="L254" s="24">
        <f t="shared" si="223"/>
        <v>24000</v>
      </c>
      <c r="M254" s="63" t="s">
        <v>313</v>
      </c>
    </row>
    <row r="255" spans="1:13" ht="23.25" customHeight="1" x14ac:dyDescent="0.25">
      <c r="A255" s="67" t="s">
        <v>304</v>
      </c>
      <c r="B255" s="68" t="s">
        <v>291</v>
      </c>
      <c r="C255" s="67" t="s">
        <v>35</v>
      </c>
      <c r="D255" s="100">
        <v>2</v>
      </c>
      <c r="E255" s="28"/>
      <c r="F255" s="22"/>
      <c r="G255" s="22"/>
      <c r="H255" s="86">
        <f>3900/1.2</f>
        <v>3250</v>
      </c>
      <c r="I255" s="22">
        <f t="shared" si="228"/>
        <v>6500</v>
      </c>
      <c r="J255" s="22">
        <f t="shared" si="227"/>
        <v>7800</v>
      </c>
      <c r="K255" s="23">
        <f t="shared" si="223"/>
        <v>6500</v>
      </c>
      <c r="L255" s="24">
        <f t="shared" si="223"/>
        <v>7800</v>
      </c>
      <c r="M255" s="63" t="s">
        <v>313</v>
      </c>
    </row>
    <row r="256" spans="1:13" ht="23.25" customHeight="1" x14ac:dyDescent="0.25">
      <c r="A256" s="67" t="s">
        <v>305</v>
      </c>
      <c r="B256" s="68" t="s">
        <v>292</v>
      </c>
      <c r="C256" s="67" t="s">
        <v>35</v>
      </c>
      <c r="D256" s="100">
        <v>2</v>
      </c>
      <c r="E256" s="28"/>
      <c r="F256" s="22"/>
      <c r="G256" s="22"/>
      <c r="H256" s="86">
        <f>2250/1.2</f>
        <v>1875</v>
      </c>
      <c r="I256" s="22">
        <f t="shared" si="228"/>
        <v>3750</v>
      </c>
      <c r="J256" s="22">
        <f t="shared" si="227"/>
        <v>4500</v>
      </c>
      <c r="K256" s="23">
        <f t="shared" si="223"/>
        <v>3750</v>
      </c>
      <c r="L256" s="24">
        <f t="shared" si="223"/>
        <v>4500</v>
      </c>
      <c r="M256" s="63" t="s">
        <v>313</v>
      </c>
    </row>
    <row r="257" spans="1:13" ht="23.25" customHeight="1" x14ac:dyDescent="0.25">
      <c r="A257" s="67" t="s">
        <v>306</v>
      </c>
      <c r="B257" s="68" t="s">
        <v>293</v>
      </c>
      <c r="C257" s="67" t="s">
        <v>35</v>
      </c>
      <c r="D257" s="100">
        <v>2</v>
      </c>
      <c r="E257" s="28"/>
      <c r="F257" s="22"/>
      <c r="G257" s="22"/>
      <c r="H257" s="86">
        <f>2250/1.2</f>
        <v>1875</v>
      </c>
      <c r="I257" s="22">
        <f t="shared" si="228"/>
        <v>3750</v>
      </c>
      <c r="J257" s="22">
        <f t="shared" si="227"/>
        <v>4500</v>
      </c>
      <c r="K257" s="23">
        <f t="shared" si="223"/>
        <v>3750</v>
      </c>
      <c r="L257" s="24">
        <f t="shared" si="223"/>
        <v>4500</v>
      </c>
      <c r="M257" s="63" t="s">
        <v>313</v>
      </c>
    </row>
    <row r="258" spans="1:13" ht="23.25" customHeight="1" x14ac:dyDescent="0.25">
      <c r="A258" s="67" t="s">
        <v>307</v>
      </c>
      <c r="B258" s="68" t="s">
        <v>294</v>
      </c>
      <c r="C258" s="67" t="s">
        <v>35</v>
      </c>
      <c r="D258" s="100">
        <v>2</v>
      </c>
      <c r="E258" s="28"/>
      <c r="F258" s="22"/>
      <c r="G258" s="22"/>
      <c r="H258" s="86">
        <f>2250/1.2</f>
        <v>1875</v>
      </c>
      <c r="I258" s="22">
        <f t="shared" si="228"/>
        <v>3750</v>
      </c>
      <c r="J258" s="22">
        <f t="shared" si="227"/>
        <v>4500</v>
      </c>
      <c r="K258" s="23">
        <f t="shared" si="223"/>
        <v>3750</v>
      </c>
      <c r="L258" s="24">
        <f t="shared" si="223"/>
        <v>4500</v>
      </c>
      <c r="M258" s="63" t="s">
        <v>313</v>
      </c>
    </row>
    <row r="259" spans="1:13" ht="23.25" customHeight="1" x14ac:dyDescent="0.25">
      <c r="A259" s="67" t="s">
        <v>308</v>
      </c>
      <c r="B259" s="68" t="s">
        <v>295</v>
      </c>
      <c r="C259" s="67" t="s">
        <v>35</v>
      </c>
      <c r="D259" s="100">
        <v>2</v>
      </c>
      <c r="E259" s="28"/>
      <c r="F259" s="22"/>
      <c r="G259" s="22"/>
      <c r="H259" s="86">
        <f t="shared" ref="H259:H261" si="229">2250/1.2</f>
        <v>1875</v>
      </c>
      <c r="I259" s="22">
        <f t="shared" si="228"/>
        <v>3750</v>
      </c>
      <c r="J259" s="22">
        <f t="shared" si="227"/>
        <v>4500</v>
      </c>
      <c r="K259" s="23">
        <f t="shared" si="223"/>
        <v>3750</v>
      </c>
      <c r="L259" s="24">
        <f t="shared" si="223"/>
        <v>4500</v>
      </c>
      <c r="M259" s="63" t="s">
        <v>313</v>
      </c>
    </row>
    <row r="260" spans="1:13" ht="23.25" customHeight="1" x14ac:dyDescent="0.25">
      <c r="A260" s="67" t="s">
        <v>309</v>
      </c>
      <c r="B260" s="68" t="s">
        <v>296</v>
      </c>
      <c r="C260" s="67" t="s">
        <v>35</v>
      </c>
      <c r="D260" s="100">
        <v>2</v>
      </c>
      <c r="E260" s="28"/>
      <c r="F260" s="22"/>
      <c r="G260" s="22"/>
      <c r="H260" s="86">
        <f t="shared" si="229"/>
        <v>1875</v>
      </c>
      <c r="I260" s="22">
        <f t="shared" si="228"/>
        <v>3750</v>
      </c>
      <c r="J260" s="22">
        <f t="shared" si="227"/>
        <v>4500</v>
      </c>
      <c r="K260" s="23">
        <f t="shared" si="223"/>
        <v>3750</v>
      </c>
      <c r="L260" s="24">
        <f t="shared" si="223"/>
        <v>4500</v>
      </c>
      <c r="M260" s="63" t="s">
        <v>313</v>
      </c>
    </row>
    <row r="261" spans="1:13" ht="23.25" customHeight="1" x14ac:dyDescent="0.25">
      <c r="A261" s="67" t="s">
        <v>310</v>
      </c>
      <c r="B261" s="68" t="s">
        <v>297</v>
      </c>
      <c r="C261" s="67" t="s">
        <v>35</v>
      </c>
      <c r="D261" s="100">
        <v>2</v>
      </c>
      <c r="E261" s="28"/>
      <c r="F261" s="22"/>
      <c r="G261" s="22"/>
      <c r="H261" s="86">
        <f t="shared" si="229"/>
        <v>1875</v>
      </c>
      <c r="I261" s="22">
        <f t="shared" si="228"/>
        <v>3750</v>
      </c>
      <c r="J261" s="22">
        <f t="shared" si="227"/>
        <v>4500</v>
      </c>
      <c r="K261" s="23">
        <f t="shared" ref="K261:L264" si="230">F261+I261</f>
        <v>3750</v>
      </c>
      <c r="L261" s="24">
        <f t="shared" si="230"/>
        <v>4500</v>
      </c>
      <c r="M261" s="63" t="s">
        <v>313</v>
      </c>
    </row>
    <row r="262" spans="1:13" ht="23.25" customHeight="1" x14ac:dyDescent="0.25">
      <c r="A262" s="67" t="s">
        <v>311</v>
      </c>
      <c r="B262" s="68" t="s">
        <v>298</v>
      </c>
      <c r="C262" s="67" t="s">
        <v>35</v>
      </c>
      <c r="D262" s="100">
        <v>2</v>
      </c>
      <c r="E262" s="28"/>
      <c r="F262" s="22"/>
      <c r="G262" s="22"/>
      <c r="H262" s="86">
        <f>3200/1.2</f>
        <v>2666.666666666667</v>
      </c>
      <c r="I262" s="22">
        <f t="shared" si="228"/>
        <v>5333.33</v>
      </c>
      <c r="J262" s="22">
        <f t="shared" si="227"/>
        <v>6400</v>
      </c>
      <c r="K262" s="23">
        <f t="shared" si="230"/>
        <v>5333.33</v>
      </c>
      <c r="L262" s="24">
        <f t="shared" si="230"/>
        <v>6400</v>
      </c>
      <c r="M262" s="63" t="s">
        <v>313</v>
      </c>
    </row>
    <row r="263" spans="1:13" ht="35.25" customHeight="1" x14ac:dyDescent="0.25">
      <c r="A263" s="36" t="e">
        <f>A249+1</f>
        <v>#REF!</v>
      </c>
      <c r="B263" s="35" t="s">
        <v>281</v>
      </c>
      <c r="C263" s="36" t="s">
        <v>15</v>
      </c>
      <c r="D263" s="122">
        <v>6</v>
      </c>
      <c r="E263" s="69">
        <v>15</v>
      </c>
      <c r="F263" s="30">
        <f t="shared" ref="F263" si="231">ROUND(E263*D263,2)</f>
        <v>90</v>
      </c>
      <c r="G263" s="30">
        <f t="shared" ref="G263" si="232">ROUND(F263*1.2,2)</f>
        <v>108</v>
      </c>
      <c r="H263" s="27"/>
      <c r="I263" s="30"/>
      <c r="J263" s="30"/>
      <c r="K263" s="31">
        <f t="shared" si="230"/>
        <v>90</v>
      </c>
      <c r="L263" s="32">
        <f t="shared" si="230"/>
        <v>108</v>
      </c>
      <c r="M263" s="37" t="s">
        <v>106</v>
      </c>
    </row>
    <row r="264" spans="1:13" ht="24" customHeight="1" x14ac:dyDescent="0.25">
      <c r="A264" s="67" t="s">
        <v>255</v>
      </c>
      <c r="B264" s="83" t="s">
        <v>299</v>
      </c>
      <c r="C264" s="67" t="s">
        <v>58</v>
      </c>
      <c r="D264" s="141">
        <v>0.5</v>
      </c>
      <c r="E264" s="28"/>
      <c r="F264" s="22"/>
      <c r="G264" s="22"/>
      <c r="H264" s="28"/>
      <c r="I264" s="22">
        <f t="shared" ref="I264" si="233">ROUND(H264*D264,2)</f>
        <v>0</v>
      </c>
      <c r="J264" s="22">
        <f t="shared" ref="J264" si="234">ROUND(I264*1.2,2)</f>
        <v>0</v>
      </c>
      <c r="K264" s="23">
        <f t="shared" si="230"/>
        <v>0</v>
      </c>
      <c r="L264" s="24">
        <f t="shared" si="230"/>
        <v>0</v>
      </c>
      <c r="M264" s="37"/>
    </row>
    <row r="265" spans="1:13" ht="21.75" customHeight="1" x14ac:dyDescent="0.25">
      <c r="A265" s="640" t="s">
        <v>14</v>
      </c>
      <c r="B265" s="641"/>
      <c r="C265" s="641"/>
      <c r="D265" s="641"/>
      <c r="E265" s="642"/>
      <c r="F265" s="42">
        <f>SUM(F8:F264)</f>
        <v>37429795.099999987</v>
      </c>
      <c r="G265" s="40">
        <f>ROUND(F265*1.2,2)</f>
        <v>44915754.119999997</v>
      </c>
      <c r="H265" s="43"/>
      <c r="I265" s="42">
        <f>SUM(I8:I264)</f>
        <v>30253854.960000001</v>
      </c>
      <c r="J265" s="40">
        <f>ROUND(I265*1.2,2)</f>
        <v>36304625.950000003</v>
      </c>
      <c r="K265" s="42">
        <f>SUM(K8:K264)</f>
        <v>67683650.059999973</v>
      </c>
      <c r="L265" s="40">
        <f>ROUND(K265*1.2,2)</f>
        <v>81220380.069999993</v>
      </c>
    </row>
  </sheetData>
  <mergeCells count="58">
    <mergeCell ref="A1:A4"/>
    <mergeCell ref="B1:B4"/>
    <mergeCell ref="C1:C4"/>
    <mergeCell ref="D1:D4"/>
    <mergeCell ref="E1:L2"/>
    <mergeCell ref="E3:G3"/>
    <mergeCell ref="H3:J3"/>
    <mergeCell ref="K3:L3"/>
    <mergeCell ref="B6:D6"/>
    <mergeCell ref="E140:E141"/>
    <mergeCell ref="F140:F141"/>
    <mergeCell ref="G140:G141"/>
    <mergeCell ref="H140:H141"/>
    <mergeCell ref="J140:J141"/>
    <mergeCell ref="K140:K141"/>
    <mergeCell ref="L140:L141"/>
    <mergeCell ref="E154:E155"/>
    <mergeCell ref="F154:F155"/>
    <mergeCell ref="G154:G155"/>
    <mergeCell ref="H154:H155"/>
    <mergeCell ref="I154:I155"/>
    <mergeCell ref="J154:J155"/>
    <mergeCell ref="K154:K155"/>
    <mergeCell ref="I140:I141"/>
    <mergeCell ref="L154:L155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K187:K188"/>
    <mergeCell ref="L187:L188"/>
    <mergeCell ref="J202:J203"/>
    <mergeCell ref="K202:K203"/>
    <mergeCell ref="L202:L203"/>
    <mergeCell ref="E187:E188"/>
    <mergeCell ref="F187:F188"/>
    <mergeCell ref="G187:G188"/>
    <mergeCell ref="H187:H188"/>
    <mergeCell ref="I187:I188"/>
    <mergeCell ref="J187:J188"/>
    <mergeCell ref="E202:E203"/>
    <mergeCell ref="F202:F203"/>
    <mergeCell ref="G202:G203"/>
    <mergeCell ref="H202:H203"/>
    <mergeCell ref="I202:I203"/>
    <mergeCell ref="K211:K212"/>
    <mergeCell ref="L211:L212"/>
    <mergeCell ref="A265:E265"/>
    <mergeCell ref="E211:E212"/>
    <mergeCell ref="F211:F212"/>
    <mergeCell ref="G211:G212"/>
    <mergeCell ref="H211:H212"/>
    <mergeCell ref="I211:I212"/>
    <mergeCell ref="J211:J21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Свод</vt:lpstr>
      <vt:lpstr>вер-9.1</vt:lpstr>
      <vt:lpstr>СВОД в.10</vt:lpstr>
      <vt:lpstr>ПЖ</vt:lpstr>
      <vt:lpstr>ГП1</vt:lpstr>
      <vt:lpstr>ЭС2-1-2; 7-8</vt:lpstr>
      <vt:lpstr>АС4</vt:lpstr>
      <vt:lpstr>К10-К10А VS</vt:lpstr>
      <vt:lpstr>ГП2  (2)</vt:lpstr>
      <vt:lpstr>АС4!Область_печати</vt:lpstr>
      <vt:lpstr>ГП1!Область_печати</vt:lpstr>
      <vt:lpstr>'ГП2  (2)'!Область_печати</vt:lpstr>
      <vt:lpstr>'К10-К10А VS'!Область_печати</vt:lpstr>
      <vt:lpstr>ПЖ!Область_печати</vt:lpstr>
      <vt:lpstr>Свод!Область_печати</vt:lpstr>
      <vt:lpstr>'ЭС2-1-2; 7-8'!Область_печати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2024-02-26T16:38:11Z</dcterms:created>
  <dcterms:modified xsi:type="dcterms:W3CDTF">2024-12-25T09:31:23Z</dcterms:modified>
</cp:coreProperties>
</file>