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E2B97B41-6D0E-4A0E-9C91-F359E64DBCE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 417+8+доп" sheetId="7" r:id="rId1"/>
    <sheet name="Свод" sheetId="2" r:id="rId2"/>
    <sheet name="комп затрат" sheetId="8" r:id="rId3"/>
    <sheet name="Материалы" sheetId="1" r:id="rId4"/>
    <sheet name="Вр.площадка" sheetId="6" r:id="rId5"/>
    <sheet name="Кабели под путями" sheetId="5" r:id="rId6"/>
    <sheet name="Соль" sheetId="3" r:id="rId7"/>
    <sheet name="ГП доп" sheetId="4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7" l="1"/>
  <c r="B8" i="8"/>
  <c r="B4" i="8"/>
  <c r="D11" i="7"/>
  <c r="F11" i="7"/>
  <c r="B10" i="7"/>
  <c r="E7" i="7"/>
  <c r="B3" i="8" l="1"/>
  <c r="C10" i="7" s="1"/>
  <c r="D20" i="7"/>
  <c r="D8" i="7" s="1"/>
  <c r="C11" i="7" l="1"/>
  <c r="E10" i="7"/>
  <c r="E8" i="7"/>
  <c r="D21" i="6" l="1"/>
  <c r="D18" i="6"/>
  <c r="D17" i="6"/>
  <c r="F17" i="6" s="1"/>
  <c r="C15" i="2"/>
  <c r="D22" i="6"/>
  <c r="I22" i="6" s="1"/>
  <c r="F20" i="6"/>
  <c r="K20" i="6" s="1"/>
  <c r="A20" i="6"/>
  <c r="A21" i="6" s="1"/>
  <c r="D19" i="6"/>
  <c r="I19" i="6" s="1"/>
  <c r="D15" i="6"/>
  <c r="F15" i="6" s="1"/>
  <c r="G15" i="6" s="1"/>
  <c r="L15" i="6" s="1"/>
  <c r="F14" i="6"/>
  <c r="G14" i="6" s="1"/>
  <c r="L14" i="6" s="1"/>
  <c r="D11" i="6"/>
  <c r="D12" i="6" s="1"/>
  <c r="I12" i="6" s="1"/>
  <c r="E10" i="6"/>
  <c r="E13" i="6" s="1"/>
  <c r="F13" i="6" s="1"/>
  <c r="D8" i="6"/>
  <c r="D9" i="6" s="1"/>
  <c r="F9" i="6" s="1"/>
  <c r="A8" i="6"/>
  <c r="A9" i="6" s="1"/>
  <c r="A10" i="6" s="1"/>
  <c r="A11" i="6" s="1"/>
  <c r="A13" i="6" s="1"/>
  <c r="A14" i="6" s="1"/>
  <c r="A15" i="6" s="1"/>
  <c r="F10" i="6" l="1"/>
  <c r="G10" i="6" s="1"/>
  <c r="L10" i="6" s="1"/>
  <c r="K14" i="6"/>
  <c r="F8" i="6"/>
  <c r="I23" i="6"/>
  <c r="K12" i="6"/>
  <c r="J12" i="6"/>
  <c r="L12" i="6" s="1"/>
  <c r="K17" i="6"/>
  <c r="G17" i="6"/>
  <c r="L17" i="6" s="1"/>
  <c r="G9" i="6"/>
  <c r="L9" i="6" s="1"/>
  <c r="K9" i="6"/>
  <c r="K13" i="6"/>
  <c r="G13" i="6"/>
  <c r="L13" i="6" s="1"/>
  <c r="K19" i="6"/>
  <c r="J19" i="6"/>
  <c r="L19" i="6" s="1"/>
  <c r="K22" i="6"/>
  <c r="J22" i="6"/>
  <c r="L22" i="6" s="1"/>
  <c r="G20" i="6"/>
  <c r="L20" i="6" s="1"/>
  <c r="K8" i="6"/>
  <c r="F11" i="6"/>
  <c r="K15" i="6"/>
  <c r="F18" i="6"/>
  <c r="F21" i="6"/>
  <c r="G8" i="6"/>
  <c r="K10" i="6" l="1"/>
  <c r="G18" i="6"/>
  <c r="L18" i="6" s="1"/>
  <c r="K18" i="6"/>
  <c r="L8" i="6"/>
  <c r="G11" i="6"/>
  <c r="L11" i="6" s="1"/>
  <c r="K11" i="6"/>
  <c r="J23" i="6"/>
  <c r="G21" i="6"/>
  <c r="L21" i="6" s="1"/>
  <c r="K21" i="6"/>
  <c r="F23" i="6"/>
  <c r="K23" i="6" s="1"/>
  <c r="L23" i="6" s="1"/>
  <c r="G23" i="6" l="1"/>
  <c r="K29" i="5" l="1"/>
  <c r="F29" i="5"/>
  <c r="G29" i="5" s="1"/>
  <c r="L29" i="5" s="1"/>
  <c r="I27" i="5"/>
  <c r="K27" i="5" s="1"/>
  <c r="F26" i="5"/>
  <c r="K26" i="5" s="1"/>
  <c r="I25" i="5"/>
  <c r="K25" i="5" s="1"/>
  <c r="F24" i="5"/>
  <c r="K24" i="5" s="1"/>
  <c r="D23" i="5"/>
  <c r="I23" i="5" s="1"/>
  <c r="F22" i="5"/>
  <c r="G22" i="5" s="1"/>
  <c r="L22" i="5" s="1"/>
  <c r="D22" i="5"/>
  <c r="D21" i="5"/>
  <c r="I21" i="5" s="1"/>
  <c r="K21" i="5" s="1"/>
  <c r="K20" i="5"/>
  <c r="F20" i="5"/>
  <c r="G20" i="5" s="1"/>
  <c r="L20" i="5" s="1"/>
  <c r="H19" i="5"/>
  <c r="D19" i="5"/>
  <c r="I19" i="5" s="1"/>
  <c r="F18" i="5"/>
  <c r="K18" i="5" s="1"/>
  <c r="F16" i="5"/>
  <c r="G16" i="5" s="1"/>
  <c r="L16" i="5" s="1"/>
  <c r="F15" i="5"/>
  <c r="G15" i="5" s="1"/>
  <c r="L15" i="5" s="1"/>
  <c r="F14" i="5"/>
  <c r="K14" i="5" s="1"/>
  <c r="D13" i="5"/>
  <c r="I13" i="5" s="1"/>
  <c r="K13" i="5" s="1"/>
  <c r="D12" i="5"/>
  <c r="F12" i="5" s="1"/>
  <c r="D11" i="5"/>
  <c r="I11" i="5" s="1"/>
  <c r="F10" i="5"/>
  <c r="K10" i="5" s="1"/>
  <c r="G9" i="5"/>
  <c r="L9" i="5" s="1"/>
  <c r="F9" i="5"/>
  <c r="K9" i="5" s="1"/>
  <c r="A9" i="5"/>
  <c r="A10" i="5" s="1"/>
  <c r="A12" i="5" s="1"/>
  <c r="A14" i="5" s="1"/>
  <c r="A15" i="5" s="1"/>
  <c r="A16" i="5" s="1"/>
  <c r="A18" i="5" s="1"/>
  <c r="A20" i="5" s="1"/>
  <c r="A22" i="5" s="1"/>
  <c r="A24" i="5" s="1"/>
  <c r="A26" i="5" s="1"/>
  <c r="A29" i="5" s="1"/>
  <c r="F8" i="5"/>
  <c r="G8" i="5" s="1"/>
  <c r="K16" i="5" l="1"/>
  <c r="G26" i="5"/>
  <c r="L26" i="5" s="1"/>
  <c r="G14" i="5"/>
  <c r="L14" i="5" s="1"/>
  <c r="K22" i="5"/>
  <c r="J27" i="5"/>
  <c r="L27" i="5" s="1"/>
  <c r="K15" i="5"/>
  <c r="K8" i="5"/>
  <c r="K30" i="5" s="1"/>
  <c r="K11" i="5"/>
  <c r="J11" i="5"/>
  <c r="I30" i="5"/>
  <c r="L8" i="5"/>
  <c r="K12" i="5"/>
  <c r="G12" i="5"/>
  <c r="L12" i="5" s="1"/>
  <c r="J19" i="5"/>
  <c r="L19" i="5" s="1"/>
  <c r="K19" i="5"/>
  <c r="K23" i="5"/>
  <c r="J23" i="5"/>
  <c r="L23" i="5" s="1"/>
  <c r="G10" i="5"/>
  <c r="L10" i="5" s="1"/>
  <c r="J13" i="5"/>
  <c r="L13" i="5" s="1"/>
  <c r="G18" i="5"/>
  <c r="L18" i="5" s="1"/>
  <c r="J21" i="5"/>
  <c r="L21" i="5" s="1"/>
  <c r="G24" i="5"/>
  <c r="L24" i="5" s="1"/>
  <c r="J25" i="5"/>
  <c r="L25" i="5" s="1"/>
  <c r="F30" i="5"/>
  <c r="G30" i="5" l="1"/>
  <c r="L11" i="5"/>
  <c r="L30" i="5" s="1"/>
  <c r="J30" i="5"/>
  <c r="D24" i="4" l="1"/>
  <c r="I24" i="4" s="1"/>
  <c r="K24" i="4" s="1"/>
  <c r="F23" i="4"/>
  <c r="K23" i="4" s="1"/>
  <c r="D22" i="4"/>
  <c r="I22" i="4" s="1"/>
  <c r="F21" i="4"/>
  <c r="K21" i="4" s="1"/>
  <c r="H20" i="4"/>
  <c r="I20" i="4" s="1"/>
  <c r="K20" i="4" s="1"/>
  <c r="H19" i="4"/>
  <c r="I19" i="4" s="1"/>
  <c r="F18" i="4"/>
  <c r="G18" i="4" s="1"/>
  <c r="L18" i="4" s="1"/>
  <c r="F17" i="4"/>
  <c r="K17" i="4" s="1"/>
  <c r="I16" i="4"/>
  <c r="K16" i="4" s="1"/>
  <c r="F15" i="4"/>
  <c r="G15" i="4" s="1"/>
  <c r="L15" i="4" s="1"/>
  <c r="H14" i="4"/>
  <c r="I14" i="4" s="1"/>
  <c r="F13" i="4"/>
  <c r="G13" i="4" s="1"/>
  <c r="L13" i="4" s="1"/>
  <c r="F11" i="4"/>
  <c r="K11" i="4" s="1"/>
  <c r="F9" i="4"/>
  <c r="G9" i="4" s="1"/>
  <c r="L9" i="4" s="1"/>
  <c r="E8" i="4"/>
  <c r="F8" i="4" s="1"/>
  <c r="A8" i="4"/>
  <c r="A9" i="4" s="1"/>
  <c r="A11" i="4" s="1"/>
  <c r="A13" i="4" s="1"/>
  <c r="A15" i="4" s="1"/>
  <c r="A17" i="4" s="1"/>
  <c r="A18" i="4" s="1"/>
  <c r="A21" i="4" s="1"/>
  <c r="A23" i="4" s="1"/>
  <c r="K18" i="4" l="1"/>
  <c r="G23" i="4"/>
  <c r="L23" i="4" s="1"/>
  <c r="K13" i="4"/>
  <c r="J14" i="4"/>
  <c r="L14" i="4" s="1"/>
  <c r="I25" i="4"/>
  <c r="J25" i="4" s="1"/>
  <c r="K14" i="4"/>
  <c r="K19" i="4"/>
  <c r="J19" i="4"/>
  <c r="L19" i="4" s="1"/>
  <c r="J22" i="4"/>
  <c r="L22" i="4" s="1"/>
  <c r="K22" i="4"/>
  <c r="K8" i="4"/>
  <c r="G8" i="4"/>
  <c r="L8" i="4" s="1"/>
  <c r="F25" i="4"/>
  <c r="G25" i="4" s="1"/>
  <c r="J16" i="4"/>
  <c r="L16" i="4" s="1"/>
  <c r="J20" i="4"/>
  <c r="L20" i="4" s="1"/>
  <c r="J24" i="4"/>
  <c r="L24" i="4" s="1"/>
  <c r="K9" i="4"/>
  <c r="G11" i="4"/>
  <c r="L11" i="4" s="1"/>
  <c r="K15" i="4"/>
  <c r="G17" i="4"/>
  <c r="L17" i="4" s="1"/>
  <c r="G21" i="4"/>
  <c r="L21" i="4" s="1"/>
  <c r="K25" i="4" l="1"/>
  <c r="L25" i="4" s="1"/>
  <c r="D27" i="3" l="1"/>
  <c r="I27" i="3" s="1"/>
  <c r="J27" i="3" s="1"/>
  <c r="L27" i="3" s="1"/>
  <c r="F26" i="3"/>
  <c r="K26" i="3" s="1"/>
  <c r="D25" i="3"/>
  <c r="I25" i="3" s="1"/>
  <c r="F24" i="3"/>
  <c r="K24" i="3" s="1"/>
  <c r="F23" i="3"/>
  <c r="G23" i="3" s="1"/>
  <c r="L23" i="3" s="1"/>
  <c r="F21" i="3"/>
  <c r="G21" i="3" s="1"/>
  <c r="L21" i="3" s="1"/>
  <c r="D19" i="3"/>
  <c r="I19" i="3" s="1"/>
  <c r="F18" i="3"/>
  <c r="K18" i="3" s="1"/>
  <c r="D17" i="3"/>
  <c r="I17" i="3" s="1"/>
  <c r="J17" i="3" s="1"/>
  <c r="L17" i="3" s="1"/>
  <c r="F16" i="3"/>
  <c r="K16" i="3" s="1"/>
  <c r="F14" i="3"/>
  <c r="G14" i="3" s="1"/>
  <c r="L14" i="3" s="1"/>
  <c r="F13" i="3"/>
  <c r="K13" i="3" s="1"/>
  <c r="F11" i="3"/>
  <c r="G11" i="3" s="1"/>
  <c r="L11" i="3" s="1"/>
  <c r="F10" i="3"/>
  <c r="K10" i="3" s="1"/>
  <c r="F9" i="3"/>
  <c r="A9" i="3"/>
  <c r="A10" i="3" s="1"/>
  <c r="A11" i="3" s="1"/>
  <c r="A13" i="3" s="1"/>
  <c r="A14" i="3" s="1"/>
  <c r="A16" i="3" s="1"/>
  <c r="A18" i="3" s="1"/>
  <c r="A21" i="3" s="1"/>
  <c r="A23" i="3" s="1"/>
  <c r="A24" i="3" s="1"/>
  <c r="A26" i="3" s="1"/>
  <c r="J19" i="3" l="1"/>
  <c r="L19" i="3" s="1"/>
  <c r="K19" i="3"/>
  <c r="J25" i="3"/>
  <c r="L25" i="3" s="1"/>
  <c r="K25" i="3"/>
  <c r="G13" i="3"/>
  <c r="L13" i="3" s="1"/>
  <c r="G16" i="3"/>
  <c r="L16" i="3" s="1"/>
  <c r="K14" i="3"/>
  <c r="G24" i="3"/>
  <c r="L24" i="3" s="1"/>
  <c r="G26" i="3"/>
  <c r="L26" i="3" s="1"/>
  <c r="K21" i="3"/>
  <c r="F28" i="3"/>
  <c r="G28" i="3" s="1"/>
  <c r="K9" i="3"/>
  <c r="G18" i="3"/>
  <c r="L18" i="3" s="1"/>
  <c r="G10" i="3"/>
  <c r="L10" i="3" s="1"/>
  <c r="K11" i="3"/>
  <c r="K17" i="3"/>
  <c r="K23" i="3"/>
  <c r="K27" i="3"/>
  <c r="I28" i="3"/>
  <c r="J28" i="3" s="1"/>
  <c r="G9" i="3"/>
  <c r="L9" i="3" s="1"/>
  <c r="K28" i="3" l="1"/>
  <c r="L28" i="3" s="1"/>
  <c r="C17" i="2"/>
  <c r="B9" i="7" s="1"/>
  <c r="E9" i="7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0" i="1" l="1"/>
  <c r="C2" i="7" l="1"/>
  <c r="B6" i="7"/>
  <c r="B11" i="7" l="1"/>
  <c r="E6" i="7"/>
  <c r="E11" i="7" s="1"/>
</calcChain>
</file>

<file path=xl/sharedStrings.xml><?xml version="1.0" encoding="utf-8"?>
<sst xmlns="http://schemas.openxmlformats.org/spreadsheetml/2006/main" count="314" uniqueCount="178">
  <si>
    <t>Дата</t>
  </si>
  <si>
    <t>Поставщик</t>
  </si>
  <si>
    <t>Примечание</t>
  </si>
  <si>
    <t>Сумма оплаты</t>
  </si>
  <si>
    <t>ООО "СТД Петрович"</t>
  </si>
  <si>
    <t>Грунт, штукатурка, химия, цемент</t>
  </si>
  <si>
    <t>№ счета</t>
  </si>
  <si>
    <t>00770</t>
  </si>
  <si>
    <t>ООО "Интер Снаб Сервис"</t>
  </si>
  <si>
    <t>краска аэрозольная</t>
  </si>
  <si>
    <t>МАЭ00130862</t>
  </si>
  <si>
    <t>МАЭ00179782</t>
  </si>
  <si>
    <t>пена монтажная</t>
  </si>
  <si>
    <t>13506</t>
  </si>
  <si>
    <t>ООО "Кровля и изоляция"</t>
  </si>
  <si>
    <t xml:space="preserve">Доборный элемент </t>
  </si>
  <si>
    <t>933</t>
  </si>
  <si>
    <t>ООО "ГЕРМОИЗОЛ"</t>
  </si>
  <si>
    <t>герметик термозащитный</t>
  </si>
  <si>
    <t>16465</t>
  </si>
  <si>
    <t>20011</t>
  </si>
  <si>
    <t>№</t>
  </si>
  <si>
    <t>Наименование затрат</t>
  </si>
  <si>
    <t>Сумма с НДС</t>
  </si>
  <si>
    <t>Комментарии</t>
  </si>
  <si>
    <t>Переустройство кабелей под тупиками</t>
  </si>
  <si>
    <t>Вырубка елей</t>
  </si>
  <si>
    <t>Временный переезд и площадка под заезд в цех 121</t>
  </si>
  <si>
    <t>Обшивка лестницы в АБК 8го цеха</t>
  </si>
  <si>
    <t>Работы по восстановлению лакокрасочного покрытия навигационной дорожки</t>
  </si>
  <si>
    <t>Временное ограждения трансбордера</t>
  </si>
  <si>
    <t>Отсыпка стрелочных переводов и монтаж столбиков</t>
  </si>
  <si>
    <t>Аренда персонала</t>
  </si>
  <si>
    <t>Демонтаж ёмкости с солью</t>
  </si>
  <si>
    <t xml:space="preserve">Работа экскаваторов на отвале </t>
  </si>
  <si>
    <t>Демонтаж теплового узла ММЗ</t>
  </si>
  <si>
    <t>Материал + работа бригады</t>
  </si>
  <si>
    <t>Материал + работа маляра</t>
  </si>
  <si>
    <t>Работа бригады + техника</t>
  </si>
  <si>
    <t>Не считая убытков по НДС</t>
  </si>
  <si>
    <t>4 часа кран + работа 2х человек</t>
  </si>
  <si>
    <t>2 ночи * (2 смены экскаватора + 1 ИТР + 2 рабочих)</t>
  </si>
  <si>
    <t>Вследствии нехватки самосвалов - грунт грузился дважды. На стройплощадке и в отвале у городка. 16 смен экскаватора * 23000</t>
  </si>
  <si>
    <t>Материалы по просьбе КИК Геострой</t>
  </si>
  <si>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</si>
  <si>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</si>
  <si>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</si>
  <si>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</si>
  <si>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</si>
  <si>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</si>
  <si>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</si>
  <si>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</si>
  <si>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</si>
  <si>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</si>
  <si>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</si>
  <si>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</si>
  <si>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</si>
  <si>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131-23-ПЖ-30</t>
  </si>
  <si>
    <t>Железнодорожный путь №30</t>
  </si>
  <si>
    <t>Земляные работы</t>
  </si>
  <si>
    <t>Разборка балласта щебеночного</t>
  </si>
  <si>
    <t>м3</t>
  </si>
  <si>
    <t>Разработка основания из песка</t>
  </si>
  <si>
    <t>Уплотнение грунта пневматическими трамбовками</t>
  </si>
  <si>
    <t>Демонтажные работы</t>
  </si>
  <si>
    <t>Расшивка шпал деревянных (скрепление) (с сохранением материала)</t>
  </si>
  <si>
    <t>к-т</t>
  </si>
  <si>
    <t>Демонтаж шпал деревянных (5м) (с сохранением материала)</t>
  </si>
  <si>
    <t>шт.</t>
  </si>
  <si>
    <t>Устройство оснований под ж/д пути</t>
  </si>
  <si>
    <t xml:space="preserve">Устройство разделяющей прослойки из геотекстиля </t>
  </si>
  <si>
    <t>м2</t>
  </si>
  <si>
    <t>Геотекстиль</t>
  </si>
  <si>
    <t>Устройство подстилающих и выравнивающих слоев оснований из щебня</t>
  </si>
  <si>
    <t>Щебень балластный кат.2 (материал Заказчика)</t>
  </si>
  <si>
    <t>Устройство верхнего строения пути</t>
  </si>
  <si>
    <t>Монтаж деревянных шпал с комплектом скреплений (эпюра шпал 1840шт/км) (5м) (ранее демонтированные)</t>
  </si>
  <si>
    <t>Рихтовка, выправка и балластировка путей</t>
  </si>
  <si>
    <t>Рихтовка пути</t>
  </si>
  <si>
    <t>м</t>
  </si>
  <si>
    <t xml:space="preserve">Балластировка пути </t>
  </si>
  <si>
    <t>Выправочно-отделочные работы и окончательная выправка пути, балласт щебеночный (12,5м)</t>
  </si>
  <si>
    <t xml:space="preserve">Итого </t>
  </si>
  <si>
    <t>131-23-ГП2 Генеральный план</t>
  </si>
  <si>
    <t xml:space="preserve">Демонтажные работы </t>
  </si>
  <si>
    <t xml:space="preserve">Демонтаж плитки тротуарной </t>
  </si>
  <si>
    <t xml:space="preserve">Разборка асфальтобетонного покрытия  </t>
  </si>
  <si>
    <t>Прочие работы</t>
  </si>
  <si>
    <t>Погрузка строительного мусора в автосамосвалы</t>
  </si>
  <si>
    <t>т</t>
  </si>
  <si>
    <t>Благоустройство (Асфальтовое покрытие проездов)</t>
  </si>
  <si>
    <t>Устройство покрытий из холодного асфальтобетона    h=0,06</t>
  </si>
  <si>
    <t>4.1</t>
  </si>
  <si>
    <t xml:space="preserve">Смесь органоминеральная дорожная ремонтная марка II (холодный асфальтобетон) </t>
  </si>
  <si>
    <t>Укладка асфальтобетона мелкозеристого горячего на битуме   h=0,06</t>
  </si>
  <si>
    <t>5.1</t>
  </si>
  <si>
    <t xml:space="preserve">Асфальтобетон мелкозернистый, плотный горячий на битуме БНД марки 60/90, Тип Б, Марки II </t>
  </si>
  <si>
    <t>Сверление отверстий ф10мм глубиной 100мм для распорных дюбелей</t>
  </si>
  <si>
    <t>Установка столбиков сигнальных</t>
  </si>
  <si>
    <t>7.1</t>
  </si>
  <si>
    <t>Шуруп-дюбель ф10х100мм</t>
  </si>
  <si>
    <t>7.2</t>
  </si>
  <si>
    <t>Столбик гибкий 750мм ССД-750 ТПУ ОРАНЖ.</t>
  </si>
  <si>
    <t>Устройство слоя из щебня  мелкого</t>
  </si>
  <si>
    <t>8.1</t>
  </si>
  <si>
    <t>Щебень фракции  М600 (5-20мм), известняк</t>
  </si>
  <si>
    <t>Устройство слоя из щебня  гранитного</t>
  </si>
  <si>
    <t>9.1</t>
  </si>
  <si>
    <t>Щебень фракции  М1400 (5-20мм)</t>
  </si>
  <si>
    <t>131-23-ЭС2. Переустройство кабельных линий т.1-т.4 (кабели под путями 32 34 36)</t>
  </si>
  <si>
    <t>1</t>
  </si>
  <si>
    <t xml:space="preserve">Разработка грунта механизированным способом </t>
  </si>
  <si>
    <t>Доработка грунта в траншее вручную</t>
  </si>
  <si>
    <t xml:space="preserve">Устройство песчаного основания h=0,1м </t>
  </si>
  <si>
    <t>3.1</t>
  </si>
  <si>
    <t>Песок природный  средний</t>
  </si>
  <si>
    <t>Защита песком кабельных линий в траншее с последующим уплотнением</t>
  </si>
  <si>
    <t xml:space="preserve">Обратная засыпка грунта бульдозером </t>
  </si>
  <si>
    <t>Погрузка лишнего грунта в автосамосвалы</t>
  </si>
  <si>
    <t>Переустройство кабельных линий</t>
  </si>
  <si>
    <t>Монтаж трубы  ПНД гофрированной Ф160мм</t>
  </si>
  <si>
    <t>Труба ПНД гофрированная Ф160мм</t>
  </si>
  <si>
    <t>цена по счету</t>
  </si>
  <si>
    <t xml:space="preserve">Прокладка кабеля АВВг 4х120-6кВ в трубе </t>
  </si>
  <si>
    <t>Прокладка кабеля АВВг 4х120-6кВ в траншее</t>
  </si>
  <si>
    <t>Укладка ленты сигнальной ЛСЭ-600 в траншею</t>
  </si>
  <si>
    <t>11.1</t>
  </si>
  <si>
    <t>Лента сигнальная ЛСЭ-300</t>
  </si>
  <si>
    <t xml:space="preserve">Монтаж муфты соединительной СТП-10 150х240 </t>
  </si>
  <si>
    <t>12.1</t>
  </si>
  <si>
    <t xml:space="preserve">Муфта соединительная СТП-10 150х240 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</si>
  <si>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</si>
  <si>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</si>
  <si>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</si>
  <si>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>Кабель АВВг 4х120-6кВ</t>
  </si>
  <si>
    <t>10.1</t>
  </si>
  <si>
    <t>131-23-ПЖ. Устройство временного переезда через ж/д пути №31</t>
  </si>
  <si>
    <t>Временный переезд 31 пути</t>
  </si>
  <si>
    <t>Погрузка шпал железнодорожных деревянных в автосамосвалы</t>
  </si>
  <si>
    <t>Перемещение до 1км шпал железнодорожных деревянных</t>
  </si>
  <si>
    <t>Устройство временного переезда через ж/д пути из шпал деревянных (40шт. старогодние)</t>
  </si>
  <si>
    <t xml:space="preserve">Устройство слоя из щебня на высоту рельса  h=0,20 </t>
  </si>
  <si>
    <t xml:space="preserve">Щебень крупный М600 (20-70мм) </t>
  </si>
  <si>
    <t>Демонтаж временного переезда из шпал железнодорожных деревянных</t>
  </si>
  <si>
    <t>Временная дорога из ж/б плит в районе переезда 31 пути</t>
  </si>
  <si>
    <t>Разработка сухого грунта механизированным способом (Н) 0,15м</t>
  </si>
  <si>
    <t xml:space="preserve">Устройство основания из щебня h=0,10 </t>
  </si>
  <si>
    <t>Укладка ж/б плит (старогодные)</t>
  </si>
  <si>
    <t>Заполнение швов в плитах щебнем (210,63м2*0,04)</t>
  </si>
  <si>
    <t>ВДЦ</t>
  </si>
  <si>
    <t>Перечень</t>
  </si>
  <si>
    <t>Объект</t>
  </si>
  <si>
    <t>Согласованная сумма выполнения</t>
  </si>
  <si>
    <t>Оплачено на 11.12.2024</t>
  </si>
  <si>
    <t>Не выполняемые работы</t>
  </si>
  <si>
    <t>Остаток</t>
  </si>
  <si>
    <t>Обсуждаемые доп работы</t>
  </si>
  <si>
    <t>пути 417</t>
  </si>
  <si>
    <t>цех 8</t>
  </si>
  <si>
    <t>итого</t>
  </si>
  <si>
    <t>Не выполняемые работы цех 8</t>
  </si>
  <si>
    <t>Послеосадочный ремонт</t>
  </si>
  <si>
    <t>Устройство смотровой канавы</t>
  </si>
  <si>
    <t>Ремонт кровли</t>
  </si>
  <si>
    <t>Итого</t>
  </si>
  <si>
    <t>АС4</t>
  </si>
  <si>
    <t>Каркас под кабины мастеров (материал)</t>
  </si>
  <si>
    <t>Перемычки проемов ворот (лишний вес)</t>
  </si>
  <si>
    <t>аренда техники</t>
  </si>
  <si>
    <t>бригада Довлатера</t>
  </si>
  <si>
    <t>Стоимость</t>
  </si>
  <si>
    <t>Статья затрат</t>
  </si>
  <si>
    <t>геодез 4мес (50%)</t>
  </si>
  <si>
    <t>пути 417 УГТ</t>
  </si>
  <si>
    <t>комп затрат</t>
  </si>
  <si>
    <t xml:space="preserve">под вопросом </t>
  </si>
  <si>
    <t>обсужд. Допработы 417</t>
  </si>
  <si>
    <t>проверить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</si>
</sst>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0.0"/>
  </numFmts>
  <fonts count="26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85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shrinkToFi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/>
    <xf numFmtId="43" fontId="8" fillId="3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9" fillId="3" borderId="1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right" vertical="center"/>
    </xf>
    <xf numFmtId="43" fontId="8" fillId="0" borderId="1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horizontal="center"/>
    </xf>
    <xf numFmtId="0" fontId="8" fillId="0" borderId="1" xfId="3" applyFont="1" applyBorder="1" applyAlignment="1">
      <alignment horizontal="left" vertical="center" wrapText="1"/>
    </xf>
    <xf numFmtId="43" fontId="8" fillId="0" borderId="1" xfId="1" applyFont="1" applyFill="1" applyBorder="1" applyAlignment="1">
      <alignment horizontal="right" vertical="center" wrapText="1"/>
    </xf>
    <xf numFmtId="2" fontId="8" fillId="0" borderId="1" xfId="0" applyNumberFormat="1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8" fillId="0" borderId="11" xfId="1" applyFont="1" applyFill="1" applyBorder="1" applyAlignment="1">
      <alignment vertical="center"/>
    </xf>
    <xf numFmtId="166" fontId="8" fillId="0" borderId="1" xfId="1" applyNumberFormat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1" fontId="8" fillId="0" borderId="1" xfId="2" applyNumberFormat="1" applyFont="1" applyBorder="1" applyAlignment="1">
      <alignment horizontal="right" vertical="center"/>
    </xf>
    <xf numFmtId="164" fontId="8" fillId="0" borderId="1" xfId="1" applyNumberFormat="1" applyFont="1" applyFill="1" applyBorder="1" applyAlignment="1">
      <alignment vertical="center" wrapText="1"/>
    </xf>
    <xf numFmtId="43" fontId="11" fillId="0" borderId="1" xfId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0" fontId="12" fillId="0" borderId="0" xfId="0" applyFont="1"/>
    <xf numFmtId="164" fontId="6" fillId="0" borderId="0" xfId="1" applyNumberFormat="1" applyFont="1"/>
    <xf numFmtId="43" fontId="6" fillId="0" borderId="0" xfId="1" applyFont="1"/>
    <xf numFmtId="164" fontId="13" fillId="0" borderId="1" xfId="1" applyNumberFormat="1" applyFont="1" applyBorder="1" applyAlignment="1">
      <alignment vertical="center"/>
    </xf>
    <xf numFmtId="4" fontId="5" fillId="0" borderId="11" xfId="0" applyNumberFormat="1" applyFont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vertical="center" wrapText="1"/>
    </xf>
    <xf numFmtId="43" fontId="8" fillId="5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horizontal="center" vertical="center" wrapText="1"/>
    </xf>
    <xf numFmtId="43" fontId="14" fillId="5" borderId="11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vertical="center"/>
    </xf>
    <xf numFmtId="43" fontId="14" fillId="0" borderId="1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right" vertical="center" wrapText="1"/>
    </xf>
    <xf numFmtId="0" fontId="5" fillId="3" borderId="1" xfId="3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vertical="center" wrapText="1"/>
    </xf>
    <xf numFmtId="43" fontId="15" fillId="0" borderId="1" xfId="1" applyFont="1" applyBorder="1" applyAlignment="1">
      <alignment vertical="center"/>
    </xf>
    <xf numFmtId="43" fontId="14" fillId="0" borderId="1" xfId="1" applyFont="1" applyBorder="1" applyAlignment="1">
      <alignment vertical="center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center" vertical="center" wrapText="1"/>
    </xf>
    <xf numFmtId="43" fontId="14" fillId="0" borderId="11" xfId="1" applyFont="1" applyBorder="1" applyAlignment="1">
      <alignment vertical="center"/>
    </xf>
    <xf numFmtId="0" fontId="5" fillId="5" borderId="11" xfId="0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2" fontId="14" fillId="4" borderId="1" xfId="1" applyNumberFormat="1" applyFont="1" applyFill="1" applyBorder="1" applyAlignment="1">
      <alignment horizontal="right" vertical="center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1" xfId="1" applyFont="1" applyFill="1" applyBorder="1" applyAlignment="1">
      <alignment vertical="center"/>
    </xf>
    <xf numFmtId="0" fontId="14" fillId="0" borderId="1" xfId="0" applyFont="1" applyBorder="1" applyAlignment="1">
      <alignment horizontal="right" vertical="center" wrapText="1"/>
    </xf>
    <xf numFmtId="1" fontId="14" fillId="4" borderId="1" xfId="1" applyNumberFormat="1" applyFont="1" applyFill="1" applyBorder="1" applyAlignment="1">
      <alignment horizontal="right" vertical="center"/>
    </xf>
    <xf numFmtId="43" fontId="15" fillId="4" borderId="1" xfId="1" applyFont="1" applyFill="1" applyBorder="1" applyAlignment="1">
      <alignment vertical="center"/>
    </xf>
    <xf numFmtId="2" fontId="8" fillId="4" borderId="1" xfId="1" applyNumberFormat="1" applyFont="1" applyFill="1" applyBorder="1" applyAlignment="1">
      <alignment horizontal="right" vertical="center"/>
    </xf>
    <xf numFmtId="43" fontId="13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0" xfId="1" applyNumberFormat="1" applyFont="1"/>
    <xf numFmtId="0" fontId="4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 wrapText="1"/>
    </xf>
    <xf numFmtId="43" fontId="16" fillId="3" borderId="1" xfId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vertical="center" wrapText="1"/>
    </xf>
    <xf numFmtId="43" fontId="16" fillId="3" borderId="1" xfId="1" applyFont="1" applyFill="1" applyBorder="1" applyAlignment="1">
      <alignment horizontal="center"/>
    </xf>
    <xf numFmtId="0" fontId="8" fillId="0" borderId="11" xfId="3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" fontId="8" fillId="4" borderId="1" xfId="0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horizontal="left" vertical="center" wrapText="1"/>
    </xf>
    <xf numFmtId="43" fontId="14" fillId="3" borderId="1" xfId="1" applyFont="1" applyFill="1" applyBorder="1" applyAlignment="1">
      <alignment horizontal="center"/>
    </xf>
    <xf numFmtId="43" fontId="17" fillId="0" borderId="1" xfId="1" applyFont="1" applyBorder="1"/>
    <xf numFmtId="0" fontId="18" fillId="0" borderId="0" xfId="0" applyFont="1"/>
    <xf numFmtId="43" fontId="19" fillId="0" borderId="1" xfId="1" applyFont="1" applyFill="1" applyBorder="1" applyAlignment="1">
      <alignment horizontal="center" vertical="center" wrapText="1"/>
    </xf>
    <xf numFmtId="164" fontId="18" fillId="0" borderId="1" xfId="1" applyNumberFormat="1" applyFont="1" applyBorder="1"/>
    <xf numFmtId="0" fontId="20" fillId="3" borderId="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vertical="center" wrapText="1"/>
    </xf>
    <xf numFmtId="43" fontId="23" fillId="3" borderId="1" xfId="1" applyFont="1" applyFill="1" applyBorder="1" applyAlignment="1">
      <alignment horizontal="center" vertical="center" wrapText="1"/>
    </xf>
    <xf numFmtId="43" fontId="20" fillId="0" borderId="1" xfId="1" applyFont="1" applyBorder="1" applyAlignment="1">
      <alignment vertical="center"/>
    </xf>
    <xf numFmtId="43" fontId="22" fillId="3" borderId="1" xfId="1" applyFont="1" applyFill="1" applyBorder="1" applyAlignment="1">
      <alignment vertical="center"/>
    </xf>
    <xf numFmtId="43" fontId="22" fillId="3" borderId="1" xfId="1" applyFont="1" applyFill="1" applyBorder="1" applyAlignment="1">
      <alignment horizontal="center" vertical="center" wrapText="1"/>
    </xf>
    <xf numFmtId="0" fontId="24" fillId="0" borderId="0" xfId="0" applyFont="1"/>
    <xf numFmtId="43" fontId="16" fillId="0" borderId="1" xfId="1" applyFont="1" applyFill="1" applyBorder="1" applyAlignment="1">
      <alignment horizontal="center"/>
    </xf>
    <xf numFmtId="43" fontId="16" fillId="0" borderId="1" xfId="1" applyFont="1" applyFill="1" applyBorder="1" applyAlignment="1">
      <alignment vertical="center"/>
    </xf>
    <xf numFmtId="167" fontId="8" fillId="0" borderId="1" xfId="0" applyNumberFormat="1" applyFont="1" applyBorder="1" applyAlignment="1">
      <alignment vertical="center" wrapText="1"/>
    </xf>
    <xf numFmtId="43" fontId="13" fillId="0" borderId="1" xfId="1" applyFont="1" applyBorder="1"/>
    <xf numFmtId="164" fontId="0" fillId="0" borderId="1" xfId="1" applyNumberFormat="1" applyFont="1" applyBorder="1"/>
    <xf numFmtId="2" fontId="8" fillId="6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/>
    <xf numFmtId="0" fontId="0" fillId="0" borderId="1" xfId="0" applyBorder="1"/>
    <xf numFmtId="4" fontId="0" fillId="0" borderId="0" xfId="0" applyNumberFormat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 vertical="distributed" wrapText="1"/>
    </xf>
    <xf numFmtId="4" fontId="25" fillId="0" borderId="1" xfId="0" applyNumberFormat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wrapText="1"/>
    </xf>
    <xf numFmtId="43" fontId="2" fillId="0" borderId="0" xfId="1" applyFont="1"/>
    <xf numFmtId="4" fontId="0" fillId="8" borderId="1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/>
    </xf>
    <xf numFmtId="4" fontId="0" fillId="9" borderId="1" xfId="0" applyNumberFormat="1" applyFill="1" applyBorder="1" applyAlignment="1">
      <alignment horizontal="center" vertical="center"/>
    </xf>
    <xf numFmtId="4" fontId="0" fillId="9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4" fontId="0" fillId="6" borderId="1" xfId="0" applyNumberFormat="1" applyFill="1" applyBorder="1"/>
    <xf numFmtId="4" fontId="0" fillId="8" borderId="1" xfId="0" applyNumberFormat="1" applyFill="1" applyBorder="1"/>
    <xf numFmtId="0" fontId="2" fillId="0" borderId="1" xfId="0" applyFont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1" xfId="3" applyFont="1" applyBorder="1" applyAlignment="1">
      <alignment horizontal="right" vertical="center" wrapText="1"/>
    </xf>
    <xf numFmtId="0" fontId="5" fillId="0" borderId="12" xfId="3" applyFont="1" applyBorder="1" applyAlignment="1">
      <alignment horizontal="right" vertical="center" wrapText="1"/>
    </xf>
    <xf numFmtId="0" fontId="5" fillId="0" borderId="13" xfId="3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1" xfId="3" applyFont="1" applyBorder="1" applyAlignment="1">
      <alignment horizontal="right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11" xfId="3" applyFont="1" applyBorder="1" applyAlignment="1">
      <alignment horizontal="right" vertical="center" wrapText="1"/>
    </xf>
    <xf numFmtId="0" fontId="10" fillId="0" borderId="12" xfId="3" applyFont="1" applyBorder="1" applyAlignment="1">
      <alignment horizontal="right" vertical="center" wrapText="1"/>
    </xf>
    <xf numFmtId="0" fontId="10" fillId="0" borderId="13" xfId="3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</cellXfs>
  <cellStyles count="4">
    <cellStyle name="ЛокСмМТСН" xfId="2" xr:uid="{D903A42D-58B8-4BC9-A120-BB1837381005}"/>
    <cellStyle name="Обычный" xfId="0" builtinId="0"/>
    <cellStyle name="Обычный 2" xfId="3" xr:uid="{B06D4D54-40D1-4D67-BB45-D2B382D047E6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+%20&#1057;&#1042;&#1054;&#1044;%20&#1042;&#1044;&#1062;%20&#1069;&#1069;%20&#1074;&#1077;&#1088;.9.1%20&#1086;&#1090;%2018.12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П расц"/>
      <sheetName val="СВОД-9"/>
      <sheetName val="Резка+погр"/>
      <sheetName val="АС4 VS"/>
      <sheetName val="ТС1 VS"/>
      <sheetName val="ТС2 VS"/>
      <sheetName val="ТС3 VS"/>
      <sheetName val="К10-К10А VS"/>
      <sheetName val="К16А VS"/>
      <sheetName val="К26-27 VS"/>
      <sheetName val="ГП1 VS"/>
      <sheetName val="ПЖ VS"/>
      <sheetName val="ГСН VS"/>
      <sheetName val="НВК2 VS"/>
      <sheetName val="ГП2 VS"/>
      <sheetName val="ГП1_1"/>
      <sheetName val="СВОД-7"/>
      <sheetName val="верх"/>
      <sheetName val="СВОД"/>
      <sheetName val="К16А дождеп"/>
      <sheetName val="К26-27"/>
      <sheetName val="ГСН"/>
      <sheetName val="ПЖдо"/>
      <sheetName val="ПЖ"/>
      <sheetName val="ГП2до "/>
      <sheetName val="ГП2 "/>
      <sheetName val="ГП1"/>
      <sheetName val="АС1Площадка"/>
      <sheetName val="Демонтаж ламп"/>
      <sheetName val="КС"/>
      <sheetName val="КПКС"/>
      <sheetName val="К10-К10А"/>
      <sheetName val="ГП2 доп "/>
      <sheetName val="ПЖ (путь 30)"/>
    </sheetNames>
    <sheetDataSet>
      <sheetData sheetId="0" refreshError="1"/>
      <sheetData sheetId="1">
        <row r="36">
          <cell r="N36">
            <v>226371828.61711696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9E79-EB58-4181-8378-D0ABC2363773}">
  <sheetPr>
    <tabColor rgb="FFFFFF00"/>
  </sheetPr>
  <dimension ref="A2:F20"/>
  <sheetViews>
    <sheetView tabSelected="1" zoomScaleNormal="100" workbookViewId="0">
      <selection activeCell="B2" sqref="B2"/>
    </sheetView>
  </sheetViews>
  <sheetFormatPr defaultRowHeight="15" x14ac:dyDescent="0.25"/>
  <cols>
    <col min="1" max="1" width="20.7109375" customWidth="1"/>
    <col min="2" max="2" width="32.28515625" customWidth="1"/>
    <col min="3" max="3" width="29" bestFit="1" customWidth="1"/>
    <col min="4" max="4" width="25.7109375" customWidth="1"/>
    <col min="5" max="5" width="15.7109375" customWidth="1"/>
    <col min="6" max="6" width="26.7109375" customWidth="1"/>
  </cols>
  <sheetData>
    <row r="2" spans="1:6" x14ac:dyDescent="0.25">
      <c r="A2" s="138"/>
      <c r="B2" s="140">
        <f>'[1]СВОД-9'!$N$36</f>
        <v>226371828.61711696</v>
      </c>
      <c r="C2" s="138">
        <f>B3-B2</f>
        <v>-1129509.7071169615</v>
      </c>
    </row>
    <row r="3" spans="1:6" x14ac:dyDescent="0.25">
      <c r="B3" s="140">
        <v>225242318.91</v>
      </c>
    </row>
    <row r="5" spans="1:6" ht="22.15" customHeight="1" x14ac:dyDescent="0.25">
      <c r="A5" s="133" t="s">
        <v>151</v>
      </c>
      <c r="B5" s="133" t="s">
        <v>152</v>
      </c>
      <c r="C5" s="133" t="s">
        <v>153</v>
      </c>
      <c r="D5" s="133" t="s">
        <v>154</v>
      </c>
      <c r="E5" s="133" t="s">
        <v>155</v>
      </c>
      <c r="F5" s="133" t="s">
        <v>156</v>
      </c>
    </row>
    <row r="6" spans="1:6" s="5" customFormat="1" ht="27" customHeight="1" x14ac:dyDescent="0.25">
      <c r="A6" s="7" t="s">
        <v>157</v>
      </c>
      <c r="B6" s="140">
        <f>B2</f>
        <v>226371828.61711696</v>
      </c>
      <c r="C6" s="146">
        <v>223268687</v>
      </c>
      <c r="D6" s="140">
        <v>0</v>
      </c>
      <c r="E6" s="151">
        <f>B6-C6-D6</f>
        <v>3103141.6171169579</v>
      </c>
      <c r="F6" s="140">
        <v>0</v>
      </c>
    </row>
    <row r="7" spans="1:6" s="5" customFormat="1" ht="27" customHeight="1" x14ac:dyDescent="0.25">
      <c r="A7" s="7" t="s">
        <v>173</v>
      </c>
      <c r="B7" s="140">
        <v>2614935</v>
      </c>
      <c r="C7" s="146"/>
      <c r="D7" s="140">
        <v>0</v>
      </c>
      <c r="E7" s="151">
        <f>B7-C7-D7</f>
        <v>2614935</v>
      </c>
      <c r="F7" s="140">
        <v>0</v>
      </c>
    </row>
    <row r="8" spans="1:6" s="5" customFormat="1" ht="27" customHeight="1" x14ac:dyDescent="0.25">
      <c r="A8" s="7" t="s">
        <v>158</v>
      </c>
      <c r="B8" s="141">
        <v>77210902.231199995</v>
      </c>
      <c r="C8" s="140">
        <v>80222311.290000007</v>
      </c>
      <c r="D8" s="140">
        <f>D20</f>
        <v>3696253</v>
      </c>
      <c r="E8" s="154">
        <f>B8-C8-D8</f>
        <v>-6707662.0588000119</v>
      </c>
      <c r="F8" s="140">
        <v>0</v>
      </c>
    </row>
    <row r="9" spans="1:6" s="5" customFormat="1" ht="27" customHeight="1" x14ac:dyDescent="0.25">
      <c r="A9" s="7" t="s">
        <v>176</v>
      </c>
      <c r="B9" s="141">
        <f>Свод!C17</f>
        <v>1033100.63</v>
      </c>
      <c r="C9" s="140">
        <v>0</v>
      </c>
      <c r="D9" s="140">
        <v>0</v>
      </c>
      <c r="E9" s="154">
        <f>B9-C9-D9</f>
        <v>1033100.63</v>
      </c>
      <c r="F9" s="140">
        <v>0</v>
      </c>
    </row>
    <row r="10" spans="1:6" s="5" customFormat="1" ht="27" customHeight="1" x14ac:dyDescent="0.25">
      <c r="A10" s="7" t="s">
        <v>174</v>
      </c>
      <c r="B10" s="141">
        <f>Свод!C18</f>
        <v>0</v>
      </c>
      <c r="C10" s="140">
        <f>'комп затрат'!B8</f>
        <v>881000</v>
      </c>
      <c r="D10" s="140">
        <v>0</v>
      </c>
      <c r="E10" s="154">
        <f>B10-C10-D10</f>
        <v>-881000</v>
      </c>
      <c r="F10" s="140">
        <v>0</v>
      </c>
    </row>
    <row r="11" spans="1:6" s="5" customFormat="1" ht="27" customHeight="1" x14ac:dyDescent="0.25">
      <c r="A11" s="6" t="s">
        <v>159</v>
      </c>
      <c r="B11" s="132">
        <f>SUM(B6:B10)</f>
        <v>307230766.47831696</v>
      </c>
      <c r="C11" s="132">
        <f t="shared" ref="C11:F11" si="0">SUM(C6:C10)</f>
        <v>304371998.29000002</v>
      </c>
      <c r="D11" s="132">
        <f t="shared" si="0"/>
        <v>3696253</v>
      </c>
      <c r="E11" s="147">
        <f t="shared" si="0"/>
        <v>-837484.81168305397</v>
      </c>
      <c r="F11" s="132">
        <f t="shared" si="0"/>
        <v>0</v>
      </c>
    </row>
    <row r="12" spans="1:6" x14ac:dyDescent="0.25">
      <c r="B12" s="135"/>
    </row>
    <row r="13" spans="1:6" x14ac:dyDescent="0.25">
      <c r="B13" s="135"/>
      <c r="C13" s="160" t="s">
        <v>160</v>
      </c>
      <c r="D13" s="160"/>
      <c r="F13" s="136"/>
    </row>
    <row r="14" spans="1:6" x14ac:dyDescent="0.25">
      <c r="B14" s="135"/>
      <c r="C14" s="137" t="s">
        <v>161</v>
      </c>
      <c r="D14" s="152">
        <v>876355.2</v>
      </c>
    </row>
    <row r="15" spans="1:6" x14ac:dyDescent="0.25">
      <c r="B15" s="135"/>
      <c r="C15" s="137" t="s">
        <v>165</v>
      </c>
      <c r="D15" s="153">
        <v>1225758.8600000001</v>
      </c>
    </row>
    <row r="16" spans="1:6" x14ac:dyDescent="0.25">
      <c r="C16" s="137" t="s">
        <v>162</v>
      </c>
      <c r="D16" s="153">
        <v>331473.69</v>
      </c>
    </row>
    <row r="17" spans="3:6" x14ac:dyDescent="0.25">
      <c r="C17" s="137" t="s">
        <v>163</v>
      </c>
      <c r="D17" s="153">
        <v>738450</v>
      </c>
    </row>
    <row r="18" spans="3:6" ht="30" x14ac:dyDescent="0.25">
      <c r="C18" s="1" t="s">
        <v>166</v>
      </c>
      <c r="D18" s="152">
        <v>246019.6</v>
      </c>
      <c r="F18">
        <v>1083</v>
      </c>
    </row>
    <row r="19" spans="3:6" ht="30" x14ac:dyDescent="0.25">
      <c r="C19" s="1" t="s">
        <v>167</v>
      </c>
      <c r="D19" s="152">
        <v>278195.65000000002</v>
      </c>
      <c r="F19">
        <v>1516</v>
      </c>
    </row>
    <row r="20" spans="3:6" x14ac:dyDescent="0.25">
      <c r="C20" s="139" t="s">
        <v>164</v>
      </c>
      <c r="D20" s="134">
        <f>SUM(D14:D19)</f>
        <v>3696253</v>
      </c>
    </row>
  </sheetData>
  <mergeCells count="1">
    <mergeCell ref="C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4:E17"/>
  <sheetViews>
    <sheetView topLeftCell="A4" workbookViewId="0">
      <selection activeCell="D15" sqref="D15"/>
    </sheetView>
  </sheetViews>
  <sheetFormatPr defaultColWidth="9.140625" defaultRowHeight="15" x14ac:dyDescent="0.25"/>
  <cols>
    <col min="1" max="1" width="9.140625" style="5"/>
    <col min="2" max="2" width="38.85546875" style="5" customWidth="1"/>
    <col min="3" max="3" width="15.140625" style="5" customWidth="1"/>
    <col min="4" max="4" width="30.28515625" style="5" customWidth="1"/>
    <col min="5" max="5" width="13.28515625" style="5" customWidth="1"/>
    <col min="6" max="16384" width="9.140625" style="5"/>
  </cols>
  <sheetData>
    <row r="4" spans="1:5" ht="27" customHeight="1" x14ac:dyDescent="0.25">
      <c r="A4" s="6" t="s">
        <v>21</v>
      </c>
      <c r="B4" s="6" t="s">
        <v>22</v>
      </c>
      <c r="C4" s="6" t="s">
        <v>23</v>
      </c>
      <c r="D4" s="6" t="s">
        <v>24</v>
      </c>
    </row>
    <row r="5" spans="1:5" ht="21" customHeight="1" x14ac:dyDescent="0.25">
      <c r="A5" s="7">
        <v>1</v>
      </c>
      <c r="B5" s="9" t="s">
        <v>25</v>
      </c>
      <c r="C5" s="148"/>
      <c r="D5" s="155" t="s">
        <v>149</v>
      </c>
    </row>
    <row r="6" spans="1:5" ht="30" x14ac:dyDescent="0.25">
      <c r="A6" s="7">
        <f>A5+1</f>
        <v>2</v>
      </c>
      <c r="B6" s="9" t="s">
        <v>26</v>
      </c>
      <c r="C6" s="148"/>
      <c r="D6" s="155" t="s">
        <v>41</v>
      </c>
    </row>
    <row r="7" spans="1:5" ht="32.25" customHeight="1" x14ac:dyDescent="0.25">
      <c r="A7" s="7">
        <f t="shared" ref="A7:A16" si="0">A6+1</f>
        <v>3</v>
      </c>
      <c r="B7" s="10" t="s">
        <v>27</v>
      </c>
      <c r="C7" s="148"/>
      <c r="D7" s="155" t="s">
        <v>149</v>
      </c>
    </row>
    <row r="8" spans="1:5" x14ac:dyDescent="0.25">
      <c r="A8" s="7">
        <f t="shared" si="0"/>
        <v>4</v>
      </c>
      <c r="B8" s="9" t="s">
        <v>28</v>
      </c>
      <c r="C8" s="148">
        <v>27550</v>
      </c>
      <c r="D8" s="156" t="s">
        <v>36</v>
      </c>
      <c r="E8" s="5" t="s">
        <v>177</v>
      </c>
    </row>
    <row r="9" spans="1:5" ht="45" customHeight="1" x14ac:dyDescent="0.25">
      <c r="A9" s="7">
        <f t="shared" si="0"/>
        <v>5</v>
      </c>
      <c r="B9" s="9" t="s">
        <v>29</v>
      </c>
      <c r="C9" s="148"/>
      <c r="D9" s="155" t="s">
        <v>37</v>
      </c>
    </row>
    <row r="10" spans="1:5" x14ac:dyDescent="0.25">
      <c r="A10" s="7">
        <f t="shared" si="0"/>
        <v>6</v>
      </c>
      <c r="B10" s="9" t="s">
        <v>30</v>
      </c>
      <c r="C10" s="148"/>
      <c r="D10" s="155" t="s">
        <v>38</v>
      </c>
    </row>
    <row r="11" spans="1:5" ht="30" x14ac:dyDescent="0.25">
      <c r="A11" s="7">
        <f t="shared" si="0"/>
        <v>7</v>
      </c>
      <c r="B11" s="9" t="s">
        <v>31</v>
      </c>
      <c r="C11" s="148"/>
      <c r="D11" s="156" t="s">
        <v>149</v>
      </c>
    </row>
    <row r="12" spans="1:5" x14ac:dyDescent="0.25">
      <c r="A12" s="7">
        <f t="shared" si="0"/>
        <v>8</v>
      </c>
      <c r="B12" s="9" t="s">
        <v>32</v>
      </c>
      <c r="C12" s="148">
        <v>592272</v>
      </c>
      <c r="D12" s="156" t="s">
        <v>39</v>
      </c>
    </row>
    <row r="13" spans="1:5" x14ac:dyDescent="0.25">
      <c r="A13" s="7">
        <f t="shared" si="0"/>
        <v>9</v>
      </c>
      <c r="B13" s="9" t="s">
        <v>33</v>
      </c>
      <c r="C13" s="148"/>
      <c r="D13" s="156" t="s">
        <v>149</v>
      </c>
    </row>
    <row r="14" spans="1:5" x14ac:dyDescent="0.25">
      <c r="A14" s="7">
        <f t="shared" si="0"/>
        <v>10</v>
      </c>
      <c r="B14" s="10" t="s">
        <v>43</v>
      </c>
      <c r="C14" s="148">
        <v>213278.63</v>
      </c>
      <c r="D14" s="156" t="s">
        <v>150</v>
      </c>
    </row>
    <row r="15" spans="1:5" ht="75" x14ac:dyDescent="0.25">
      <c r="A15" s="7">
        <f t="shared" si="0"/>
        <v>11</v>
      </c>
      <c r="B15" s="9" t="s">
        <v>34</v>
      </c>
      <c r="C15" s="148">
        <f>368000*0.5</f>
        <v>184000</v>
      </c>
      <c r="D15" s="156" t="s">
        <v>42</v>
      </c>
    </row>
    <row r="16" spans="1:5" x14ac:dyDescent="0.25">
      <c r="A16" s="7">
        <f t="shared" si="0"/>
        <v>12</v>
      </c>
      <c r="B16" s="9" t="s">
        <v>35</v>
      </c>
      <c r="C16" s="8">
        <v>16000</v>
      </c>
      <c r="D16" s="157" t="s">
        <v>40</v>
      </c>
    </row>
    <row r="17" spans="1:4" x14ac:dyDescent="0.25">
      <c r="A17" s="1"/>
      <c r="B17" s="9"/>
      <c r="C17" s="132">
        <f>SUM(C5:C16)</f>
        <v>1033100.63</v>
      </c>
      <c r="D1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9211-DFCB-4FDB-99D9-4BBEB79881A6}">
  <dimension ref="A1:C8"/>
  <sheetViews>
    <sheetView workbookViewId="0">
      <selection activeCell="B2" sqref="B2"/>
    </sheetView>
  </sheetViews>
  <sheetFormatPr defaultRowHeight="15" x14ac:dyDescent="0.25"/>
  <cols>
    <col min="1" max="1" width="29.42578125" customWidth="1"/>
    <col min="2" max="2" width="28.140625" style="138" customWidth="1"/>
  </cols>
  <sheetData>
    <row r="1" spans="1:3" x14ac:dyDescent="0.25">
      <c r="A1" s="139" t="s">
        <v>171</v>
      </c>
      <c r="B1" s="145" t="s">
        <v>170</v>
      </c>
    </row>
    <row r="2" spans="1:3" x14ac:dyDescent="0.25">
      <c r="A2" s="137" t="s">
        <v>168</v>
      </c>
      <c r="B2" s="159">
        <v>0</v>
      </c>
      <c r="C2" t="s">
        <v>175</v>
      </c>
    </row>
    <row r="3" spans="1:3" x14ac:dyDescent="0.25">
      <c r="A3" s="137" t="s">
        <v>169</v>
      </c>
      <c r="B3" s="159">
        <f>110000+315000</f>
        <v>425000</v>
      </c>
    </row>
    <row r="4" spans="1:3" x14ac:dyDescent="0.25">
      <c r="A4" s="137" t="s">
        <v>172</v>
      </c>
      <c r="B4" s="158">
        <f>228000*4/2</f>
        <v>456000</v>
      </c>
    </row>
    <row r="5" spans="1:3" x14ac:dyDescent="0.25">
      <c r="A5" s="137"/>
      <c r="B5" s="142"/>
    </row>
    <row r="6" spans="1:3" x14ac:dyDescent="0.25">
      <c r="A6" s="137"/>
      <c r="B6" s="142"/>
    </row>
    <row r="7" spans="1:3" x14ac:dyDescent="0.25">
      <c r="A7" s="137"/>
      <c r="B7" s="142"/>
    </row>
    <row r="8" spans="1:3" x14ac:dyDescent="0.25">
      <c r="A8" s="143" t="s">
        <v>164</v>
      </c>
      <c r="B8" s="144">
        <f>SUM(B3:B7)</f>
        <v>881000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workbookViewId="0">
      <selection activeCell="D9" activeCellId="4" sqref="D4 D6 D7 D8 D9"/>
    </sheetView>
  </sheetViews>
  <sheetFormatPr defaultRowHeight="15" x14ac:dyDescent="0.25"/>
  <cols>
    <col min="1" max="1" width="13.7109375" customWidth="1"/>
    <col min="2" max="2" width="11.5703125" customWidth="1"/>
    <col min="3" max="3" width="21" customWidth="1"/>
    <col min="4" max="4" width="17" customWidth="1"/>
    <col min="5" max="5" width="22.85546875" customWidth="1"/>
  </cols>
  <sheetData>
    <row r="2" spans="1:5" x14ac:dyDescent="0.25">
      <c r="A2" s="4" t="s">
        <v>6</v>
      </c>
      <c r="B2" s="4" t="s">
        <v>0</v>
      </c>
      <c r="C2" s="4" t="s">
        <v>1</v>
      </c>
      <c r="D2" s="4" t="s">
        <v>3</v>
      </c>
      <c r="E2" s="4" t="s">
        <v>2</v>
      </c>
    </row>
    <row r="3" spans="1:5" ht="30" x14ac:dyDescent="0.25">
      <c r="A3" s="3" t="s">
        <v>10</v>
      </c>
      <c r="B3" s="2">
        <v>45400</v>
      </c>
      <c r="C3" s="1" t="s">
        <v>4</v>
      </c>
      <c r="D3" s="149">
        <v>34831</v>
      </c>
      <c r="E3" s="1" t="s">
        <v>5</v>
      </c>
    </row>
    <row r="4" spans="1:5" ht="30" x14ac:dyDescent="0.25">
      <c r="A4" s="3" t="s">
        <v>13</v>
      </c>
      <c r="B4" s="2">
        <v>45414</v>
      </c>
      <c r="C4" s="1" t="s">
        <v>14</v>
      </c>
      <c r="D4" s="149">
        <v>19380</v>
      </c>
      <c r="E4" s="1" t="s">
        <v>15</v>
      </c>
    </row>
    <row r="5" spans="1:5" ht="30" x14ac:dyDescent="0.25">
      <c r="A5" s="3" t="s">
        <v>16</v>
      </c>
      <c r="B5" s="2">
        <v>45429</v>
      </c>
      <c r="C5" s="1" t="s">
        <v>17</v>
      </c>
      <c r="D5" s="149">
        <v>47040</v>
      </c>
      <c r="E5" s="1" t="s">
        <v>18</v>
      </c>
    </row>
    <row r="6" spans="1:5" x14ac:dyDescent="0.25">
      <c r="A6" s="3" t="s">
        <v>11</v>
      </c>
      <c r="B6" s="2">
        <v>45434</v>
      </c>
      <c r="C6" s="1" t="s">
        <v>4</v>
      </c>
      <c r="D6" s="149">
        <v>20269</v>
      </c>
      <c r="E6" s="1" t="s">
        <v>12</v>
      </c>
    </row>
    <row r="7" spans="1:5" ht="30" x14ac:dyDescent="0.25">
      <c r="A7" s="3" t="s">
        <v>19</v>
      </c>
      <c r="B7" s="2">
        <v>45435</v>
      </c>
      <c r="C7" s="1" t="s">
        <v>14</v>
      </c>
      <c r="D7" s="149">
        <v>51012</v>
      </c>
      <c r="E7" s="1" t="s">
        <v>15</v>
      </c>
    </row>
    <row r="8" spans="1:5" ht="30" x14ac:dyDescent="0.25">
      <c r="A8" s="3" t="s">
        <v>7</v>
      </c>
      <c r="B8" s="2">
        <v>45439</v>
      </c>
      <c r="C8" s="1" t="s">
        <v>8</v>
      </c>
      <c r="D8" s="149">
        <v>9746.6299999999992</v>
      </c>
      <c r="E8" s="1" t="s">
        <v>9</v>
      </c>
    </row>
    <row r="9" spans="1:5" ht="30" x14ac:dyDescent="0.25">
      <c r="A9" s="3" t="s">
        <v>20</v>
      </c>
      <c r="B9" s="2">
        <v>45457</v>
      </c>
      <c r="C9" s="1" t="s">
        <v>14</v>
      </c>
      <c r="D9" s="149">
        <v>31000</v>
      </c>
      <c r="E9" s="1" t="s">
        <v>15</v>
      </c>
    </row>
    <row r="10" spans="1:5" x14ac:dyDescent="0.25">
      <c r="D10" s="150">
        <f>SUM(D3:D9)</f>
        <v>213278.63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E0EC-B86D-49FB-AFAB-12530116C998}">
  <dimension ref="A1:L23"/>
  <sheetViews>
    <sheetView zoomScaleNormal="100" workbookViewId="0">
      <selection activeCell="L23" sqref="L23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</cols>
  <sheetData>
    <row r="1" spans="1:12" x14ac:dyDescent="0.25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2" x14ac:dyDescent="0.25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2" x14ac:dyDescent="0.25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77" t="s">
        <v>51</v>
      </c>
      <c r="L3" s="177"/>
    </row>
    <row r="4" spans="1:12" ht="42.75" x14ac:dyDescent="0.25">
      <c r="A4" s="168"/>
      <c r="B4" s="171"/>
      <c r="C4" s="172"/>
      <c r="D4" s="172"/>
      <c r="E4" s="12" t="s">
        <v>52</v>
      </c>
      <c r="F4" s="12" t="s">
        <v>53</v>
      </c>
      <c r="G4" s="61" t="s">
        <v>54</v>
      </c>
      <c r="H4" s="12" t="s">
        <v>52</v>
      </c>
      <c r="I4" s="12" t="s">
        <v>53</v>
      </c>
      <c r="J4" s="61" t="s">
        <v>54</v>
      </c>
      <c r="K4" s="12" t="s">
        <v>55</v>
      </c>
      <c r="L4" s="12" t="s">
        <v>56</v>
      </c>
    </row>
    <row r="5" spans="1:12" x14ac:dyDescent="0.25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/>
    </row>
    <row r="6" spans="1:12" x14ac:dyDescent="0.25">
      <c r="A6" s="16"/>
      <c r="B6" s="161" t="s">
        <v>136</v>
      </c>
      <c r="C6" s="162"/>
      <c r="D6" s="162"/>
      <c r="E6" s="17"/>
      <c r="F6" s="18"/>
      <c r="G6" s="19"/>
      <c r="H6" s="19"/>
      <c r="I6" s="19"/>
      <c r="J6" s="19"/>
      <c r="K6" s="19"/>
      <c r="L6" s="19"/>
    </row>
    <row r="7" spans="1:12" s="125" customFormat="1" ht="15.75" x14ac:dyDescent="0.25">
      <c r="A7" s="117"/>
      <c r="B7" s="118" t="s">
        <v>137</v>
      </c>
      <c r="C7" s="119"/>
      <c r="D7" s="120"/>
      <c r="E7" s="121"/>
      <c r="F7" s="122"/>
      <c r="G7" s="122"/>
      <c r="H7" s="121"/>
      <c r="I7" s="123"/>
      <c r="J7" s="123"/>
      <c r="K7" s="124"/>
      <c r="L7" s="123"/>
    </row>
    <row r="8" spans="1:12" ht="15.75" x14ac:dyDescent="0.25">
      <c r="A8" s="71">
        <f>A6+1</f>
        <v>1</v>
      </c>
      <c r="B8" s="34" t="s">
        <v>138</v>
      </c>
      <c r="C8" s="27" t="s">
        <v>89</v>
      </c>
      <c r="D8" s="36">
        <f>40*0.08</f>
        <v>3.2</v>
      </c>
      <c r="E8" s="39">
        <v>1200</v>
      </c>
      <c r="F8" s="73">
        <f>ROUND(E8*D8,2)</f>
        <v>3840</v>
      </c>
      <c r="G8" s="73">
        <f>ROUND(F8*1.2,2)</f>
        <v>4608</v>
      </c>
      <c r="H8" s="126"/>
      <c r="I8" s="127"/>
      <c r="J8" s="127"/>
      <c r="K8" s="31">
        <f>F8+I8</f>
        <v>3840</v>
      </c>
      <c r="L8" s="32">
        <f>G8+J8</f>
        <v>4608</v>
      </c>
    </row>
    <row r="9" spans="1:12" ht="15.75" x14ac:dyDescent="0.25">
      <c r="A9" s="71">
        <f>A8+1</f>
        <v>2</v>
      </c>
      <c r="B9" s="34" t="s">
        <v>139</v>
      </c>
      <c r="C9" s="27" t="s">
        <v>89</v>
      </c>
      <c r="D9" s="36">
        <f>D8</f>
        <v>3.2</v>
      </c>
      <c r="E9" s="39">
        <v>350</v>
      </c>
      <c r="F9" s="73">
        <f t="shared" ref="F9" si="0">ROUND(E9*D9,2)</f>
        <v>1120</v>
      </c>
      <c r="G9" s="73">
        <f t="shared" ref="G9" si="1">ROUND(F9*1.2,2)</f>
        <v>1344</v>
      </c>
      <c r="H9" s="39"/>
      <c r="I9" s="32"/>
      <c r="J9" s="32"/>
      <c r="K9" s="31">
        <f t="shared" ref="K9:L19" si="2">F9+I9</f>
        <v>1120</v>
      </c>
      <c r="L9" s="32">
        <f t="shared" si="2"/>
        <v>1344</v>
      </c>
    </row>
    <row r="10" spans="1:12" ht="30" x14ac:dyDescent="0.25">
      <c r="A10" s="71">
        <f>A9+1</f>
        <v>3</v>
      </c>
      <c r="B10" s="34" t="s">
        <v>140</v>
      </c>
      <c r="C10" s="27" t="s">
        <v>71</v>
      </c>
      <c r="D10" s="36">
        <v>19.8</v>
      </c>
      <c r="E10" s="39">
        <f>ROUND((868.33+2966.88)/2,2)</f>
        <v>1917.61</v>
      </c>
      <c r="F10" s="73">
        <f>ROUND(E10*D10,2)</f>
        <v>37968.68</v>
      </c>
      <c r="G10" s="73">
        <f>ROUND(F10*1.2,2)</f>
        <v>45562.42</v>
      </c>
      <c r="H10" s="39"/>
      <c r="I10" s="32"/>
      <c r="J10" s="32"/>
      <c r="K10" s="31">
        <f t="shared" si="2"/>
        <v>37968.68</v>
      </c>
      <c r="L10" s="32">
        <f t="shared" si="2"/>
        <v>45562.42</v>
      </c>
    </row>
    <row r="11" spans="1:12" ht="15.75" x14ac:dyDescent="0.25">
      <c r="A11" s="71">
        <f>A10+1</f>
        <v>4</v>
      </c>
      <c r="B11" s="34" t="s">
        <v>141</v>
      </c>
      <c r="C11" s="27" t="s">
        <v>61</v>
      </c>
      <c r="D11" s="36">
        <f>36.7*0.2</f>
        <v>7.3400000000000007</v>
      </c>
      <c r="E11" s="39">
        <v>1582.99</v>
      </c>
      <c r="F11" s="73">
        <f>ROUND(E11*D11,2)</f>
        <v>11619.15</v>
      </c>
      <c r="G11" s="73">
        <f>ROUND(F11*1.2,2)</f>
        <v>13942.98</v>
      </c>
      <c r="H11" s="39"/>
      <c r="I11" s="32"/>
      <c r="J11" s="32"/>
      <c r="K11" s="31">
        <f t="shared" si="2"/>
        <v>11619.15</v>
      </c>
      <c r="L11" s="32">
        <f t="shared" si="2"/>
        <v>13942.98</v>
      </c>
    </row>
    <row r="12" spans="1:12" ht="15.75" x14ac:dyDescent="0.25">
      <c r="A12" s="85" t="s">
        <v>92</v>
      </c>
      <c r="B12" s="44" t="s">
        <v>142</v>
      </c>
      <c r="C12" s="45" t="s">
        <v>61</v>
      </c>
      <c r="D12" s="93">
        <f>D11*1.26</f>
        <v>9.2484000000000002</v>
      </c>
      <c r="E12" s="47"/>
      <c r="F12" s="87"/>
      <c r="G12" s="87"/>
      <c r="H12" s="48">
        <v>2827.078</v>
      </c>
      <c r="I12" s="87">
        <f>ROUND(H12*D12,2)</f>
        <v>26145.95</v>
      </c>
      <c r="J12" s="87">
        <f t="shared" ref="J12" si="3">ROUND(I12*1.2,2)</f>
        <v>31375.14</v>
      </c>
      <c r="K12" s="88">
        <f t="shared" si="2"/>
        <v>26145.95</v>
      </c>
      <c r="L12" s="89">
        <f t="shared" si="2"/>
        <v>31375.14</v>
      </c>
    </row>
    <row r="13" spans="1:12" ht="23.25" customHeight="1" x14ac:dyDescent="0.25">
      <c r="A13" s="71">
        <f>A11+1</f>
        <v>5</v>
      </c>
      <c r="B13" s="34" t="s">
        <v>143</v>
      </c>
      <c r="C13" s="27" t="s">
        <v>71</v>
      </c>
      <c r="D13" s="101">
        <v>19.8</v>
      </c>
      <c r="E13" s="39">
        <f>ROUND(E10*0.8,2)</f>
        <v>1534.09</v>
      </c>
      <c r="F13" s="73">
        <f>ROUND(E13*D13,2)</f>
        <v>30374.98</v>
      </c>
      <c r="G13" s="73">
        <f>ROUND(F13*1.2,2)</f>
        <v>36449.980000000003</v>
      </c>
      <c r="H13" s="126"/>
      <c r="I13" s="127"/>
      <c r="J13" s="127"/>
      <c r="K13" s="31">
        <f>F13+I13</f>
        <v>30374.98</v>
      </c>
      <c r="L13" s="32">
        <f>G13+J13</f>
        <v>36449.980000000003</v>
      </c>
    </row>
    <row r="14" spans="1:12" ht="15.75" x14ac:dyDescent="0.25">
      <c r="A14" s="71">
        <f>A13+1</f>
        <v>6</v>
      </c>
      <c r="B14" s="34" t="s">
        <v>138</v>
      </c>
      <c r="C14" s="27" t="s">
        <v>89</v>
      </c>
      <c r="D14" s="36">
        <v>3.2</v>
      </c>
      <c r="E14" s="39">
        <v>1200</v>
      </c>
      <c r="F14" s="73">
        <f>ROUND(E14*D14,2)</f>
        <v>3840</v>
      </c>
      <c r="G14" s="73">
        <f>ROUND(F14*1.2,2)</f>
        <v>4608</v>
      </c>
      <c r="H14" s="126"/>
      <c r="I14" s="127"/>
      <c r="J14" s="127"/>
      <c r="K14" s="31">
        <f>F14+I14</f>
        <v>3840</v>
      </c>
      <c r="L14" s="32">
        <f>G14+J14</f>
        <v>4608</v>
      </c>
    </row>
    <row r="15" spans="1:12" ht="15.75" x14ac:dyDescent="0.25">
      <c r="A15" s="71">
        <f>A14+1</f>
        <v>7</v>
      </c>
      <c r="B15" s="34" t="s">
        <v>139</v>
      </c>
      <c r="C15" s="27" t="s">
        <v>89</v>
      </c>
      <c r="D15" s="36">
        <f>D14</f>
        <v>3.2</v>
      </c>
      <c r="E15" s="39">
        <v>350</v>
      </c>
      <c r="F15" s="73">
        <f t="shared" ref="F15" si="4">ROUND(E15*D15,2)</f>
        <v>1120</v>
      </c>
      <c r="G15" s="73">
        <f t="shared" ref="G15" si="5">ROUND(F15*1.2,2)</f>
        <v>1344</v>
      </c>
      <c r="H15" s="39"/>
      <c r="I15" s="32"/>
      <c r="J15" s="32"/>
      <c r="K15" s="31">
        <f t="shared" ref="K15:L15" si="6">F15+I15</f>
        <v>1120</v>
      </c>
      <c r="L15" s="32">
        <f t="shared" si="6"/>
        <v>1344</v>
      </c>
    </row>
    <row r="16" spans="1:12" s="125" customFormat="1" ht="15.75" x14ac:dyDescent="0.25">
      <c r="A16" s="117"/>
      <c r="B16" s="118" t="s">
        <v>144</v>
      </c>
      <c r="C16" s="119"/>
      <c r="D16" s="120"/>
      <c r="E16" s="121"/>
      <c r="F16" s="122"/>
      <c r="G16" s="122"/>
      <c r="H16" s="121"/>
      <c r="I16" s="123"/>
      <c r="J16" s="123"/>
      <c r="K16" s="124"/>
      <c r="L16" s="123"/>
    </row>
    <row r="17" spans="1:12" ht="15.75" x14ac:dyDescent="0.25">
      <c r="A17" s="71">
        <v>8</v>
      </c>
      <c r="B17" s="34" t="s">
        <v>145</v>
      </c>
      <c r="C17" s="27" t="s">
        <v>61</v>
      </c>
      <c r="D17" s="131">
        <f>210.63*0.15*0</f>
        <v>0</v>
      </c>
      <c r="E17" s="39">
        <v>308.75</v>
      </c>
      <c r="F17" s="73">
        <f t="shared" ref="F17" si="7">ROUND(E17*D17,2)</f>
        <v>0</v>
      </c>
      <c r="G17" s="73">
        <f t="shared" ref="G17" si="8">ROUND(F17*1.2,2)</f>
        <v>0</v>
      </c>
      <c r="H17" s="39"/>
      <c r="I17" s="32"/>
      <c r="J17" s="32"/>
      <c r="K17" s="31">
        <f t="shared" si="2"/>
        <v>0</v>
      </c>
      <c r="L17" s="32">
        <f t="shared" si="2"/>
        <v>0</v>
      </c>
    </row>
    <row r="18" spans="1:12" ht="15.75" x14ac:dyDescent="0.25">
      <c r="A18" s="71">
        <v>9</v>
      </c>
      <c r="B18" s="34" t="s">
        <v>146</v>
      </c>
      <c r="C18" s="27" t="s">
        <v>61</v>
      </c>
      <c r="D18" s="131">
        <f>210.63*0.1*0</f>
        <v>0</v>
      </c>
      <c r="E18" s="39">
        <v>1582.99</v>
      </c>
      <c r="F18" s="73">
        <f>ROUND(E18*D18,2)</f>
        <v>0</v>
      </c>
      <c r="G18" s="73">
        <f>ROUND(F18*1.2,2)</f>
        <v>0</v>
      </c>
      <c r="H18" s="39"/>
      <c r="I18" s="32"/>
      <c r="J18" s="32"/>
      <c r="K18" s="31">
        <f t="shared" si="2"/>
        <v>0</v>
      </c>
      <c r="L18" s="32">
        <f t="shared" si="2"/>
        <v>0</v>
      </c>
    </row>
    <row r="19" spans="1:12" ht="15.75" x14ac:dyDescent="0.25">
      <c r="A19" s="85" t="s">
        <v>107</v>
      </c>
      <c r="B19" s="44" t="s">
        <v>142</v>
      </c>
      <c r="C19" s="45" t="s">
        <v>61</v>
      </c>
      <c r="D19" s="93">
        <f>D18*1.26</f>
        <v>0</v>
      </c>
      <c r="E19" s="47"/>
      <c r="F19" s="87"/>
      <c r="G19" s="87"/>
      <c r="H19" s="48">
        <v>2827.078</v>
      </c>
      <c r="I19" s="87">
        <f>ROUND(H19*D19,2)</f>
        <v>0</v>
      </c>
      <c r="J19" s="87">
        <f t="shared" ref="J19" si="9">ROUND(I19*1.2,2)</f>
        <v>0</v>
      </c>
      <c r="K19" s="88">
        <f t="shared" si="2"/>
        <v>0</v>
      </c>
      <c r="L19" s="89">
        <f t="shared" si="2"/>
        <v>0</v>
      </c>
    </row>
    <row r="20" spans="1:12" ht="15.75" x14ac:dyDescent="0.25">
      <c r="A20" s="71">
        <f>A18+1</f>
        <v>10</v>
      </c>
      <c r="B20" s="34" t="s">
        <v>147</v>
      </c>
      <c r="C20" s="27" t="s">
        <v>71</v>
      </c>
      <c r="D20" s="128">
        <v>210.63</v>
      </c>
      <c r="E20" s="39">
        <v>250</v>
      </c>
      <c r="F20" s="73">
        <f>ROUND(E20*D20,2)</f>
        <v>52657.5</v>
      </c>
      <c r="G20" s="73">
        <f>ROUND(F20*1.2,2)</f>
        <v>63189</v>
      </c>
      <c r="H20" s="126"/>
      <c r="I20" s="127"/>
      <c r="J20" s="127"/>
      <c r="K20" s="31">
        <f>F20+I20</f>
        <v>52657.5</v>
      </c>
      <c r="L20" s="32">
        <f>G20+J20</f>
        <v>63189</v>
      </c>
    </row>
    <row r="21" spans="1:12" ht="15.75" x14ac:dyDescent="0.25">
      <c r="A21" s="71">
        <f>A20+1</f>
        <v>11</v>
      </c>
      <c r="B21" s="34" t="s">
        <v>148</v>
      </c>
      <c r="C21" s="27" t="s">
        <v>61</v>
      </c>
      <c r="D21" s="131">
        <f>210.63*0.04*0</f>
        <v>0</v>
      </c>
      <c r="E21" s="39">
        <v>1582.99</v>
      </c>
      <c r="F21" s="73">
        <f>ROUND(E21*D21,2)</f>
        <v>0</v>
      </c>
      <c r="G21" s="73">
        <f>ROUND(F21*1.2,2)</f>
        <v>0</v>
      </c>
      <c r="H21" s="39"/>
      <c r="I21" s="32"/>
      <c r="J21" s="32"/>
      <c r="K21" s="31">
        <f t="shared" ref="K21:L22" si="10">F21+I21</f>
        <v>0</v>
      </c>
      <c r="L21" s="32">
        <f t="shared" si="10"/>
        <v>0</v>
      </c>
    </row>
    <row r="22" spans="1:12" ht="15.75" x14ac:dyDescent="0.25">
      <c r="A22" s="85" t="s">
        <v>126</v>
      </c>
      <c r="B22" s="44" t="s">
        <v>142</v>
      </c>
      <c r="C22" s="45" t="s">
        <v>61</v>
      </c>
      <c r="D22" s="93">
        <f>D21*1.26</f>
        <v>0</v>
      </c>
      <c r="E22" s="47"/>
      <c r="F22" s="87"/>
      <c r="G22" s="87"/>
      <c r="H22" s="48">
        <v>2827.078</v>
      </c>
      <c r="I22" s="87">
        <f>ROUND(H22*D22,2)</f>
        <v>0</v>
      </c>
      <c r="J22" s="87">
        <f t="shared" ref="J22" si="11">ROUND(I22*1.2,2)</f>
        <v>0</v>
      </c>
      <c r="K22" s="88">
        <f t="shared" si="10"/>
        <v>0</v>
      </c>
      <c r="L22" s="89">
        <f t="shared" si="10"/>
        <v>0</v>
      </c>
    </row>
    <row r="23" spans="1:12" ht="15.75" x14ac:dyDescent="0.25">
      <c r="A23" s="163" t="s">
        <v>82</v>
      </c>
      <c r="B23" s="164"/>
      <c r="C23" s="164"/>
      <c r="D23" s="164"/>
      <c r="E23" s="165"/>
      <c r="F23" s="129">
        <f>SUM(F8:F22)</f>
        <v>142540.31</v>
      </c>
      <c r="G23" s="113">
        <f>SUM(G8:G22)</f>
        <v>171048.38</v>
      </c>
      <c r="H23" s="130"/>
      <c r="I23" s="129">
        <f>SUM(I7:I22)</f>
        <v>26145.95</v>
      </c>
      <c r="J23" s="113">
        <f>ROUND(I23*1.2,2)</f>
        <v>31375.14</v>
      </c>
      <c r="K23" s="129">
        <f>I23+F23</f>
        <v>168686.26</v>
      </c>
      <c r="L23" s="113">
        <f>ROUND(K23*1.2,2)</f>
        <v>202423.51</v>
      </c>
    </row>
  </sheetData>
  <mergeCells count="10">
    <mergeCell ref="B6:D6"/>
    <mergeCell ref="A23:E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EC27-61B3-40CB-88DB-BF837D3EC4BD}">
  <dimension ref="A1:M30"/>
  <sheetViews>
    <sheetView workbookViewId="0">
      <selection activeCell="L30" sqref="L3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.140625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customWidth="1"/>
  </cols>
  <sheetData>
    <row r="1" spans="1:13" x14ac:dyDescent="0.25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3" x14ac:dyDescent="0.25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3" x14ac:dyDescent="0.25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77" t="s">
        <v>51</v>
      </c>
      <c r="L3" s="177"/>
    </row>
    <row r="4" spans="1:13" ht="42.75" x14ac:dyDescent="0.25">
      <c r="A4" s="168"/>
      <c r="B4" s="171"/>
      <c r="C4" s="172"/>
      <c r="D4" s="172"/>
      <c r="E4" s="12" t="s">
        <v>52</v>
      </c>
      <c r="F4" s="12" t="s">
        <v>53</v>
      </c>
      <c r="G4" s="61" t="s">
        <v>54</v>
      </c>
      <c r="H4" s="12" t="s">
        <v>52</v>
      </c>
      <c r="I4" s="12" t="s">
        <v>53</v>
      </c>
      <c r="J4" s="61" t="s">
        <v>54</v>
      </c>
      <c r="K4" s="12" t="s">
        <v>55</v>
      </c>
      <c r="L4" s="12" t="s">
        <v>56</v>
      </c>
    </row>
    <row r="5" spans="1:13" x14ac:dyDescent="0.25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/>
    </row>
    <row r="6" spans="1:13" x14ac:dyDescent="0.25">
      <c r="A6" s="16"/>
      <c r="B6" s="161" t="s">
        <v>109</v>
      </c>
      <c r="C6" s="162"/>
      <c r="D6" s="162"/>
      <c r="E6" s="17"/>
      <c r="F6" s="18"/>
      <c r="G6" s="19"/>
      <c r="H6" s="19"/>
      <c r="I6" s="19"/>
      <c r="J6" s="19"/>
      <c r="K6" s="19"/>
      <c r="L6" s="19"/>
      <c r="M6" s="98"/>
    </row>
    <row r="7" spans="1:13" ht="15.75" x14ac:dyDescent="0.25">
      <c r="A7" s="99"/>
      <c r="B7" s="100" t="s">
        <v>59</v>
      </c>
      <c r="C7" s="27"/>
      <c r="D7" s="101"/>
      <c r="E7" s="25"/>
      <c r="F7" s="26"/>
      <c r="G7" s="26"/>
      <c r="H7" s="25"/>
      <c r="I7" s="26"/>
      <c r="J7" s="26"/>
      <c r="K7" s="23"/>
      <c r="L7" s="26"/>
    </row>
    <row r="8" spans="1:13" ht="15.75" x14ac:dyDescent="0.25">
      <c r="A8" s="102" t="s">
        <v>110</v>
      </c>
      <c r="B8" s="103" t="s">
        <v>111</v>
      </c>
      <c r="C8" s="27" t="s">
        <v>61</v>
      </c>
      <c r="D8" s="36">
        <v>41.02</v>
      </c>
      <c r="E8" s="25">
        <v>308.75</v>
      </c>
      <c r="F8" s="79">
        <f t="shared" ref="F8:F16" si="0">ROUND(E8*D8,2)</f>
        <v>12664.93</v>
      </c>
      <c r="G8" s="79">
        <f t="shared" ref="G8:G16" si="1">ROUND(F8*1.2,2)</f>
        <v>15197.92</v>
      </c>
      <c r="H8" s="25"/>
      <c r="I8" s="26"/>
      <c r="J8" s="26"/>
      <c r="K8" s="23">
        <f t="shared" ref="K8:L16" si="2">F8+I8</f>
        <v>12664.93</v>
      </c>
      <c r="L8" s="26">
        <f t="shared" si="2"/>
        <v>15197.92</v>
      </c>
    </row>
    <row r="9" spans="1:13" ht="15.75" x14ac:dyDescent="0.25">
      <c r="A9" s="102">
        <f>A8+1</f>
        <v>2</v>
      </c>
      <c r="B9" s="103" t="s">
        <v>112</v>
      </c>
      <c r="C9" s="27" t="s">
        <v>61</v>
      </c>
      <c r="D9" s="36">
        <v>0.79</v>
      </c>
      <c r="E9" s="25">
        <v>1688.15</v>
      </c>
      <c r="F9" s="79">
        <f t="shared" si="0"/>
        <v>1333.64</v>
      </c>
      <c r="G9" s="79">
        <f t="shared" si="1"/>
        <v>1600.37</v>
      </c>
      <c r="H9" s="25"/>
      <c r="I9" s="26"/>
      <c r="J9" s="26"/>
      <c r="K9" s="23">
        <f t="shared" si="2"/>
        <v>1333.64</v>
      </c>
      <c r="L9" s="26">
        <f t="shared" si="2"/>
        <v>1600.37</v>
      </c>
    </row>
    <row r="10" spans="1:13" ht="15.75" x14ac:dyDescent="0.25">
      <c r="A10" s="99">
        <f t="shared" ref="A10" si="3">A9+1</f>
        <v>3</v>
      </c>
      <c r="B10" s="103" t="s">
        <v>113</v>
      </c>
      <c r="C10" s="20" t="s">
        <v>61</v>
      </c>
      <c r="D10" s="77">
        <v>4.3600000000000003</v>
      </c>
      <c r="E10" s="25">
        <v>1310.05</v>
      </c>
      <c r="F10" s="79">
        <f t="shared" si="0"/>
        <v>5711.82</v>
      </c>
      <c r="G10" s="79">
        <f t="shared" si="1"/>
        <v>6854.18</v>
      </c>
      <c r="H10" s="80"/>
      <c r="I10" s="104"/>
      <c r="J10" s="104"/>
      <c r="K10" s="23">
        <f t="shared" si="2"/>
        <v>5711.82</v>
      </c>
      <c r="L10" s="26">
        <f t="shared" si="2"/>
        <v>6854.18</v>
      </c>
    </row>
    <row r="11" spans="1:13" ht="15.75" x14ac:dyDescent="0.25">
      <c r="A11" s="43" t="s">
        <v>114</v>
      </c>
      <c r="B11" s="44" t="s">
        <v>115</v>
      </c>
      <c r="C11" s="105" t="s">
        <v>61</v>
      </c>
      <c r="D11" s="106">
        <f>4.36*1.1</f>
        <v>4.7960000000000012</v>
      </c>
      <c r="E11" s="47"/>
      <c r="F11" s="87"/>
      <c r="G11" s="87"/>
      <c r="H11" s="87">
        <v>1191.3</v>
      </c>
      <c r="I11" s="87">
        <f>ROUND(H11*D11,2)</f>
        <v>5713.47</v>
      </c>
      <c r="J11" s="87">
        <f>ROUND(I11*1.2,2)</f>
        <v>6856.16</v>
      </c>
      <c r="K11" s="88">
        <f t="shared" si="2"/>
        <v>5713.47</v>
      </c>
      <c r="L11" s="87">
        <f t="shared" si="2"/>
        <v>6856.16</v>
      </c>
    </row>
    <row r="12" spans="1:13" ht="30" x14ac:dyDescent="0.25">
      <c r="A12" s="99">
        <f>A10+1</f>
        <v>4</v>
      </c>
      <c r="B12" s="34" t="s">
        <v>116</v>
      </c>
      <c r="C12" s="27" t="s">
        <v>61</v>
      </c>
      <c r="D12" s="36">
        <f>14.97</f>
        <v>14.97</v>
      </c>
      <c r="E12" s="25">
        <v>1310.05</v>
      </c>
      <c r="F12" s="79">
        <f t="shared" ref="F12" si="4">ROUND(E12*D12,2)</f>
        <v>19611.45</v>
      </c>
      <c r="G12" s="79">
        <f t="shared" ref="G12" si="5">ROUND(F12*1.2,2)</f>
        <v>23533.74</v>
      </c>
      <c r="H12" s="80"/>
      <c r="I12" s="26"/>
      <c r="J12" s="26"/>
      <c r="K12" s="23">
        <f t="shared" si="2"/>
        <v>19611.45</v>
      </c>
      <c r="L12" s="26">
        <f t="shared" si="2"/>
        <v>23533.74</v>
      </c>
    </row>
    <row r="13" spans="1:13" ht="15.75" x14ac:dyDescent="0.25">
      <c r="A13" s="43" t="s">
        <v>92</v>
      </c>
      <c r="B13" s="44" t="s">
        <v>115</v>
      </c>
      <c r="C13" s="105" t="s">
        <v>61</v>
      </c>
      <c r="D13" s="106">
        <f>14.97*1.1</f>
        <v>16.467000000000002</v>
      </c>
      <c r="E13" s="47"/>
      <c r="F13" s="87"/>
      <c r="G13" s="87"/>
      <c r="H13" s="87">
        <v>1191.3</v>
      </c>
      <c r="I13" s="87">
        <f>ROUND(H13*D13,2)</f>
        <v>19617.14</v>
      </c>
      <c r="J13" s="87">
        <f>ROUND(I13*1.2,2)</f>
        <v>23540.57</v>
      </c>
      <c r="K13" s="88">
        <f t="shared" si="2"/>
        <v>19617.14</v>
      </c>
      <c r="L13" s="87">
        <f t="shared" si="2"/>
        <v>23540.57</v>
      </c>
    </row>
    <row r="14" spans="1:13" ht="15.75" x14ac:dyDescent="0.25">
      <c r="A14" s="99">
        <f>A12+1</f>
        <v>5</v>
      </c>
      <c r="B14" s="103" t="s">
        <v>117</v>
      </c>
      <c r="C14" s="27" t="s">
        <v>61</v>
      </c>
      <c r="D14" s="36">
        <v>21.8</v>
      </c>
      <c r="E14" s="25">
        <v>118.75</v>
      </c>
      <c r="F14" s="79">
        <f t="shared" si="0"/>
        <v>2588.75</v>
      </c>
      <c r="G14" s="79">
        <f t="shared" si="1"/>
        <v>3106.5</v>
      </c>
      <c r="H14" s="25"/>
      <c r="I14" s="26"/>
      <c r="J14" s="26"/>
      <c r="K14" s="23">
        <f t="shared" si="2"/>
        <v>2588.75</v>
      </c>
      <c r="L14" s="26">
        <f t="shared" si="2"/>
        <v>3106.5</v>
      </c>
    </row>
    <row r="15" spans="1:13" ht="15.75" x14ac:dyDescent="0.25">
      <c r="A15" s="99">
        <f>A14+1</f>
        <v>6</v>
      </c>
      <c r="B15" s="34" t="s">
        <v>63</v>
      </c>
      <c r="C15" s="27" t="s">
        <v>61</v>
      </c>
      <c r="D15" s="36">
        <v>21.8</v>
      </c>
      <c r="E15" s="25">
        <v>188.1</v>
      </c>
      <c r="F15" s="79">
        <f t="shared" si="0"/>
        <v>4100.58</v>
      </c>
      <c r="G15" s="79">
        <f t="shared" si="1"/>
        <v>4920.7</v>
      </c>
      <c r="H15" s="23"/>
      <c r="I15" s="80"/>
      <c r="J15" s="80"/>
      <c r="K15" s="23">
        <f t="shared" si="2"/>
        <v>4100.58</v>
      </c>
      <c r="L15" s="26">
        <f t="shared" si="2"/>
        <v>4920.7</v>
      </c>
    </row>
    <row r="16" spans="1:13" ht="15.75" x14ac:dyDescent="0.25">
      <c r="A16" s="99">
        <f t="shared" ref="A16" si="6">A15+1</f>
        <v>7</v>
      </c>
      <c r="B16" s="34" t="s">
        <v>118</v>
      </c>
      <c r="C16" s="27" t="s">
        <v>89</v>
      </c>
      <c r="D16" s="36">
        <v>38.020000000000003</v>
      </c>
      <c r="E16" s="25">
        <v>308.75</v>
      </c>
      <c r="F16" s="79">
        <f t="shared" si="0"/>
        <v>11738.68</v>
      </c>
      <c r="G16" s="79">
        <f t="shared" si="1"/>
        <v>14086.42</v>
      </c>
      <c r="H16" s="25"/>
      <c r="I16" s="26"/>
      <c r="J16" s="26"/>
      <c r="K16" s="23">
        <f t="shared" si="2"/>
        <v>11738.68</v>
      </c>
      <c r="L16" s="26">
        <f t="shared" si="2"/>
        <v>14086.42</v>
      </c>
    </row>
    <row r="17" spans="1:13" ht="15.75" x14ac:dyDescent="0.25">
      <c r="A17" s="99"/>
      <c r="B17" s="100" t="s">
        <v>119</v>
      </c>
      <c r="C17" s="27"/>
      <c r="D17" s="36"/>
      <c r="E17" s="25"/>
      <c r="F17" s="79"/>
      <c r="G17" s="79"/>
      <c r="H17" s="25"/>
      <c r="I17" s="26"/>
      <c r="J17" s="26"/>
      <c r="K17" s="23"/>
      <c r="L17" s="26"/>
    </row>
    <row r="18" spans="1:13" ht="15.75" x14ac:dyDescent="0.25">
      <c r="A18" s="99">
        <f>A16+1</f>
        <v>8</v>
      </c>
      <c r="B18" s="34" t="s">
        <v>120</v>
      </c>
      <c r="C18" s="27" t="s">
        <v>79</v>
      </c>
      <c r="D18" s="36">
        <v>36</v>
      </c>
      <c r="E18" s="39">
        <v>146.30000000000001</v>
      </c>
      <c r="F18" s="79">
        <f t="shared" ref="F18" si="7">ROUND(E18*D18,2)</f>
        <v>5266.8</v>
      </c>
      <c r="G18" s="79">
        <f t="shared" ref="G18" si="8">ROUND(F18*1.2,2)</f>
        <v>6320.16</v>
      </c>
      <c r="H18" s="107"/>
      <c r="I18" s="104"/>
      <c r="J18" s="104"/>
      <c r="K18" s="23">
        <f t="shared" ref="K18:L27" si="9">F18+I18</f>
        <v>5266.8</v>
      </c>
      <c r="L18" s="26">
        <f t="shared" si="9"/>
        <v>6320.16</v>
      </c>
    </row>
    <row r="19" spans="1:13" ht="15.75" x14ac:dyDescent="0.25">
      <c r="A19" s="43" t="s">
        <v>104</v>
      </c>
      <c r="B19" s="44" t="s">
        <v>121</v>
      </c>
      <c r="C19" s="105" t="s">
        <v>79</v>
      </c>
      <c r="D19" s="106">
        <f>1.02*36</f>
        <v>36.72</v>
      </c>
      <c r="E19" s="47"/>
      <c r="F19" s="87"/>
      <c r="G19" s="87"/>
      <c r="H19" s="87">
        <f>220.83/1.2*1.15</f>
        <v>211.62875</v>
      </c>
      <c r="I19" s="87">
        <f t="shared" ref="I19" si="10">ROUND(H19*D19,2)</f>
        <v>7771.01</v>
      </c>
      <c r="J19" s="87">
        <f t="shared" ref="J19" si="11">ROUND(I19*1.2,2)</f>
        <v>9325.2099999999991</v>
      </c>
      <c r="K19" s="88">
        <f t="shared" si="9"/>
        <v>7771.01</v>
      </c>
      <c r="L19" s="87">
        <f t="shared" si="9"/>
        <v>9325.2099999999991</v>
      </c>
      <c r="M19" t="s">
        <v>122</v>
      </c>
    </row>
    <row r="20" spans="1:13" ht="15.75" x14ac:dyDescent="0.25">
      <c r="A20" s="20">
        <f>A18+1</f>
        <v>9</v>
      </c>
      <c r="B20" s="34" t="s">
        <v>123</v>
      </c>
      <c r="C20" s="20" t="s">
        <v>79</v>
      </c>
      <c r="D20" s="36">
        <v>36</v>
      </c>
      <c r="E20" s="39">
        <v>274.55</v>
      </c>
      <c r="F20" s="79">
        <f t="shared" ref="F20" si="12">ROUND(E20*D20,2)</f>
        <v>9883.7999999999993</v>
      </c>
      <c r="G20" s="79">
        <f t="shared" ref="G20" si="13">ROUND(F20*1.2,2)</f>
        <v>11860.56</v>
      </c>
      <c r="H20" s="107"/>
      <c r="I20" s="104"/>
      <c r="J20" s="104"/>
      <c r="K20" s="23">
        <f t="shared" si="9"/>
        <v>9883.7999999999993</v>
      </c>
      <c r="L20" s="26">
        <f t="shared" si="9"/>
        <v>11860.56</v>
      </c>
    </row>
    <row r="21" spans="1:13" ht="15.75" x14ac:dyDescent="0.25">
      <c r="A21" s="43" t="s">
        <v>107</v>
      </c>
      <c r="B21" s="44" t="s">
        <v>134</v>
      </c>
      <c r="C21" s="105" t="s">
        <v>79</v>
      </c>
      <c r="D21" s="106">
        <f>36*1.02</f>
        <v>36.72</v>
      </c>
      <c r="E21" s="47"/>
      <c r="F21" s="87"/>
      <c r="G21" s="87"/>
      <c r="H21" s="87"/>
      <c r="I21" s="87">
        <f t="shared" ref="I21" si="14">ROUND(H21*D21,2)</f>
        <v>0</v>
      </c>
      <c r="J21" s="87">
        <f t="shared" ref="J21" si="15">ROUND(I21*1.2,2)</f>
        <v>0</v>
      </c>
      <c r="K21" s="88">
        <f t="shared" si="9"/>
        <v>0</v>
      </c>
      <c r="L21" s="87">
        <f t="shared" si="9"/>
        <v>0</v>
      </c>
    </row>
    <row r="22" spans="1:13" ht="15.75" x14ac:dyDescent="0.25">
      <c r="A22" s="20">
        <f>A20+1</f>
        <v>10</v>
      </c>
      <c r="B22" s="34" t="s">
        <v>124</v>
      </c>
      <c r="C22" s="20" t="s">
        <v>79</v>
      </c>
      <c r="D22" s="36">
        <f>6.82</f>
        <v>6.82</v>
      </c>
      <c r="E22" s="39">
        <v>274.55</v>
      </c>
      <c r="F22" s="79">
        <f t="shared" ref="F22" si="16">ROUND(E22*D22,2)</f>
        <v>1872.43</v>
      </c>
      <c r="G22" s="79">
        <f t="shared" ref="G22" si="17">ROUND(F22*1.2,2)</f>
        <v>2246.92</v>
      </c>
      <c r="H22" s="107"/>
      <c r="I22" s="104"/>
      <c r="J22" s="104"/>
      <c r="K22" s="23">
        <f t="shared" si="9"/>
        <v>1872.43</v>
      </c>
      <c r="L22" s="26">
        <f t="shared" si="9"/>
        <v>2246.92</v>
      </c>
    </row>
    <row r="23" spans="1:13" ht="15.75" x14ac:dyDescent="0.25">
      <c r="A23" s="43" t="s">
        <v>135</v>
      </c>
      <c r="B23" s="44" t="s">
        <v>134</v>
      </c>
      <c r="C23" s="105" t="s">
        <v>79</v>
      </c>
      <c r="D23" s="106">
        <f>6.82*1.02</f>
        <v>6.9564000000000004</v>
      </c>
      <c r="E23" s="47"/>
      <c r="F23" s="87"/>
      <c r="G23" s="87"/>
      <c r="H23" s="87"/>
      <c r="I23" s="87">
        <f t="shared" ref="I23" si="18">ROUND(H23*D23,2)</f>
        <v>0</v>
      </c>
      <c r="J23" s="87">
        <f t="shared" ref="J23" si="19">ROUND(I23*1.2,2)</f>
        <v>0</v>
      </c>
      <c r="K23" s="88">
        <f t="shared" si="9"/>
        <v>0</v>
      </c>
      <c r="L23" s="87">
        <f t="shared" si="9"/>
        <v>0</v>
      </c>
    </row>
    <row r="24" spans="1:13" ht="15.75" x14ac:dyDescent="0.25">
      <c r="A24" s="20">
        <f>A22+1</f>
        <v>11</v>
      </c>
      <c r="B24" s="108" t="s">
        <v>125</v>
      </c>
      <c r="C24" s="27" t="s">
        <v>79</v>
      </c>
      <c r="D24" s="36">
        <v>42.82</v>
      </c>
      <c r="E24" s="39">
        <v>17.53</v>
      </c>
      <c r="F24" s="79">
        <f t="shared" ref="F24" si="20">ROUND(E24*D24,2)</f>
        <v>750.63</v>
      </c>
      <c r="G24" s="79">
        <f t="shared" ref="G24" si="21">ROUND(F24*1.2,2)</f>
        <v>900.76</v>
      </c>
      <c r="H24" s="107"/>
      <c r="I24" s="104"/>
      <c r="J24" s="104"/>
      <c r="K24" s="23">
        <f t="shared" si="9"/>
        <v>750.63</v>
      </c>
      <c r="L24" s="26">
        <f t="shared" si="9"/>
        <v>900.76</v>
      </c>
    </row>
    <row r="25" spans="1:13" ht="15.75" x14ac:dyDescent="0.25">
      <c r="A25" s="43" t="s">
        <v>126</v>
      </c>
      <c r="B25" s="44" t="s">
        <v>127</v>
      </c>
      <c r="C25" s="105" t="s">
        <v>79</v>
      </c>
      <c r="D25" s="106">
        <v>42.82</v>
      </c>
      <c r="E25" s="47"/>
      <c r="F25" s="87"/>
      <c r="G25" s="87"/>
      <c r="H25" s="87">
        <v>18.34</v>
      </c>
      <c r="I25" s="87">
        <f t="shared" ref="I25" si="22">ROUND(H25*D25,2)</f>
        <v>785.32</v>
      </c>
      <c r="J25" s="87">
        <f t="shared" ref="J25" si="23">ROUND(I25*1.2,2)</f>
        <v>942.38</v>
      </c>
      <c r="K25" s="88">
        <f t="shared" si="9"/>
        <v>785.32</v>
      </c>
      <c r="L25" s="87">
        <f t="shared" si="9"/>
        <v>942.38</v>
      </c>
    </row>
    <row r="26" spans="1:13" ht="15.75" x14ac:dyDescent="0.25">
      <c r="A26" s="20">
        <f>A24+1</f>
        <v>12</v>
      </c>
      <c r="B26" s="34" t="s">
        <v>128</v>
      </c>
      <c r="C26" s="27" t="s">
        <v>68</v>
      </c>
      <c r="D26" s="101">
        <v>4</v>
      </c>
      <c r="E26" s="39">
        <v>14147.63</v>
      </c>
      <c r="F26" s="79">
        <f t="shared" ref="F26" si="24">ROUND(E26*D26,2)</f>
        <v>56590.52</v>
      </c>
      <c r="G26" s="79">
        <f t="shared" ref="G26" si="25">ROUND(F26*1.2,2)</f>
        <v>67908.62</v>
      </c>
      <c r="H26" s="107"/>
      <c r="I26" s="104"/>
      <c r="J26" s="104"/>
      <c r="K26" s="23">
        <f t="shared" si="9"/>
        <v>56590.52</v>
      </c>
      <c r="L26" s="26">
        <f t="shared" si="9"/>
        <v>67908.62</v>
      </c>
      <c r="M26" s="109"/>
    </row>
    <row r="27" spans="1:13" ht="15.75" x14ac:dyDescent="0.25">
      <c r="A27" s="43" t="s">
        <v>129</v>
      </c>
      <c r="B27" s="44" t="s">
        <v>130</v>
      </c>
      <c r="C27" s="105" t="s">
        <v>68</v>
      </c>
      <c r="D27" s="110">
        <v>4</v>
      </c>
      <c r="E27" s="47"/>
      <c r="F27" s="87"/>
      <c r="G27" s="87"/>
      <c r="H27" s="87"/>
      <c r="I27" s="87">
        <f t="shared" ref="I27" si="26">ROUND(H27*D27,2)</f>
        <v>0</v>
      </c>
      <c r="J27" s="87">
        <f t="shared" ref="J27" si="27">ROUND(I27*1.2,2)</f>
        <v>0</v>
      </c>
      <c r="K27" s="88">
        <f t="shared" si="9"/>
        <v>0</v>
      </c>
      <c r="L27" s="87">
        <f t="shared" si="9"/>
        <v>0</v>
      </c>
      <c r="M27" s="109"/>
    </row>
    <row r="28" spans="1:13" ht="15.75" x14ac:dyDescent="0.25">
      <c r="A28" s="99"/>
      <c r="B28" s="111" t="s">
        <v>131</v>
      </c>
      <c r="C28" s="27"/>
      <c r="D28" s="36"/>
      <c r="E28" s="39"/>
      <c r="F28" s="80"/>
      <c r="G28" s="80"/>
      <c r="H28" s="112"/>
      <c r="I28" s="80"/>
      <c r="J28" s="80"/>
      <c r="K28" s="23"/>
      <c r="L28" s="26"/>
    </row>
    <row r="29" spans="1:13" ht="15.75" x14ac:dyDescent="0.25">
      <c r="A29" s="99">
        <f>A26+1</f>
        <v>13</v>
      </c>
      <c r="B29" s="34" t="s">
        <v>132</v>
      </c>
      <c r="C29" s="27" t="s">
        <v>133</v>
      </c>
      <c r="D29" s="101">
        <v>4</v>
      </c>
      <c r="E29" s="115">
        <v>12000</v>
      </c>
      <c r="F29" s="80">
        <f t="shared" ref="F29" si="28">ROUND(E29*D29,2)</f>
        <v>48000</v>
      </c>
      <c r="G29" s="80">
        <f t="shared" ref="G29" si="29">ROUND(F29*1.2,2)</f>
        <v>57600</v>
      </c>
      <c r="H29" s="112"/>
      <c r="I29" s="80"/>
      <c r="J29" s="80"/>
      <c r="K29" s="23">
        <f t="shared" ref="K29:L29" si="30">F29+I29</f>
        <v>48000</v>
      </c>
      <c r="L29" s="26">
        <f t="shared" si="30"/>
        <v>57600</v>
      </c>
      <c r="M29" s="109"/>
    </row>
    <row r="30" spans="1:13" s="114" customFormat="1" ht="18.75" x14ac:dyDescent="0.3">
      <c r="A30" s="178" t="s">
        <v>82</v>
      </c>
      <c r="B30" s="179"/>
      <c r="C30" s="179"/>
      <c r="D30" s="179"/>
      <c r="E30" s="180"/>
      <c r="F30" s="113">
        <f>SUM(F7:F29)</f>
        <v>180114.03</v>
      </c>
      <c r="G30" s="113">
        <f>SUM(G7:G29)</f>
        <v>216136.84999999998</v>
      </c>
      <c r="H30" s="116"/>
      <c r="I30" s="113">
        <f>SUM(I7:I29)</f>
        <v>33886.94</v>
      </c>
      <c r="J30" s="113">
        <f>SUM(J7:J29)</f>
        <v>40664.32</v>
      </c>
      <c r="K30" s="113">
        <f>SUM(K7:K29)</f>
        <v>214000.97</v>
      </c>
      <c r="L30" s="113">
        <f>SUM(L7:L29)</f>
        <v>256801.16999999998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B29" sqref="B29"/>
    </sheetView>
  </sheetViews>
  <sheetFormatPr defaultColWidth="8.85546875" defaultRowHeight="15" x14ac:dyDescent="0.25"/>
  <cols>
    <col min="1" max="1" width="8.85546875" style="11"/>
    <col min="2" max="2" width="65.140625" style="11" customWidth="1"/>
    <col min="3" max="3" width="9.28515625" style="11" customWidth="1"/>
    <col min="4" max="4" width="13.28515625" style="11" customWidth="1"/>
    <col min="5" max="5" width="15.140625" style="11" customWidth="1"/>
    <col min="6" max="6" width="17.85546875" style="11" customWidth="1"/>
    <col min="7" max="7" width="17.140625" style="59" customWidth="1"/>
    <col min="8" max="8" width="16.140625" style="59" customWidth="1"/>
    <col min="9" max="9" width="18.42578125" style="11" customWidth="1"/>
    <col min="10" max="11" width="17.7109375" style="11" customWidth="1"/>
    <col min="12" max="12" width="18.140625" style="11" customWidth="1"/>
    <col min="13" max="16384" width="8.85546875" style="11"/>
  </cols>
  <sheetData>
    <row r="1" spans="1:12" ht="14.45" customHeight="1" x14ac:dyDescent="0.25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2" ht="14.45" customHeight="1" x14ac:dyDescent="0.25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2" ht="27.75" customHeight="1" x14ac:dyDescent="0.25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84" t="s">
        <v>51</v>
      </c>
      <c r="L3" s="184"/>
    </row>
    <row r="4" spans="1:12" ht="42.75" x14ac:dyDescent="0.25">
      <c r="A4" s="168"/>
      <c r="B4" s="171"/>
      <c r="C4" s="172"/>
      <c r="D4" s="172"/>
      <c r="E4" s="12" t="s">
        <v>52</v>
      </c>
      <c r="F4" s="12" t="s">
        <v>53</v>
      </c>
      <c r="G4" s="13" t="s">
        <v>54</v>
      </c>
      <c r="H4" s="12" t="s">
        <v>52</v>
      </c>
      <c r="I4" s="12" t="s">
        <v>53</v>
      </c>
      <c r="J4" s="13" t="s">
        <v>54</v>
      </c>
      <c r="K4" s="12" t="s">
        <v>55</v>
      </c>
      <c r="L4" s="12" t="s">
        <v>56</v>
      </c>
    </row>
    <row r="5" spans="1:12" x14ac:dyDescent="0.25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1"/>
    </row>
    <row r="6" spans="1:12" ht="20.25" customHeight="1" x14ac:dyDescent="0.25">
      <c r="A6" s="16"/>
      <c r="B6" s="161" t="s">
        <v>57</v>
      </c>
      <c r="C6" s="162"/>
      <c r="D6" s="162"/>
      <c r="E6" s="17"/>
      <c r="F6" s="18"/>
      <c r="G6" s="19"/>
      <c r="H6" s="19"/>
      <c r="I6" s="19"/>
      <c r="J6" s="19"/>
      <c r="K6" s="19"/>
      <c r="L6" s="19"/>
    </row>
    <row r="7" spans="1:12" ht="15.75" x14ac:dyDescent="0.25">
      <c r="A7" s="20"/>
      <c r="B7" s="21" t="s">
        <v>58</v>
      </c>
      <c r="C7" s="22"/>
      <c r="D7" s="22"/>
      <c r="E7" s="23"/>
      <c r="F7" s="24"/>
      <c r="G7" s="24"/>
      <c r="H7" s="25"/>
      <c r="I7" s="26"/>
      <c r="J7" s="26"/>
      <c r="K7" s="23"/>
      <c r="L7" s="24"/>
    </row>
    <row r="8" spans="1:12" ht="15.75" x14ac:dyDescent="0.25">
      <c r="A8" s="20"/>
      <c r="B8" s="21" t="s">
        <v>59</v>
      </c>
      <c r="C8" s="22"/>
      <c r="D8" s="22"/>
      <c r="E8" s="23"/>
      <c r="F8" s="24"/>
      <c r="G8" s="24"/>
      <c r="H8" s="25"/>
      <c r="I8" s="26"/>
      <c r="J8" s="26"/>
      <c r="K8" s="23"/>
      <c r="L8" s="24"/>
    </row>
    <row r="9" spans="1:12" x14ac:dyDescent="0.25">
      <c r="A9" s="27">
        <f>1</f>
        <v>1</v>
      </c>
      <c r="B9" s="28" t="s">
        <v>60</v>
      </c>
      <c r="C9" s="29" t="s">
        <v>61</v>
      </c>
      <c r="D9" s="30">
        <v>3.02</v>
      </c>
      <c r="E9" s="31">
        <v>1421.01</v>
      </c>
      <c r="F9" s="32">
        <f t="shared" ref="F9:F11" si="0">ROUND(E9*D9,2)</f>
        <v>4291.45</v>
      </c>
      <c r="G9" s="32">
        <f t="shared" ref="G9:G11" si="1">ROUND(F9*1.2,2)</f>
        <v>5149.74</v>
      </c>
      <c r="H9" s="33"/>
      <c r="I9" s="32"/>
      <c r="J9" s="32"/>
      <c r="K9" s="31">
        <f t="shared" ref="K9:L11" si="2">F9+I9</f>
        <v>4291.45</v>
      </c>
      <c r="L9" s="32">
        <f t="shared" si="2"/>
        <v>5149.74</v>
      </c>
    </row>
    <row r="10" spans="1:12" x14ac:dyDescent="0.25">
      <c r="A10" s="27">
        <f>A9+1</f>
        <v>2</v>
      </c>
      <c r="B10" s="34" t="s">
        <v>62</v>
      </c>
      <c r="C10" s="27" t="s">
        <v>61</v>
      </c>
      <c r="D10" s="35">
        <v>2.02</v>
      </c>
      <c r="E10" s="31">
        <v>1688.1499999999999</v>
      </c>
      <c r="F10" s="32">
        <f t="shared" si="0"/>
        <v>3410.06</v>
      </c>
      <c r="G10" s="32">
        <f t="shared" si="1"/>
        <v>4092.07</v>
      </c>
      <c r="H10" s="33"/>
      <c r="I10" s="32"/>
      <c r="J10" s="32"/>
      <c r="K10" s="31">
        <f t="shared" si="2"/>
        <v>3410.06</v>
      </c>
      <c r="L10" s="32">
        <f t="shared" si="2"/>
        <v>4092.07</v>
      </c>
    </row>
    <row r="11" spans="1:12" x14ac:dyDescent="0.25">
      <c r="A11" s="27">
        <f t="shared" ref="A11" si="3">A10+1</f>
        <v>3</v>
      </c>
      <c r="B11" s="34" t="s">
        <v>63</v>
      </c>
      <c r="C11" s="27" t="s">
        <v>61</v>
      </c>
      <c r="D11" s="36">
        <v>154.79</v>
      </c>
      <c r="E11" s="31">
        <v>188.1</v>
      </c>
      <c r="F11" s="32">
        <f t="shared" si="0"/>
        <v>29116</v>
      </c>
      <c r="G11" s="32">
        <f t="shared" si="1"/>
        <v>34939.199999999997</v>
      </c>
      <c r="H11" s="31"/>
      <c r="I11" s="32"/>
      <c r="J11" s="32"/>
      <c r="K11" s="31">
        <f t="shared" si="2"/>
        <v>29116</v>
      </c>
      <c r="L11" s="32">
        <f t="shared" si="2"/>
        <v>34939.199999999997</v>
      </c>
    </row>
    <row r="12" spans="1:12" ht="17.25" customHeight="1" x14ac:dyDescent="0.25">
      <c r="A12" s="27"/>
      <c r="B12" s="21" t="s">
        <v>64</v>
      </c>
      <c r="C12" s="29"/>
      <c r="D12" s="30"/>
      <c r="E12" s="31"/>
      <c r="F12" s="32"/>
      <c r="G12" s="32"/>
      <c r="H12" s="33"/>
      <c r="I12" s="32"/>
      <c r="J12" s="32"/>
      <c r="K12" s="31"/>
      <c r="L12" s="32"/>
    </row>
    <row r="13" spans="1:12" ht="15.75" x14ac:dyDescent="0.25">
      <c r="A13" s="27">
        <f>A11+1</f>
        <v>4</v>
      </c>
      <c r="B13" s="37" t="s">
        <v>65</v>
      </c>
      <c r="C13" s="27" t="s">
        <v>66</v>
      </c>
      <c r="D13" s="38">
        <v>10</v>
      </c>
      <c r="E13" s="31">
        <v>640.96</v>
      </c>
      <c r="F13" s="32">
        <f t="shared" ref="F13:F14" si="4">ROUND(E13*D13,2)</f>
        <v>6409.6</v>
      </c>
      <c r="G13" s="32">
        <f t="shared" ref="G13:G14" si="5">ROUND(F13*1.2,2)</f>
        <v>7691.52</v>
      </c>
      <c r="H13" s="39"/>
      <c r="I13" s="32"/>
      <c r="J13" s="32"/>
      <c r="K13" s="31">
        <f t="shared" ref="K13:L14" si="6">F13+I13</f>
        <v>6409.6</v>
      </c>
      <c r="L13" s="40">
        <f t="shared" si="6"/>
        <v>7691.52</v>
      </c>
    </row>
    <row r="14" spans="1:12" ht="15.75" x14ac:dyDescent="0.25">
      <c r="A14" s="27">
        <f>A13+1</f>
        <v>5</v>
      </c>
      <c r="B14" s="37" t="s">
        <v>67</v>
      </c>
      <c r="C14" s="27" t="s">
        <v>68</v>
      </c>
      <c r="D14" s="38">
        <v>10</v>
      </c>
      <c r="E14" s="31">
        <v>750</v>
      </c>
      <c r="F14" s="32">
        <f t="shared" si="4"/>
        <v>7500</v>
      </c>
      <c r="G14" s="32">
        <f t="shared" si="5"/>
        <v>9000</v>
      </c>
      <c r="H14" s="39"/>
      <c r="I14" s="32"/>
      <c r="J14" s="32"/>
      <c r="K14" s="31">
        <f t="shared" si="6"/>
        <v>7500</v>
      </c>
      <c r="L14" s="40">
        <f t="shared" si="6"/>
        <v>9000</v>
      </c>
    </row>
    <row r="15" spans="1:12" ht="17.25" customHeight="1" x14ac:dyDescent="0.25">
      <c r="A15" s="27"/>
      <c r="B15" s="21" t="s">
        <v>69</v>
      </c>
      <c r="C15" s="29"/>
      <c r="D15" s="30"/>
      <c r="E15" s="31"/>
      <c r="F15" s="32"/>
      <c r="G15" s="32"/>
      <c r="H15" s="33"/>
      <c r="I15" s="32"/>
      <c r="J15" s="32"/>
      <c r="K15" s="31"/>
      <c r="L15" s="32"/>
    </row>
    <row r="16" spans="1:12" x14ac:dyDescent="0.25">
      <c r="A16" s="27">
        <f>A14+1</f>
        <v>6</v>
      </c>
      <c r="B16" s="28" t="s">
        <v>70</v>
      </c>
      <c r="C16" s="29" t="s">
        <v>71</v>
      </c>
      <c r="D16" s="41">
        <v>20</v>
      </c>
      <c r="E16" s="42">
        <v>183.58</v>
      </c>
      <c r="F16" s="32">
        <f t="shared" ref="F16" si="7">ROUND(E16*D16,2)</f>
        <v>3671.6</v>
      </c>
      <c r="G16" s="32">
        <f t="shared" ref="G16" si="8">ROUND(F16*1.2,2)</f>
        <v>4405.92</v>
      </c>
      <c r="H16" s="33"/>
      <c r="I16" s="32"/>
      <c r="J16" s="32"/>
      <c r="K16" s="31">
        <f t="shared" ref="K16:L19" si="9">F16+I16</f>
        <v>3671.6</v>
      </c>
      <c r="L16" s="32">
        <f t="shared" si="9"/>
        <v>4405.92</v>
      </c>
    </row>
    <row r="17" spans="1:12" ht="15.75" x14ac:dyDescent="0.25">
      <c r="A17" s="43"/>
      <c r="B17" s="44" t="s">
        <v>72</v>
      </c>
      <c r="C17" s="45" t="s">
        <v>71</v>
      </c>
      <c r="D17" s="46">
        <f>D16*1.1</f>
        <v>22</v>
      </c>
      <c r="E17" s="47"/>
      <c r="F17" s="48"/>
      <c r="G17" s="48"/>
      <c r="H17" s="48">
        <v>153.33000000000001</v>
      </c>
      <c r="I17" s="48">
        <f>ROUND(H17*D17,2)</f>
        <v>3373.26</v>
      </c>
      <c r="J17" s="48">
        <f>ROUND(I17*1.2,2)</f>
        <v>4047.91</v>
      </c>
      <c r="K17" s="49">
        <f t="shared" si="9"/>
        <v>3373.26</v>
      </c>
      <c r="L17" s="48">
        <f t="shared" si="9"/>
        <v>4047.91</v>
      </c>
    </row>
    <row r="18" spans="1:12" ht="30" x14ac:dyDescent="0.25">
      <c r="A18" s="27">
        <f>A16+1</f>
        <v>7</v>
      </c>
      <c r="B18" s="28" t="s">
        <v>73</v>
      </c>
      <c r="C18" s="29" t="s">
        <v>61</v>
      </c>
      <c r="D18" s="50">
        <v>6</v>
      </c>
      <c r="E18" s="31">
        <v>1421.01</v>
      </c>
      <c r="F18" s="32">
        <f t="shared" ref="F18" si="10">ROUND(E18*D18,2)</f>
        <v>8526.06</v>
      </c>
      <c r="G18" s="32">
        <f t="shared" ref="G18" si="11">ROUND(F18*1.2,2)</f>
        <v>10231.27</v>
      </c>
      <c r="H18" s="33"/>
      <c r="I18" s="32"/>
      <c r="J18" s="32"/>
      <c r="K18" s="31">
        <f t="shared" si="9"/>
        <v>8526.06</v>
      </c>
      <c r="L18" s="32">
        <f t="shared" si="9"/>
        <v>10231.27</v>
      </c>
    </row>
    <row r="19" spans="1:12" ht="15.75" x14ac:dyDescent="0.25">
      <c r="A19" s="51"/>
      <c r="B19" s="34" t="s">
        <v>74</v>
      </c>
      <c r="C19" s="29" t="s">
        <v>61</v>
      </c>
      <c r="D19" s="52">
        <f>D18*1.26</f>
        <v>7.5600000000000005</v>
      </c>
      <c r="E19" s="39"/>
      <c r="F19" s="32"/>
      <c r="G19" s="32"/>
      <c r="H19" s="32"/>
      <c r="I19" s="32">
        <f>ROUND(H19*D19,2)</f>
        <v>0</v>
      </c>
      <c r="J19" s="32">
        <f>ROUND(I19*1.2,2)</f>
        <v>0</v>
      </c>
      <c r="K19" s="31">
        <f t="shared" si="9"/>
        <v>0</v>
      </c>
      <c r="L19" s="32">
        <f t="shared" si="9"/>
        <v>0</v>
      </c>
    </row>
    <row r="20" spans="1:12" x14ac:dyDescent="0.25">
      <c r="A20" s="27"/>
      <c r="B20" s="53" t="s">
        <v>75</v>
      </c>
      <c r="C20" s="29"/>
      <c r="D20" s="54"/>
      <c r="E20" s="31"/>
      <c r="F20" s="32"/>
      <c r="G20" s="32"/>
      <c r="H20" s="33"/>
      <c r="I20" s="32"/>
      <c r="J20" s="32"/>
      <c r="K20" s="31"/>
      <c r="L20" s="32"/>
    </row>
    <row r="21" spans="1:12" ht="30" x14ac:dyDescent="0.25">
      <c r="A21" s="27">
        <f>A18+1</f>
        <v>8</v>
      </c>
      <c r="B21" s="37" t="s">
        <v>76</v>
      </c>
      <c r="C21" s="27" t="s">
        <v>68</v>
      </c>
      <c r="D21" s="38">
        <v>10</v>
      </c>
      <c r="E21" s="31">
        <v>2076</v>
      </c>
      <c r="F21" s="32">
        <f t="shared" ref="F21" si="12">ROUND(E21*D21,2)</f>
        <v>20760</v>
      </c>
      <c r="G21" s="32">
        <f t="shared" ref="G21" si="13">ROUND(F21*1.2,2)</f>
        <v>24912</v>
      </c>
      <c r="H21" s="39"/>
      <c r="I21" s="32"/>
      <c r="J21" s="32"/>
      <c r="K21" s="31">
        <f t="shared" ref="K21:L21" si="14">F21+I21</f>
        <v>20760</v>
      </c>
      <c r="L21" s="40">
        <f t="shared" si="14"/>
        <v>24912</v>
      </c>
    </row>
    <row r="22" spans="1:12" ht="15.75" x14ac:dyDescent="0.25">
      <c r="A22" s="51"/>
      <c r="B22" s="53" t="s">
        <v>77</v>
      </c>
      <c r="C22" s="29"/>
      <c r="D22" s="55"/>
      <c r="E22" s="39"/>
      <c r="F22" s="32"/>
      <c r="G22" s="32"/>
      <c r="H22" s="32"/>
      <c r="I22" s="32"/>
      <c r="J22" s="32"/>
      <c r="K22" s="31"/>
      <c r="L22" s="32"/>
    </row>
    <row r="23" spans="1:12" x14ac:dyDescent="0.25">
      <c r="A23" s="27">
        <f>A21+1</f>
        <v>9</v>
      </c>
      <c r="B23" s="28" t="s">
        <v>78</v>
      </c>
      <c r="C23" s="29" t="s">
        <v>79</v>
      </c>
      <c r="D23" s="42">
        <v>12.5</v>
      </c>
      <c r="E23" s="31">
        <v>3990</v>
      </c>
      <c r="F23" s="32">
        <f t="shared" ref="F23:F24" si="15">ROUND(E23*D23,2)</f>
        <v>49875</v>
      </c>
      <c r="G23" s="32">
        <f t="shared" ref="G23:G24" si="16">ROUND(F23*1.2,2)</f>
        <v>59850</v>
      </c>
      <c r="H23" s="33"/>
      <c r="I23" s="32"/>
      <c r="J23" s="32"/>
      <c r="K23" s="31">
        <f t="shared" ref="K23:L27" si="17">F23+I23</f>
        <v>49875</v>
      </c>
      <c r="L23" s="32">
        <f t="shared" si="17"/>
        <v>59850</v>
      </c>
    </row>
    <row r="24" spans="1:12" x14ac:dyDescent="0.25">
      <c r="A24" s="27">
        <f>A23+1</f>
        <v>10</v>
      </c>
      <c r="B24" s="28" t="s">
        <v>80</v>
      </c>
      <c r="C24" s="29" t="s">
        <v>61</v>
      </c>
      <c r="D24" s="42">
        <v>2.0099999999999998</v>
      </c>
      <c r="E24" s="31">
        <v>1421.01</v>
      </c>
      <c r="F24" s="32">
        <f t="shared" si="15"/>
        <v>2856.23</v>
      </c>
      <c r="G24" s="32">
        <f t="shared" si="16"/>
        <v>3427.48</v>
      </c>
      <c r="H24" s="33"/>
      <c r="I24" s="32"/>
      <c r="J24" s="32"/>
      <c r="K24" s="31">
        <f t="shared" si="17"/>
        <v>2856.23</v>
      </c>
      <c r="L24" s="32">
        <f t="shared" si="17"/>
        <v>3427.48</v>
      </c>
    </row>
    <row r="25" spans="1:12" ht="15.75" x14ac:dyDescent="0.25">
      <c r="A25" s="51"/>
      <c r="B25" s="34" t="s">
        <v>74</v>
      </c>
      <c r="C25" s="29" t="s">
        <v>61</v>
      </c>
      <c r="D25" s="52">
        <f>D24*1.17</f>
        <v>2.3516999999999997</v>
      </c>
      <c r="E25" s="39"/>
      <c r="F25" s="32"/>
      <c r="G25" s="32"/>
      <c r="H25" s="32"/>
      <c r="I25" s="32">
        <f>ROUND(H25*D25,2)</f>
        <v>0</v>
      </c>
      <c r="J25" s="32">
        <f>ROUND(I25*1.2,2)</f>
        <v>0</v>
      </c>
      <c r="K25" s="31">
        <f t="shared" si="17"/>
        <v>0</v>
      </c>
      <c r="L25" s="32">
        <f t="shared" si="17"/>
        <v>0</v>
      </c>
    </row>
    <row r="26" spans="1:12" ht="30" x14ac:dyDescent="0.25">
      <c r="A26" s="27">
        <f>A24+1</f>
        <v>11</v>
      </c>
      <c r="B26" s="28" t="s">
        <v>81</v>
      </c>
      <c r="C26" s="29" t="s">
        <v>61</v>
      </c>
      <c r="D26" s="42">
        <v>0.5</v>
      </c>
      <c r="E26" s="31">
        <v>1377.41</v>
      </c>
      <c r="F26" s="32">
        <f t="shared" ref="F26" si="18">ROUND(E26*D26,2)</f>
        <v>688.71</v>
      </c>
      <c r="G26" s="32">
        <f t="shared" ref="G26" si="19">ROUND(F26*1.2,2)</f>
        <v>826.45</v>
      </c>
      <c r="H26" s="33"/>
      <c r="I26" s="32"/>
      <c r="J26" s="32"/>
      <c r="K26" s="31">
        <f t="shared" si="17"/>
        <v>688.71</v>
      </c>
      <c r="L26" s="32">
        <f t="shared" si="17"/>
        <v>826.45</v>
      </c>
    </row>
    <row r="27" spans="1:12" ht="15.75" x14ac:dyDescent="0.25">
      <c r="A27" s="51"/>
      <c r="B27" s="34" t="s">
        <v>74</v>
      </c>
      <c r="C27" s="29" t="s">
        <v>61</v>
      </c>
      <c r="D27" s="52">
        <f>D26*1.17</f>
        <v>0.58499999999999996</v>
      </c>
      <c r="E27" s="39"/>
      <c r="F27" s="32"/>
      <c r="G27" s="32"/>
      <c r="H27" s="32"/>
      <c r="I27" s="32">
        <f>ROUND(H27*D27,2)</f>
        <v>0</v>
      </c>
      <c r="J27" s="32">
        <f>ROUND(I27*1.2,2)</f>
        <v>0</v>
      </c>
      <c r="K27" s="31">
        <f t="shared" si="17"/>
        <v>0</v>
      </c>
      <c r="L27" s="32">
        <f t="shared" si="17"/>
        <v>0</v>
      </c>
    </row>
    <row r="28" spans="1:12" s="58" customFormat="1" ht="18.75" x14ac:dyDescent="0.25">
      <c r="A28" s="181" t="s">
        <v>82</v>
      </c>
      <c r="B28" s="182"/>
      <c r="C28" s="182"/>
      <c r="D28" s="182"/>
      <c r="E28" s="183"/>
      <c r="F28" s="56">
        <f>SUM(F7:F27)</f>
        <v>137104.71</v>
      </c>
      <c r="G28" s="56">
        <f>ROUND(F28*1.2,2)</f>
        <v>164525.65</v>
      </c>
      <c r="H28" s="57"/>
      <c r="I28" s="56">
        <f>SUM(I7:I27)</f>
        <v>3373.26</v>
      </c>
      <c r="J28" s="56">
        <f>ROUND(I28*1.2,2)</f>
        <v>4047.91</v>
      </c>
      <c r="K28" s="56">
        <f>SUM(K7:K27)</f>
        <v>140477.97</v>
      </c>
      <c r="L28" s="56">
        <f>ROUND(K28*1.2,2)</f>
        <v>168573.56</v>
      </c>
    </row>
    <row r="30" spans="1:12" x14ac:dyDescent="0.25">
      <c r="K30" s="60"/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C93-EF3F-4132-A3F3-1C2AE401F61C}">
  <dimension ref="A1:L25"/>
  <sheetViews>
    <sheetView workbookViewId="0">
      <selection activeCell="D12" sqref="D1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</cols>
  <sheetData>
    <row r="1" spans="1:12" ht="14.45" customHeight="1" x14ac:dyDescent="0.25">
      <c r="A1" s="166" t="s">
        <v>44</v>
      </c>
      <c r="B1" s="169" t="s">
        <v>45</v>
      </c>
      <c r="C1" s="172" t="s">
        <v>46</v>
      </c>
      <c r="D1" s="172" t="s">
        <v>47</v>
      </c>
      <c r="E1" s="173" t="s">
        <v>48</v>
      </c>
      <c r="F1" s="174"/>
      <c r="G1" s="174"/>
      <c r="H1" s="174"/>
      <c r="I1" s="174"/>
      <c r="J1" s="174"/>
      <c r="K1" s="174"/>
      <c r="L1" s="174"/>
    </row>
    <row r="2" spans="1:12" ht="14.45" customHeight="1" x14ac:dyDescent="0.25">
      <c r="A2" s="167"/>
      <c r="B2" s="170"/>
      <c r="C2" s="172"/>
      <c r="D2" s="172"/>
      <c r="E2" s="175"/>
      <c r="F2" s="176"/>
      <c r="G2" s="176"/>
      <c r="H2" s="176"/>
      <c r="I2" s="176"/>
      <c r="J2" s="176"/>
      <c r="K2" s="176"/>
      <c r="L2" s="176"/>
    </row>
    <row r="3" spans="1:12" ht="27.75" customHeight="1" x14ac:dyDescent="0.25">
      <c r="A3" s="167"/>
      <c r="B3" s="170"/>
      <c r="C3" s="172"/>
      <c r="D3" s="172"/>
      <c r="E3" s="172" t="s">
        <v>49</v>
      </c>
      <c r="F3" s="172"/>
      <c r="G3" s="172"/>
      <c r="H3" s="172" t="s">
        <v>50</v>
      </c>
      <c r="I3" s="172"/>
      <c r="J3" s="172"/>
      <c r="K3" s="177" t="s">
        <v>51</v>
      </c>
      <c r="L3" s="177"/>
    </row>
    <row r="4" spans="1:12" ht="42.75" x14ac:dyDescent="0.25">
      <c r="A4" s="168"/>
      <c r="B4" s="171"/>
      <c r="C4" s="172"/>
      <c r="D4" s="172"/>
      <c r="E4" s="12" t="s">
        <v>52</v>
      </c>
      <c r="F4" s="12" t="s">
        <v>53</v>
      </c>
      <c r="G4" s="61" t="s">
        <v>54</v>
      </c>
      <c r="H4" s="12" t="s">
        <v>52</v>
      </c>
      <c r="I4" s="12" t="s">
        <v>53</v>
      </c>
      <c r="J4" s="61" t="s">
        <v>54</v>
      </c>
      <c r="K4" s="12" t="s">
        <v>55</v>
      </c>
      <c r="L4" s="62" t="s">
        <v>56</v>
      </c>
    </row>
    <row r="5" spans="1:12" x14ac:dyDescent="0.25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/>
    </row>
    <row r="6" spans="1:12" ht="20.25" customHeight="1" x14ac:dyDescent="0.25">
      <c r="A6" s="16"/>
      <c r="B6" s="161" t="s">
        <v>83</v>
      </c>
      <c r="C6" s="162"/>
      <c r="D6" s="162"/>
      <c r="E6" s="17"/>
      <c r="F6" s="18"/>
      <c r="G6" s="19"/>
      <c r="H6" s="19"/>
      <c r="I6" s="19"/>
      <c r="J6" s="19"/>
      <c r="K6" s="19"/>
      <c r="L6" s="63"/>
    </row>
    <row r="7" spans="1:12" ht="15.75" x14ac:dyDescent="0.25">
      <c r="A7" s="64"/>
      <c r="B7" s="65" t="s">
        <v>84</v>
      </c>
      <c r="C7" s="64"/>
      <c r="D7" s="64"/>
      <c r="E7" s="66"/>
      <c r="F7" s="67"/>
      <c r="G7" s="67"/>
      <c r="H7" s="68"/>
      <c r="I7" s="67"/>
      <c r="J7" s="67"/>
      <c r="K7" s="69"/>
      <c r="L7" s="70"/>
    </row>
    <row r="8" spans="1:12" ht="15.75" x14ac:dyDescent="0.25">
      <c r="A8" s="71">
        <f>A3+1</f>
        <v>1</v>
      </c>
      <c r="B8" s="37" t="s">
        <v>85</v>
      </c>
      <c r="C8" s="71" t="s">
        <v>71</v>
      </c>
      <c r="D8" s="72">
        <v>18.27</v>
      </c>
      <c r="E8" s="31">
        <f>2101.14*0.8</f>
        <v>1680.912</v>
      </c>
      <c r="F8" s="73">
        <f t="shared" ref="F8:F9" si="0">ROUND(E8*D8,2)</f>
        <v>30710.26</v>
      </c>
      <c r="G8" s="73">
        <f t="shared" ref="G8:G9" si="1">ROUND(F8*1.2,2)</f>
        <v>36852.31</v>
      </c>
      <c r="H8" s="39"/>
      <c r="I8" s="73"/>
      <c r="J8" s="73"/>
      <c r="K8" s="72">
        <f t="shared" ref="K8:L9" si="2">F8+I8</f>
        <v>30710.26</v>
      </c>
      <c r="L8" s="74">
        <f t="shared" si="2"/>
        <v>36852.31</v>
      </c>
    </row>
    <row r="9" spans="1:12" ht="15.75" x14ac:dyDescent="0.25">
      <c r="A9" s="71">
        <f>A8+1</f>
        <v>2</v>
      </c>
      <c r="B9" s="34" t="s">
        <v>86</v>
      </c>
      <c r="C9" s="71" t="s">
        <v>61</v>
      </c>
      <c r="D9" s="75">
        <v>1.1000000000000001</v>
      </c>
      <c r="E9" s="31">
        <v>4380.38</v>
      </c>
      <c r="F9" s="73">
        <f t="shared" si="0"/>
        <v>4818.42</v>
      </c>
      <c r="G9" s="73">
        <f t="shared" si="1"/>
        <v>5782.1</v>
      </c>
      <c r="H9" s="39"/>
      <c r="I9" s="73"/>
      <c r="J9" s="73"/>
      <c r="K9" s="72">
        <f t="shared" si="2"/>
        <v>4818.42</v>
      </c>
      <c r="L9" s="74">
        <f t="shared" si="2"/>
        <v>5782.1</v>
      </c>
    </row>
    <row r="10" spans="1:12" ht="15.75" x14ac:dyDescent="0.25">
      <c r="A10" s="71"/>
      <c r="B10" s="76" t="s">
        <v>87</v>
      </c>
      <c r="C10" s="27"/>
      <c r="D10" s="77"/>
      <c r="E10" s="78"/>
      <c r="F10" s="79"/>
      <c r="G10" s="79"/>
      <c r="H10" s="25"/>
      <c r="I10" s="80"/>
      <c r="J10" s="80"/>
      <c r="K10" s="81"/>
      <c r="L10" s="82"/>
    </row>
    <row r="11" spans="1:12" ht="15.75" x14ac:dyDescent="0.25">
      <c r="A11" s="71">
        <f>A9+1</f>
        <v>3</v>
      </c>
      <c r="B11" s="37" t="s">
        <v>88</v>
      </c>
      <c r="C11" s="71" t="s">
        <v>89</v>
      </c>
      <c r="D11" s="72">
        <v>5.04</v>
      </c>
      <c r="E11" s="32">
        <v>431.37</v>
      </c>
      <c r="F11" s="73">
        <f t="shared" ref="F11" si="3">ROUND(E11*D11,2)</f>
        <v>2174.1</v>
      </c>
      <c r="G11" s="73">
        <f t="shared" ref="G11" si="4">ROUND(F11*1.2,2)</f>
        <v>2608.92</v>
      </c>
      <c r="H11" s="39"/>
      <c r="I11" s="73"/>
      <c r="J11" s="73"/>
      <c r="K11" s="72">
        <f t="shared" ref="K11:L11" si="5">F11+I11</f>
        <v>2174.1</v>
      </c>
      <c r="L11" s="74">
        <f t="shared" si="5"/>
        <v>2608.92</v>
      </c>
    </row>
    <row r="12" spans="1:12" ht="15.75" x14ac:dyDescent="0.25">
      <c r="A12" s="64"/>
      <c r="B12" s="83" t="s">
        <v>90</v>
      </c>
      <c r="C12" s="64"/>
      <c r="D12" s="64"/>
      <c r="E12" s="66"/>
      <c r="F12" s="67"/>
      <c r="G12" s="67"/>
      <c r="H12" s="68"/>
      <c r="I12" s="67"/>
      <c r="J12" s="67"/>
      <c r="K12" s="69"/>
      <c r="L12" s="70"/>
    </row>
    <row r="13" spans="1:12" ht="15.75" x14ac:dyDescent="0.25">
      <c r="A13" s="71">
        <f>A11+1</f>
        <v>4</v>
      </c>
      <c r="B13" s="37" t="s">
        <v>91</v>
      </c>
      <c r="C13" s="71" t="s">
        <v>71</v>
      </c>
      <c r="D13" s="84">
        <v>18.27</v>
      </c>
      <c r="E13" s="31">
        <v>1000</v>
      </c>
      <c r="F13" s="73">
        <f>ROUND(E13*D13,2)</f>
        <v>18270</v>
      </c>
      <c r="G13" s="73">
        <f>ROUND(F13*1.2,2)</f>
        <v>21924</v>
      </c>
      <c r="H13" s="39"/>
      <c r="I13" s="73"/>
      <c r="J13" s="73"/>
      <c r="K13" s="72">
        <f t="shared" ref="K13:L24" si="6">F13+I13</f>
        <v>18270</v>
      </c>
      <c r="L13" s="74">
        <f t="shared" si="6"/>
        <v>21924</v>
      </c>
    </row>
    <row r="14" spans="1:12" ht="30" x14ac:dyDescent="0.25">
      <c r="A14" s="85" t="s">
        <v>92</v>
      </c>
      <c r="B14" s="44" t="s">
        <v>93</v>
      </c>
      <c r="C14" s="45" t="s">
        <v>89</v>
      </c>
      <c r="D14" s="86">
        <v>2.73</v>
      </c>
      <c r="E14" s="47"/>
      <c r="F14" s="87"/>
      <c r="G14" s="87"/>
      <c r="H14" s="48">
        <f>1659.8</f>
        <v>1659.8</v>
      </c>
      <c r="I14" s="87">
        <f>ROUND(H14*D14,2)</f>
        <v>4531.25</v>
      </c>
      <c r="J14" s="87">
        <f t="shared" ref="J14" si="7">ROUND(I14*1.2,2)</f>
        <v>5437.5</v>
      </c>
      <c r="K14" s="88">
        <f t="shared" si="6"/>
        <v>4531.25</v>
      </c>
      <c r="L14" s="89">
        <f t="shared" si="6"/>
        <v>5437.5</v>
      </c>
    </row>
    <row r="15" spans="1:12" ht="30" x14ac:dyDescent="0.25">
      <c r="A15" s="71">
        <f>A13+1</f>
        <v>5</v>
      </c>
      <c r="B15" s="37" t="s">
        <v>94</v>
      </c>
      <c r="C15" s="71" t="s">
        <v>71</v>
      </c>
      <c r="D15" s="84">
        <v>18.27</v>
      </c>
      <c r="E15" s="31">
        <v>2000</v>
      </c>
      <c r="F15" s="73">
        <f t="shared" ref="F15" si="8">ROUND(E15*D15,2)</f>
        <v>36540</v>
      </c>
      <c r="G15" s="73">
        <f t="shared" ref="G15" si="9">ROUND(F15*1.2,2)</f>
        <v>43848</v>
      </c>
      <c r="H15" s="39"/>
      <c r="I15" s="73"/>
      <c r="J15" s="73"/>
      <c r="K15" s="72">
        <f t="shared" si="6"/>
        <v>36540</v>
      </c>
      <c r="L15" s="74">
        <f t="shared" si="6"/>
        <v>43848</v>
      </c>
    </row>
    <row r="16" spans="1:12" ht="30" x14ac:dyDescent="0.25">
      <c r="A16" s="85" t="s">
        <v>95</v>
      </c>
      <c r="B16" s="44" t="s">
        <v>96</v>
      </c>
      <c r="C16" s="45" t="s">
        <v>89</v>
      </c>
      <c r="D16" s="86">
        <v>2.73</v>
      </c>
      <c r="E16" s="47"/>
      <c r="F16" s="87"/>
      <c r="G16" s="87"/>
      <c r="H16" s="48">
        <v>4407.05</v>
      </c>
      <c r="I16" s="87">
        <f>ROUND(H16*D16,2)</f>
        <v>12031.25</v>
      </c>
      <c r="J16" s="87">
        <f t="shared" ref="J16" si="10">ROUND(I16*1.2,2)</f>
        <v>14437.5</v>
      </c>
      <c r="K16" s="88">
        <f t="shared" si="6"/>
        <v>12031.25</v>
      </c>
      <c r="L16" s="89">
        <f t="shared" si="6"/>
        <v>14437.5</v>
      </c>
    </row>
    <row r="17" spans="1:12" ht="30" x14ac:dyDescent="0.25">
      <c r="A17" s="71">
        <f>A15+1</f>
        <v>6</v>
      </c>
      <c r="B17" s="37" t="s">
        <v>97</v>
      </c>
      <c r="C17" s="71" t="s">
        <v>68</v>
      </c>
      <c r="D17" s="90">
        <v>30</v>
      </c>
      <c r="E17" s="31">
        <v>292.94</v>
      </c>
      <c r="F17" s="73">
        <f>ROUND(E17*D17,2)</f>
        <v>8788.2000000000007</v>
      </c>
      <c r="G17" s="73">
        <f>ROUND(F17*1.2,2)</f>
        <v>10545.84</v>
      </c>
      <c r="H17" s="39"/>
      <c r="I17" s="73"/>
      <c r="J17" s="73"/>
      <c r="K17" s="72">
        <f t="shared" si="6"/>
        <v>8788.2000000000007</v>
      </c>
      <c r="L17" s="74">
        <f t="shared" si="6"/>
        <v>10545.84</v>
      </c>
    </row>
    <row r="18" spans="1:12" ht="15.75" x14ac:dyDescent="0.25">
      <c r="A18" s="71">
        <f>A17+1</f>
        <v>7</v>
      </c>
      <c r="B18" s="37" t="s">
        <v>98</v>
      </c>
      <c r="C18" s="71" t="s">
        <v>68</v>
      </c>
      <c r="D18" s="90">
        <v>10</v>
      </c>
      <c r="E18" s="31">
        <v>500</v>
      </c>
      <c r="F18" s="73">
        <f>ROUND(E18*D18,2)</f>
        <v>5000</v>
      </c>
      <c r="G18" s="73">
        <f>ROUND(F18*1.2,2)</f>
        <v>6000</v>
      </c>
      <c r="H18" s="39"/>
      <c r="I18" s="73"/>
      <c r="J18" s="73"/>
      <c r="K18" s="72">
        <f t="shared" si="6"/>
        <v>5000</v>
      </c>
      <c r="L18" s="74">
        <f t="shared" si="6"/>
        <v>6000</v>
      </c>
    </row>
    <row r="19" spans="1:12" ht="15.75" x14ac:dyDescent="0.25">
      <c r="A19" s="85" t="s">
        <v>99</v>
      </c>
      <c r="B19" s="44" t="s">
        <v>100</v>
      </c>
      <c r="C19" s="45" t="s">
        <v>68</v>
      </c>
      <c r="D19" s="91">
        <v>30</v>
      </c>
      <c r="E19" s="47"/>
      <c r="F19" s="87"/>
      <c r="G19" s="87"/>
      <c r="H19" s="92">
        <f>0</f>
        <v>0</v>
      </c>
      <c r="I19" s="87">
        <f>ROUND(H19*D19,2)</f>
        <v>0</v>
      </c>
      <c r="J19" s="87">
        <f t="shared" ref="J19:J20" si="11">ROUND(I19*1.2,2)</f>
        <v>0</v>
      </c>
      <c r="K19" s="88">
        <f t="shared" si="6"/>
        <v>0</v>
      </c>
      <c r="L19" s="89">
        <f t="shared" si="6"/>
        <v>0</v>
      </c>
    </row>
    <row r="20" spans="1:12" ht="15.75" x14ac:dyDescent="0.25">
      <c r="A20" s="85" t="s">
        <v>101</v>
      </c>
      <c r="B20" s="44" t="s">
        <v>102</v>
      </c>
      <c r="C20" s="45" t="s">
        <v>68</v>
      </c>
      <c r="D20" s="91">
        <v>10</v>
      </c>
      <c r="E20" s="47"/>
      <c r="F20" s="87"/>
      <c r="G20" s="87"/>
      <c r="H20" s="92">
        <f>0</f>
        <v>0</v>
      </c>
      <c r="I20" s="87">
        <f>ROUND(H20*D20,2)</f>
        <v>0</v>
      </c>
      <c r="J20" s="87">
        <f t="shared" si="11"/>
        <v>0</v>
      </c>
      <c r="K20" s="88">
        <f t="shared" si="6"/>
        <v>0</v>
      </c>
      <c r="L20" s="89">
        <f t="shared" si="6"/>
        <v>0</v>
      </c>
    </row>
    <row r="21" spans="1:12" ht="15.75" x14ac:dyDescent="0.25">
      <c r="A21" s="71">
        <f>A18+1</f>
        <v>8</v>
      </c>
      <c r="B21" s="37" t="s">
        <v>103</v>
      </c>
      <c r="C21" s="71" t="s">
        <v>61</v>
      </c>
      <c r="D21" s="90">
        <v>43.47</v>
      </c>
      <c r="E21" s="31">
        <v>1666.3</v>
      </c>
      <c r="F21" s="73">
        <f>ROUND(E21*D21,2)</f>
        <v>72434.06</v>
      </c>
      <c r="G21" s="73">
        <f>ROUND(F21*1.2,2)</f>
        <v>86920.87</v>
      </c>
      <c r="H21" s="39"/>
      <c r="I21" s="73"/>
      <c r="J21" s="73"/>
      <c r="K21" s="72">
        <f t="shared" si="6"/>
        <v>72434.06</v>
      </c>
      <c r="L21" s="74">
        <f t="shared" si="6"/>
        <v>86920.87</v>
      </c>
    </row>
    <row r="22" spans="1:12" ht="15.75" x14ac:dyDescent="0.25">
      <c r="A22" s="85" t="s">
        <v>104</v>
      </c>
      <c r="B22" s="44" t="s">
        <v>105</v>
      </c>
      <c r="C22" s="45" t="s">
        <v>61</v>
      </c>
      <c r="D22" s="93">
        <f>D21*1.26</f>
        <v>54.772199999999998</v>
      </c>
      <c r="E22" s="47"/>
      <c r="F22" s="87"/>
      <c r="G22" s="87"/>
      <c r="H22" s="48">
        <v>3200</v>
      </c>
      <c r="I22" s="87">
        <f>ROUND(H22*D22,2)</f>
        <v>175271.04000000001</v>
      </c>
      <c r="J22" s="87">
        <f t="shared" ref="J22" si="12">ROUND(I22*1.2,2)</f>
        <v>210325.25</v>
      </c>
      <c r="K22" s="88">
        <f t="shared" si="6"/>
        <v>175271.04000000001</v>
      </c>
      <c r="L22" s="89">
        <f t="shared" si="6"/>
        <v>210325.25</v>
      </c>
    </row>
    <row r="23" spans="1:12" ht="15.75" x14ac:dyDescent="0.25">
      <c r="A23" s="71">
        <f>A21+1</f>
        <v>9</v>
      </c>
      <c r="B23" s="37" t="s">
        <v>106</v>
      </c>
      <c r="C23" s="71" t="s">
        <v>61</v>
      </c>
      <c r="D23" s="90">
        <v>19.760000000000002</v>
      </c>
      <c r="E23" s="31">
        <v>1666.3</v>
      </c>
      <c r="F23" s="73">
        <f>ROUND(E23*D23,2)</f>
        <v>32926.089999999997</v>
      </c>
      <c r="G23" s="73">
        <f>ROUND(F23*1.2,2)</f>
        <v>39511.31</v>
      </c>
      <c r="H23" s="39"/>
      <c r="I23" s="73"/>
      <c r="J23" s="73"/>
      <c r="K23" s="72">
        <f t="shared" si="6"/>
        <v>32926.089999999997</v>
      </c>
      <c r="L23" s="74">
        <f t="shared" si="6"/>
        <v>39511.31</v>
      </c>
    </row>
    <row r="24" spans="1:12" ht="15.75" x14ac:dyDescent="0.25">
      <c r="A24" s="85" t="s">
        <v>107</v>
      </c>
      <c r="B24" s="44" t="s">
        <v>108</v>
      </c>
      <c r="C24" s="45" t="s">
        <v>61</v>
      </c>
      <c r="D24" s="93">
        <f>D23*1.26</f>
        <v>24.897600000000001</v>
      </c>
      <c r="E24" s="47"/>
      <c r="F24" s="87"/>
      <c r="G24" s="87"/>
      <c r="H24" s="48">
        <v>5250</v>
      </c>
      <c r="I24" s="87">
        <f>ROUND(H24*D24,2)</f>
        <v>130712.4</v>
      </c>
      <c r="J24" s="87">
        <f t="shared" ref="J24" si="13">ROUND(I24*1.2,2)</f>
        <v>156854.88</v>
      </c>
      <c r="K24" s="88">
        <f t="shared" si="6"/>
        <v>130712.4</v>
      </c>
      <c r="L24" s="89">
        <f t="shared" si="6"/>
        <v>156854.88</v>
      </c>
    </row>
    <row r="25" spans="1:12" ht="21.75" customHeight="1" x14ac:dyDescent="0.25">
      <c r="A25" s="163" t="s">
        <v>82</v>
      </c>
      <c r="B25" s="164"/>
      <c r="C25" s="164"/>
      <c r="D25" s="164"/>
      <c r="E25" s="165"/>
      <c r="F25" s="94">
        <f>SUM(F8:F22)</f>
        <v>178735.03999999998</v>
      </c>
      <c r="G25" s="95">
        <f>ROUND(F25*1.2,2)</f>
        <v>214482.05</v>
      </c>
      <c r="H25" s="96"/>
      <c r="I25" s="94">
        <f>SUM(I8:I22)</f>
        <v>191833.54</v>
      </c>
      <c r="J25" s="95">
        <f>ROUND(I25*1.2,2)</f>
        <v>230200.25</v>
      </c>
      <c r="K25" s="94">
        <f>SUM(K8:K22)</f>
        <v>370568.57999999996</v>
      </c>
      <c r="L25" s="95">
        <f>ROUND(K25*1.2,2)</f>
        <v>444682.3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СВОД 417+8+доп</vt:lpstr>
      <vt:lpstr>Свод</vt:lpstr>
      <vt:lpstr>комп затрат</vt:lpstr>
      <vt:lpstr>Материалы</vt:lpstr>
      <vt:lpstr>Вр.площадка</vt:lpstr>
      <vt:lpstr>Кабели под путями</vt:lpstr>
      <vt:lpstr>Соль</vt:lpstr>
      <vt:lpstr>ГП доп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2024-12-02T06:25:08Z</cp:lastPrinted>
  <dcterms:created xsi:type="dcterms:W3CDTF">2024-12-02T06:22:59Z</dcterms:created>
  <dcterms:modified xsi:type="dcterms:W3CDTF">2024-12-18T14:44:54Z</dcterms:modified>
</cp:coreProperties>
</file>