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"/>
    </mc:Choice>
  </mc:AlternateContent>
  <xr:revisionPtr revIDLastSave="0" documentId="13_ncr:1_{2DAE32CD-2778-44D7-970A-E4A0C3E6ACF8}" xr6:coauthVersionLast="47" xr6:coauthVersionMax="47" xr10:uidLastSave="{00000000-0000-0000-0000-000000000000}"/>
  <bookViews>
    <workbookView xWindow="-120" yWindow="-120" windowWidth="51840" windowHeight="21240" tabRatio="803" activeTab="1" xr2:uid="{00000000-000D-0000-FFFF-FFFF00000000}"/>
  </bookViews>
  <sheets>
    <sheet name="верх" sheetId="16" r:id="rId1"/>
    <sheet name="СВОД" sheetId="2" r:id="rId2"/>
    <sheet name="АС4" sheetId="17" r:id="rId3"/>
    <sheet name="ТС1" sheetId="14" r:id="rId4"/>
    <sheet name="ТС2" sheetId="13" r:id="rId5"/>
    <sheet name="ТС3" sheetId="12" r:id="rId6"/>
    <sheet name="К16А дождеп" sheetId="11" r:id="rId7"/>
    <sheet name="К26-27" sheetId="10" r:id="rId8"/>
    <sheet name="Резка+погр" sheetId="9" r:id="rId9"/>
    <sheet name="ГСН" sheetId="8" r:id="rId10"/>
    <sheet name="ПЖ" sheetId="7" r:id="rId11"/>
    <sheet name="ГП2 " sheetId="6" r:id="rId12"/>
    <sheet name="ГП1" sheetId="4" r:id="rId13"/>
    <sheet name="АС1Площадка" sheetId="3" r:id="rId14"/>
    <sheet name="Демонтаж ламп" sheetId="19" r:id="rId15"/>
    <sheet name="КС" sheetId="18" r:id="rId16"/>
    <sheet name="КПКС" sheetId="20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3">АС1Площадка!$A$1:$L$40</definedName>
    <definedName name="_xlnm.Print_Area" localSheetId="2">АС4!$A$1:$L$64</definedName>
    <definedName name="_xlnm.Print_Area" localSheetId="0">верх!$A$1:$M$49</definedName>
    <definedName name="_xlnm.Print_Area" localSheetId="12">ГП1!$A$1:$L$53</definedName>
    <definedName name="_xlnm.Print_Area" localSheetId="11">'ГП2 '!$A$1:$L$164</definedName>
    <definedName name="_xlnm.Print_Area" localSheetId="9">ГСН!$A$1:$L$90</definedName>
    <definedName name="_xlnm.Print_Area" localSheetId="14">'Демонтаж ламп'!$A$1:$L$13</definedName>
    <definedName name="_xlnm.Print_Area" localSheetId="6">'К16А дождеп'!$A$1:$L$80</definedName>
    <definedName name="_xlnm.Print_Area" localSheetId="7">'К26-27'!$A$1:$L$30</definedName>
    <definedName name="_xlnm.Print_Area" localSheetId="16">КПКС!$A$1:$G$48</definedName>
    <definedName name="_xlnm.Print_Area" localSheetId="15">КС!$A$1:$L$79</definedName>
    <definedName name="_xlnm.Print_Area" localSheetId="10">ПЖ!$A$1:$L$128</definedName>
    <definedName name="_xlnm.Print_Area" localSheetId="3">ТС1!$A$1:$L$177</definedName>
    <definedName name="_xlnm.Print_Area" localSheetId="4">ТС2!$A$1:$L$183</definedName>
    <definedName name="_xlnm.Print_Area" localSheetId="5">ТС3!$A$1:$L$127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2" l="1"/>
  <c r="J33" i="2"/>
  <c r="K33" i="2" s="1"/>
  <c r="P2" i="2"/>
  <c r="J34" i="2"/>
  <c r="O43" i="2"/>
  <c r="O44" i="2" s="1"/>
  <c r="J5" i="2"/>
  <c r="N20" i="8"/>
  <c r="P3" i="2"/>
  <c r="D43" i="9"/>
  <c r="D44" i="9"/>
  <c r="D42" i="9"/>
  <c r="C44" i="9"/>
  <c r="B44" i="9"/>
  <c r="C43" i="9"/>
  <c r="B43" i="9"/>
  <c r="C42" i="9"/>
  <c r="B42" i="9"/>
  <c r="E43" i="9" l="1"/>
  <c r="E44" i="9"/>
  <c r="E42" i="9"/>
  <c r="J7" i="2" l="1"/>
  <c r="O59" i="7"/>
  <c r="O107" i="7" l="1"/>
  <c r="O105" i="7"/>
  <c r="C33" i="9"/>
  <c r="O11" i="2" s="1"/>
  <c r="B33" i="9"/>
  <c r="O36" i="11"/>
  <c r="O15" i="18"/>
  <c r="O13" i="4"/>
  <c r="O160" i="6"/>
  <c r="O113" i="6"/>
  <c r="O15" i="6"/>
  <c r="O115" i="7"/>
  <c r="O101" i="7"/>
  <c r="O88" i="7"/>
  <c r="O82" i="7"/>
  <c r="O79" i="7"/>
  <c r="O35" i="7"/>
  <c r="O33" i="7"/>
  <c r="O75" i="11"/>
  <c r="O12" i="11"/>
  <c r="O13" i="13"/>
  <c r="O11" i="17"/>
  <c r="O61" i="17" s="1"/>
  <c r="J21" i="2" s="1"/>
  <c r="O46" i="17"/>
  <c r="O41" i="17"/>
  <c r="O37" i="17"/>
  <c r="O76" i="11" l="1"/>
  <c r="J11" i="2" s="1"/>
  <c r="O116" i="7"/>
  <c r="J12" i="2" s="1"/>
  <c r="O56" i="7" l="1"/>
  <c r="J14" i="2"/>
  <c r="O123" i="12"/>
  <c r="O110" i="12"/>
  <c r="O68" i="12"/>
  <c r="J18" i="2"/>
  <c r="O172" i="14"/>
  <c r="O147" i="14"/>
  <c r="O44" i="14"/>
  <c r="O182" i="13"/>
  <c r="J13" i="2" s="1"/>
  <c r="O174" i="13"/>
  <c r="O137" i="13"/>
  <c r="O84" i="13"/>
  <c r="O50" i="13"/>
  <c r="O10" i="7" l="1"/>
  <c r="O51" i="7"/>
  <c r="O19" i="7"/>
  <c r="O18" i="7"/>
  <c r="O16" i="7"/>
  <c r="O50" i="4"/>
  <c r="J19" i="2" s="1"/>
  <c r="O49" i="4"/>
  <c r="O18" i="4"/>
  <c r="O21" i="4"/>
  <c r="O20" i="4"/>
  <c r="O164" i="6"/>
  <c r="J20" i="2" s="1"/>
  <c r="O24" i="6"/>
  <c r="O23" i="6"/>
  <c r="O72" i="6"/>
  <c r="K94" i="16"/>
  <c r="K95" i="16" s="1"/>
  <c r="K96" i="16" s="1"/>
  <c r="K97" i="16" l="1"/>
  <c r="K98" i="16" s="1"/>
  <c r="M32" i="10" l="1"/>
  <c r="M11" i="3"/>
  <c r="H97" i="20" l="1"/>
  <c r="H46" i="20"/>
  <c r="H47" i="20" s="1"/>
  <c r="H10" i="20"/>
  <c r="H11" i="20"/>
  <c r="H12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42" i="20"/>
  <c r="H43" i="20"/>
  <c r="H44" i="20"/>
  <c r="H45" i="20"/>
  <c r="H9" i="20"/>
  <c r="H7" i="20"/>
  <c r="H8" i="20"/>
  <c r="H6" i="20"/>
  <c r="G97" i="20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7" i="20"/>
  <c r="G87" i="20" s="1"/>
  <c r="F86" i="20"/>
  <c r="G86" i="20" s="1"/>
  <c r="F85" i="20"/>
  <c r="G85" i="20" s="1"/>
  <c r="F84" i="20"/>
  <c r="G84" i="20" s="1"/>
  <c r="G83" i="20"/>
  <c r="F83" i="20"/>
  <c r="F82" i="20"/>
  <c r="G82" i="20" s="1"/>
  <c r="F81" i="20"/>
  <c r="G81" i="20" s="1"/>
  <c r="F80" i="20"/>
  <c r="G80" i="20" s="1"/>
  <c r="G79" i="20"/>
  <c r="F79" i="20"/>
  <c r="F78" i="20"/>
  <c r="G78" i="20" s="1"/>
  <c r="F77" i="20"/>
  <c r="G77" i="20" s="1"/>
  <c r="F76" i="20"/>
  <c r="G76" i="20" s="1"/>
  <c r="F75" i="20"/>
  <c r="G75" i="20" s="1"/>
  <c r="F74" i="20"/>
  <c r="G74" i="20" s="1"/>
  <c r="F73" i="20"/>
  <c r="G73" i="20" s="1"/>
  <c r="F72" i="20"/>
  <c r="G72" i="20" s="1"/>
  <c r="F71" i="20"/>
  <c r="G71" i="20" s="1"/>
  <c r="F70" i="20"/>
  <c r="G70" i="20" s="1"/>
  <c r="F69" i="20"/>
  <c r="G69" i="20" s="1"/>
  <c r="F68" i="20"/>
  <c r="G68" i="20" s="1"/>
  <c r="G67" i="20"/>
  <c r="F67" i="20"/>
  <c r="F66" i="20"/>
  <c r="G66" i="20" s="1"/>
  <c r="F65" i="20"/>
  <c r="G65" i="20" s="1"/>
  <c r="F64" i="20"/>
  <c r="G64" i="20" s="1"/>
  <c r="G63" i="20"/>
  <c r="F63" i="20"/>
  <c r="F62" i="20"/>
  <c r="G62" i="20" s="1"/>
  <c r="F61" i="20"/>
  <c r="G61" i="20" s="1"/>
  <c r="F60" i="20"/>
  <c r="G60" i="20" s="1"/>
  <c r="F59" i="20"/>
  <c r="G59" i="20" s="1"/>
  <c r="F58" i="20"/>
  <c r="G58" i="20" s="1"/>
  <c r="F57" i="20"/>
  <c r="G57" i="20" s="1"/>
  <c r="E56" i="20"/>
  <c r="F56" i="20" s="1"/>
  <c r="G56" i="20" s="1"/>
  <c r="A56" i="20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E55" i="20"/>
  <c r="F55" i="20" s="1"/>
  <c r="F45" i="20"/>
  <c r="G45" i="20" s="1"/>
  <c r="E44" i="20"/>
  <c r="F44" i="20" s="1"/>
  <c r="G44" i="20" s="1"/>
  <c r="F43" i="20"/>
  <c r="G43" i="20" s="1"/>
  <c r="F42" i="20"/>
  <c r="G42" i="20" s="1"/>
  <c r="F41" i="20"/>
  <c r="G41" i="20" s="1"/>
  <c r="E41" i="20"/>
  <c r="F40" i="20"/>
  <c r="G40" i="20" s="1"/>
  <c r="F38" i="20"/>
  <c r="G38" i="20" s="1"/>
  <c r="F37" i="20"/>
  <c r="G37" i="20" s="1"/>
  <c r="F36" i="20"/>
  <c r="G36" i="20" s="1"/>
  <c r="F35" i="20"/>
  <c r="G35" i="20" s="1"/>
  <c r="F33" i="20"/>
  <c r="G33" i="20" s="1"/>
  <c r="E32" i="20"/>
  <c r="F32" i="20" s="1"/>
  <c r="G32" i="20" s="1"/>
  <c r="F31" i="20"/>
  <c r="G31" i="20" s="1"/>
  <c r="E30" i="20"/>
  <c r="F30" i="20" s="1"/>
  <c r="G30" i="20" s="1"/>
  <c r="E29" i="20"/>
  <c r="F29" i="20" s="1"/>
  <c r="G29" i="20" s="1"/>
  <c r="G28" i="20"/>
  <c r="F28" i="20"/>
  <c r="F27" i="20"/>
  <c r="G27" i="20" s="1"/>
  <c r="F26" i="20"/>
  <c r="G26" i="20" s="1"/>
  <c r="F25" i="20"/>
  <c r="G25" i="20" s="1"/>
  <c r="G24" i="20"/>
  <c r="F24" i="20"/>
  <c r="F23" i="20"/>
  <c r="G23" i="20" s="1"/>
  <c r="E22" i="20"/>
  <c r="F22" i="20" s="1"/>
  <c r="G22" i="20" s="1"/>
  <c r="F21" i="20"/>
  <c r="G21" i="20" s="1"/>
  <c r="E20" i="20"/>
  <c r="F20" i="20" s="1"/>
  <c r="G20" i="20" s="1"/>
  <c r="F19" i="20"/>
  <c r="G19" i="20" s="1"/>
  <c r="G17" i="20"/>
  <c r="F17" i="20"/>
  <c r="E16" i="20"/>
  <c r="F16" i="20" s="1"/>
  <c r="G16" i="20" s="1"/>
  <c r="E15" i="20"/>
  <c r="F15" i="20" s="1"/>
  <c r="G15" i="20" s="1"/>
  <c r="F14" i="20"/>
  <c r="G14" i="20" s="1"/>
  <c r="F13" i="20"/>
  <c r="G13" i="20" s="1"/>
  <c r="G12" i="20"/>
  <c r="F12" i="20"/>
  <c r="F11" i="20"/>
  <c r="G11" i="20" s="1"/>
  <c r="F10" i="20"/>
  <c r="G10" i="20" s="1"/>
  <c r="F9" i="20"/>
  <c r="G9" i="20" s="1"/>
  <c r="F8" i="20"/>
  <c r="G8" i="20" s="1"/>
  <c r="G7" i="20"/>
  <c r="F7" i="20"/>
  <c r="A7" i="20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5" i="20" s="1"/>
  <c r="A36" i="20" s="1"/>
  <c r="A37" i="20" s="1"/>
  <c r="A38" i="20" s="1"/>
  <c r="A40" i="20" s="1"/>
  <c r="A41" i="20" s="1"/>
  <c r="A42" i="20" s="1"/>
  <c r="A43" i="20" s="1"/>
  <c r="A44" i="20" s="1"/>
  <c r="A45" i="20" s="1"/>
  <c r="F6" i="20"/>
  <c r="J6" i="2"/>
  <c r="I10" i="19"/>
  <c r="J10" i="19" s="1"/>
  <c r="F10" i="19"/>
  <c r="G10" i="19" s="1"/>
  <c r="K9" i="19"/>
  <c r="G9" i="19"/>
  <c r="L9" i="19" s="1"/>
  <c r="F9" i="19"/>
  <c r="A9" i="19"/>
  <c r="F8" i="19"/>
  <c r="K8" i="19" s="1"/>
  <c r="K10" i="19" s="1"/>
  <c r="L10" i="19" s="1"/>
  <c r="H48" i="20" l="1"/>
  <c r="F95" i="20"/>
  <c r="G55" i="20"/>
  <c r="G95" i="20" s="1"/>
  <c r="F46" i="20"/>
  <c r="G6" i="20"/>
  <c r="G46" i="20" s="1"/>
  <c r="G8" i="19"/>
  <c r="L8" i="19" s="1"/>
  <c r="G47" i="20" l="1"/>
  <c r="G48" i="20" s="1"/>
  <c r="F47" i="20"/>
  <c r="F48" i="20" s="1"/>
  <c r="I75" i="18" l="1"/>
  <c r="K75" i="18" s="1"/>
  <c r="F74" i="18"/>
  <c r="K74" i="18" s="1"/>
  <c r="I73" i="18"/>
  <c r="K72" i="18"/>
  <c r="F72" i="18"/>
  <c r="G72" i="18" s="1"/>
  <c r="L72" i="18" s="1"/>
  <c r="I71" i="18"/>
  <c r="F70" i="18"/>
  <c r="K70" i="18" s="1"/>
  <c r="I69" i="18"/>
  <c r="K69" i="18" s="1"/>
  <c r="F68" i="18"/>
  <c r="K68" i="18" s="1"/>
  <c r="I67" i="18"/>
  <c r="K67" i="18" s="1"/>
  <c r="K66" i="18"/>
  <c r="F66" i="18"/>
  <c r="G66" i="18" s="1"/>
  <c r="L66" i="18" s="1"/>
  <c r="K65" i="18"/>
  <c r="F65" i="18"/>
  <c r="G65" i="18" s="1"/>
  <c r="L65" i="18" s="1"/>
  <c r="I64" i="18"/>
  <c r="I63" i="18"/>
  <c r="K63" i="18" s="1"/>
  <c r="F62" i="18"/>
  <c r="K62" i="18" s="1"/>
  <c r="F61" i="18"/>
  <c r="K61" i="18" s="1"/>
  <c r="I60" i="18"/>
  <c r="K60" i="18" s="1"/>
  <c r="K59" i="18"/>
  <c r="F59" i="18"/>
  <c r="G59" i="18" s="1"/>
  <c r="L59" i="18" s="1"/>
  <c r="L58" i="18"/>
  <c r="K58" i="18"/>
  <c r="I58" i="18"/>
  <c r="J58" i="18" s="1"/>
  <c r="F57" i="18"/>
  <c r="K57" i="18" s="1"/>
  <c r="F56" i="18"/>
  <c r="K56" i="18" s="1"/>
  <c r="I55" i="18"/>
  <c r="K55" i="18" s="1"/>
  <c r="F54" i="18"/>
  <c r="K54" i="18" s="1"/>
  <c r="F53" i="18"/>
  <c r="K53" i="18" s="1"/>
  <c r="I52" i="18"/>
  <c r="K51" i="18"/>
  <c r="F51" i="18"/>
  <c r="G51" i="18" s="1"/>
  <c r="L51" i="18" s="1"/>
  <c r="E50" i="18"/>
  <c r="F50" i="18" s="1"/>
  <c r="K49" i="18"/>
  <c r="I49" i="18"/>
  <c r="J49" i="18" s="1"/>
  <c r="L49" i="18" s="1"/>
  <c r="K48" i="18"/>
  <c r="J48" i="18"/>
  <c r="L48" i="18" s="1"/>
  <c r="I48" i="18"/>
  <c r="F47" i="18"/>
  <c r="K47" i="18" s="1"/>
  <c r="I46" i="18"/>
  <c r="K46" i="18" s="1"/>
  <c r="I45" i="18"/>
  <c r="K45" i="18" s="1"/>
  <c r="L44" i="18"/>
  <c r="K44" i="18"/>
  <c r="I44" i="18"/>
  <c r="J44" i="18" s="1"/>
  <c r="F43" i="18"/>
  <c r="K43" i="18" s="1"/>
  <c r="I42" i="18"/>
  <c r="K42" i="18" s="1"/>
  <c r="K41" i="18"/>
  <c r="F41" i="18"/>
  <c r="G41" i="18" s="1"/>
  <c r="L41" i="18" s="1"/>
  <c r="I40" i="18"/>
  <c r="K40" i="18" s="1"/>
  <c r="F39" i="18"/>
  <c r="K39" i="18" s="1"/>
  <c r="I38" i="18"/>
  <c r="J38" i="18" s="1"/>
  <c r="L38" i="18" s="1"/>
  <c r="K37" i="18"/>
  <c r="G37" i="18"/>
  <c r="L37" i="18" s="1"/>
  <c r="F37" i="18"/>
  <c r="I36" i="18"/>
  <c r="K36" i="18" s="1"/>
  <c r="F35" i="18"/>
  <c r="K35" i="18" s="1"/>
  <c r="I34" i="18"/>
  <c r="K34" i="18" s="1"/>
  <c r="I33" i="18"/>
  <c r="K33" i="18" s="1"/>
  <c r="I32" i="18"/>
  <c r="I31" i="18"/>
  <c r="K31" i="18" s="1"/>
  <c r="K30" i="18"/>
  <c r="J30" i="18"/>
  <c r="L30" i="18" s="1"/>
  <c r="I30" i="18"/>
  <c r="I29" i="18"/>
  <c r="K29" i="18" s="1"/>
  <c r="I28" i="18"/>
  <c r="K27" i="18"/>
  <c r="J27" i="18"/>
  <c r="L27" i="18" s="1"/>
  <c r="I27" i="18"/>
  <c r="I26" i="18"/>
  <c r="K26" i="18" s="1"/>
  <c r="F25" i="18"/>
  <c r="K25" i="18" s="1"/>
  <c r="I24" i="18"/>
  <c r="K24" i="18" s="1"/>
  <c r="K23" i="18"/>
  <c r="J23" i="18"/>
  <c r="L23" i="18" s="1"/>
  <c r="I23" i="18"/>
  <c r="K22" i="18"/>
  <c r="J22" i="18"/>
  <c r="L22" i="18" s="1"/>
  <c r="I22" i="18"/>
  <c r="H22" i="18"/>
  <c r="I21" i="18"/>
  <c r="K21" i="18" s="1"/>
  <c r="F20" i="18"/>
  <c r="K20" i="18" s="1"/>
  <c r="I19" i="18"/>
  <c r="K19" i="18" s="1"/>
  <c r="K18" i="18"/>
  <c r="F18" i="18"/>
  <c r="G18" i="18" s="1"/>
  <c r="L18" i="18" s="1"/>
  <c r="G17" i="18"/>
  <c r="L17" i="18" s="1"/>
  <c r="F17" i="18"/>
  <c r="K17" i="18" s="1"/>
  <c r="F15" i="18"/>
  <c r="K15" i="18" s="1"/>
  <c r="L14" i="18"/>
  <c r="K14" i="18"/>
  <c r="G14" i="18"/>
  <c r="F14" i="18"/>
  <c r="F13" i="18"/>
  <c r="K12" i="18"/>
  <c r="G12" i="18"/>
  <c r="L12" i="18" s="1"/>
  <c r="F12" i="18"/>
  <c r="F11" i="18"/>
  <c r="K11" i="18" s="1"/>
  <c r="F10" i="18"/>
  <c r="K10" i="18" s="1"/>
  <c r="A10" i="18"/>
  <c r="A11" i="18" s="1"/>
  <c r="A12" i="18" s="1"/>
  <c r="A13" i="18" s="1"/>
  <c r="A14" i="18" s="1"/>
  <c r="A15" i="18" s="1"/>
  <c r="A17" i="18" s="1"/>
  <c r="A18" i="18" s="1"/>
  <c r="A20" i="18" s="1"/>
  <c r="A25" i="18" s="1"/>
  <c r="A35" i="18" s="1"/>
  <c r="A37" i="18" s="1"/>
  <c r="A39" i="18" s="1"/>
  <c r="A41" i="18" s="1"/>
  <c r="A43" i="18" s="1"/>
  <c r="A47" i="18" s="1"/>
  <c r="A50" i="18" s="1"/>
  <c r="A51" i="18" s="1"/>
  <c r="A53" i="18" s="1"/>
  <c r="A54" i="18" s="1"/>
  <c r="A56" i="18" s="1"/>
  <c r="A57" i="18" s="1"/>
  <c r="A59" i="18" s="1"/>
  <c r="A61" i="18" s="1"/>
  <c r="A62" i="18" s="1"/>
  <c r="A65" i="18" s="1"/>
  <c r="A66" i="18" s="1"/>
  <c r="A68" i="18" s="1"/>
  <c r="A70" i="18" s="1"/>
  <c r="A72" i="18" s="1"/>
  <c r="A74" i="18" s="1"/>
  <c r="F8" i="18"/>
  <c r="K50" i="18" l="1"/>
  <c r="G50" i="18"/>
  <c r="L50" i="18" s="1"/>
  <c r="J34" i="18"/>
  <c r="L34" i="18" s="1"/>
  <c r="I76" i="18"/>
  <c r="J76" i="18" s="1"/>
  <c r="J24" i="18"/>
  <c r="L24" i="18" s="1"/>
  <c r="K64" i="18"/>
  <c r="J64" i="18"/>
  <c r="L64" i="18" s="1"/>
  <c r="G70" i="18"/>
  <c r="L70" i="18" s="1"/>
  <c r="J42" i="18"/>
  <c r="L42" i="18" s="1"/>
  <c r="G20" i="18"/>
  <c r="L20" i="18" s="1"/>
  <c r="J31" i="18"/>
  <c r="L31" i="18" s="1"/>
  <c r="G53" i="18"/>
  <c r="L53" i="18" s="1"/>
  <c r="G11" i="18"/>
  <c r="L11" i="18" s="1"/>
  <c r="G15" i="18"/>
  <c r="L15" i="18" s="1"/>
  <c r="K71" i="18"/>
  <c r="J71" i="18"/>
  <c r="L71" i="18" s="1"/>
  <c r="J26" i="18"/>
  <c r="L26" i="18" s="1"/>
  <c r="K32" i="18"/>
  <c r="J32" i="18"/>
  <c r="L32" i="18" s="1"/>
  <c r="K38" i="18"/>
  <c r="J55" i="18"/>
  <c r="L55" i="18" s="1"/>
  <c r="J60" i="18"/>
  <c r="L60" i="18" s="1"/>
  <c r="K73" i="18"/>
  <c r="J73" i="18"/>
  <c r="L73" i="18" s="1"/>
  <c r="G56" i="18"/>
  <c r="L56" i="18" s="1"/>
  <c r="J67" i="18"/>
  <c r="L67" i="18" s="1"/>
  <c r="G39" i="18"/>
  <c r="L39" i="18" s="1"/>
  <c r="J45" i="18"/>
  <c r="L45" i="18" s="1"/>
  <c r="K28" i="18"/>
  <c r="J28" i="18"/>
  <c r="L28" i="18" s="1"/>
  <c r="G62" i="18"/>
  <c r="L62" i="18" s="1"/>
  <c r="G74" i="18"/>
  <c r="L74" i="18" s="1"/>
  <c r="F76" i="18"/>
  <c r="G76" i="18" s="1"/>
  <c r="K13" i="18"/>
  <c r="G13" i="18"/>
  <c r="L13" i="18" s="1"/>
  <c r="G8" i="18"/>
  <c r="L8" i="18" s="1"/>
  <c r="J19" i="18"/>
  <c r="L19" i="18" s="1"/>
  <c r="G35" i="18"/>
  <c r="L35" i="18" s="1"/>
  <c r="J46" i="18"/>
  <c r="L46" i="18" s="1"/>
  <c r="J63" i="18"/>
  <c r="L63" i="18" s="1"/>
  <c r="J69" i="18"/>
  <c r="L69" i="18" s="1"/>
  <c r="K8" i="18"/>
  <c r="K52" i="18"/>
  <c r="J52" i="18"/>
  <c r="L52" i="18" s="1"/>
  <c r="J36" i="18"/>
  <c r="L36" i="18" s="1"/>
  <c r="G43" i="18"/>
  <c r="L43" i="18" s="1"/>
  <c r="G57" i="18"/>
  <c r="L57" i="18" s="1"/>
  <c r="G10" i="18"/>
  <c r="L10" i="18" s="1"/>
  <c r="J21" i="18"/>
  <c r="L21" i="18" s="1"/>
  <c r="G47" i="18"/>
  <c r="L47" i="18" s="1"/>
  <c r="J75" i="18"/>
  <c r="L75" i="18" s="1"/>
  <c r="J40" i="18"/>
  <c r="L40" i="18" s="1"/>
  <c r="G54" i="18"/>
  <c r="L54" i="18" s="1"/>
  <c r="G61" i="18"/>
  <c r="L61" i="18" s="1"/>
  <c r="G68" i="18"/>
  <c r="L68" i="18" s="1"/>
  <c r="G25" i="18"/>
  <c r="L25" i="18" s="1"/>
  <c r="J29" i="18"/>
  <c r="L29" i="18" s="1"/>
  <c r="J33" i="18"/>
  <c r="L33" i="18" s="1"/>
  <c r="K76" i="18" l="1"/>
  <c r="L76" i="18" s="1"/>
  <c r="D60" i="17" l="1"/>
  <c r="I60" i="17" s="1"/>
  <c r="F59" i="17"/>
  <c r="K59" i="17" s="1"/>
  <c r="D58" i="17"/>
  <c r="I58" i="17" s="1"/>
  <c r="F57" i="17"/>
  <c r="K57" i="17" s="1"/>
  <c r="D56" i="17"/>
  <c r="I56" i="17" s="1"/>
  <c r="K55" i="17"/>
  <c r="F55" i="17"/>
  <c r="G55" i="17" s="1"/>
  <c r="L55" i="17" s="1"/>
  <c r="D54" i="17"/>
  <c r="I54" i="17" s="1"/>
  <c r="K53" i="17"/>
  <c r="G53" i="17"/>
  <c r="L53" i="17" s="1"/>
  <c r="F53" i="17"/>
  <c r="D52" i="17"/>
  <c r="I52" i="17" s="1"/>
  <c r="F51" i="17"/>
  <c r="K51" i="17" s="1"/>
  <c r="F50" i="17"/>
  <c r="G50" i="17" s="1"/>
  <c r="L50" i="17" s="1"/>
  <c r="F49" i="17"/>
  <c r="K49" i="17" s="1"/>
  <c r="J47" i="17"/>
  <c r="L47" i="17" s="1"/>
  <c r="I47" i="17"/>
  <c r="K47" i="17" s="1"/>
  <c r="E46" i="17"/>
  <c r="F46" i="17" s="1"/>
  <c r="D46" i="17"/>
  <c r="I45" i="17"/>
  <c r="K45" i="17" s="1"/>
  <c r="I44" i="17"/>
  <c r="K44" i="17" s="1"/>
  <c r="I43" i="17"/>
  <c r="K43" i="17" s="1"/>
  <c r="K42" i="17"/>
  <c r="J42" i="17"/>
  <c r="L42" i="17" s="1"/>
  <c r="I42" i="17"/>
  <c r="F41" i="17"/>
  <c r="K41" i="17" s="1"/>
  <c r="E41" i="17"/>
  <c r="D39" i="17"/>
  <c r="F39" i="17" s="1"/>
  <c r="A39" i="17"/>
  <c r="A41" i="17" s="1"/>
  <c r="A46" i="17" s="1"/>
  <c r="A49" i="17" s="1"/>
  <c r="A50" i="17" s="1"/>
  <c r="A51" i="17" s="1"/>
  <c r="A53" i="17" s="1"/>
  <c r="A55" i="17" s="1"/>
  <c r="A57" i="17" s="1"/>
  <c r="A59" i="17" s="1"/>
  <c r="D38" i="17"/>
  <c r="F38" i="17" s="1"/>
  <c r="A38" i="17"/>
  <c r="E37" i="17"/>
  <c r="F37" i="17" s="1"/>
  <c r="I34" i="17"/>
  <c r="K34" i="17" s="1"/>
  <c r="F33" i="17"/>
  <c r="K33" i="17" s="1"/>
  <c r="D32" i="17"/>
  <c r="I32" i="17" s="1"/>
  <c r="F31" i="17"/>
  <c r="K31" i="17" s="1"/>
  <c r="F30" i="17"/>
  <c r="K30" i="17" s="1"/>
  <c r="K29" i="17"/>
  <c r="J29" i="17"/>
  <c r="L29" i="17" s="1"/>
  <c r="I29" i="17"/>
  <c r="I28" i="17"/>
  <c r="K28" i="17" s="1"/>
  <c r="I27" i="17"/>
  <c r="K27" i="17" s="1"/>
  <c r="I26" i="17"/>
  <c r="K26" i="17" s="1"/>
  <c r="K25" i="17"/>
  <c r="J25" i="17"/>
  <c r="L25" i="17" s="1"/>
  <c r="I25" i="17"/>
  <c r="I24" i="17"/>
  <c r="K24" i="17" s="1"/>
  <c r="D24" i="17"/>
  <c r="G23" i="17"/>
  <c r="L23" i="17" s="1"/>
  <c r="F23" i="17"/>
  <c r="K23" i="17" s="1"/>
  <c r="I22" i="17"/>
  <c r="K19" i="17"/>
  <c r="F19" i="17"/>
  <c r="G19" i="17" s="1"/>
  <c r="L19" i="17" s="1"/>
  <c r="D19" i="17"/>
  <c r="D18" i="17"/>
  <c r="F18" i="17" s="1"/>
  <c r="F17" i="17"/>
  <c r="K17" i="17" s="1"/>
  <c r="D17" i="17"/>
  <c r="K16" i="17"/>
  <c r="G16" i="17"/>
  <c r="L16" i="17" s="1"/>
  <c r="F16" i="17"/>
  <c r="F15" i="17"/>
  <c r="K15" i="17" s="1"/>
  <c r="F14" i="17"/>
  <c r="K14" i="17" s="1"/>
  <c r="F13" i="17"/>
  <c r="K13" i="17" s="1"/>
  <c r="K11" i="17"/>
  <c r="G11" i="17"/>
  <c r="L11" i="17" s="1"/>
  <c r="F11" i="17"/>
  <c r="D11" i="17"/>
  <c r="K9" i="17"/>
  <c r="G9" i="17"/>
  <c r="L9" i="17" s="1"/>
  <c r="F9" i="17"/>
  <c r="E8" i="17"/>
  <c r="F8" i="17" s="1"/>
  <c r="K60" i="17" l="1"/>
  <c r="J60" i="17"/>
  <c r="L60" i="17" s="1"/>
  <c r="K56" i="17"/>
  <c r="J56" i="17"/>
  <c r="L56" i="17" s="1"/>
  <c r="K32" i="17"/>
  <c r="J32" i="17"/>
  <c r="L32" i="17" s="1"/>
  <c r="K58" i="17"/>
  <c r="J58" i="17"/>
  <c r="L58" i="17" s="1"/>
  <c r="G38" i="17"/>
  <c r="L38" i="17" s="1"/>
  <c r="K38" i="17"/>
  <c r="G39" i="17"/>
  <c r="L39" i="17" s="1"/>
  <c r="K39" i="17"/>
  <c r="K52" i="17"/>
  <c r="J52" i="17"/>
  <c r="L52" i="17" s="1"/>
  <c r="K54" i="17"/>
  <c r="J54" i="17"/>
  <c r="L54" i="17" s="1"/>
  <c r="I61" i="17"/>
  <c r="J61" i="17" s="1"/>
  <c r="K46" i="17"/>
  <c r="G46" i="17"/>
  <c r="L46" i="17" s="1"/>
  <c r="G37" i="17"/>
  <c r="L37" i="17" s="1"/>
  <c r="K37" i="17"/>
  <c r="K8" i="17"/>
  <c r="K61" i="17" s="1"/>
  <c r="L61" i="17" s="1"/>
  <c r="G8" i="17"/>
  <c r="L8" i="17" s="1"/>
  <c r="F61" i="17"/>
  <c r="G61" i="17" s="1"/>
  <c r="G18" i="17"/>
  <c r="L18" i="17" s="1"/>
  <c r="K18" i="17"/>
  <c r="K22" i="17"/>
  <c r="G33" i="17"/>
  <c r="L33" i="17" s="1"/>
  <c r="K50" i="17"/>
  <c r="G13" i="17"/>
  <c r="L13" i="17" s="1"/>
  <c r="G30" i="17"/>
  <c r="L30" i="17" s="1"/>
  <c r="G15" i="17"/>
  <c r="L15" i="17" s="1"/>
  <c r="J24" i="17"/>
  <c r="L24" i="17" s="1"/>
  <c r="J28" i="17"/>
  <c r="L28" i="17" s="1"/>
  <c r="G41" i="17"/>
  <c r="L41" i="17" s="1"/>
  <c r="J45" i="17"/>
  <c r="L45" i="17" s="1"/>
  <c r="G49" i="17"/>
  <c r="L49" i="17" s="1"/>
  <c r="G59" i="17"/>
  <c r="L59" i="17" s="1"/>
  <c r="J22" i="17"/>
  <c r="L22" i="17" s="1"/>
  <c r="J26" i="17"/>
  <c r="L26" i="17" s="1"/>
  <c r="J43" i="17"/>
  <c r="L43" i="17" s="1"/>
  <c r="G57" i="17"/>
  <c r="L57" i="17" s="1"/>
  <c r="G17" i="17"/>
  <c r="L17" i="17" s="1"/>
  <c r="J34" i="17"/>
  <c r="L34" i="17" s="1"/>
  <c r="G51" i="17"/>
  <c r="L51" i="17" s="1"/>
  <c r="G14" i="17"/>
  <c r="L14" i="17" s="1"/>
  <c r="J27" i="17"/>
  <c r="L27" i="17" s="1"/>
  <c r="G31" i="17"/>
  <c r="L31" i="17" s="1"/>
  <c r="J44" i="17"/>
  <c r="L44" i="17" s="1"/>
  <c r="J82" i="16" l="1"/>
  <c r="J81" i="16"/>
  <c r="J80" i="16"/>
  <c r="D19" i="2" l="1"/>
  <c r="E19" i="2" s="1"/>
  <c r="D3" i="2"/>
  <c r="E3" i="2" s="1"/>
  <c r="D25" i="2"/>
  <c r="E25" i="2" s="1"/>
  <c r="D24" i="2"/>
  <c r="E24" i="2" s="1"/>
  <c r="D8" i="2"/>
  <c r="E8" i="2" s="1"/>
  <c r="D18" i="2"/>
  <c r="E18" i="2" s="1"/>
  <c r="D20" i="2"/>
  <c r="E20" i="2" s="1"/>
  <c r="D13" i="2"/>
  <c r="E13" i="2" s="1"/>
  <c r="D12" i="2"/>
  <c r="E12" i="2" s="1"/>
  <c r="D7" i="2"/>
  <c r="E7" i="2" s="1"/>
  <c r="D6" i="2"/>
  <c r="E6" i="2" s="1"/>
  <c r="D11" i="2"/>
  <c r="E11" i="2" s="1"/>
  <c r="D27" i="2"/>
  <c r="E27" i="2" s="1"/>
  <c r="D26" i="2"/>
  <c r="E26" i="2" s="1"/>
  <c r="D9" i="2"/>
  <c r="E9" i="2" s="1"/>
  <c r="D10" i="2"/>
  <c r="E10" i="2" s="1"/>
  <c r="D23" i="2"/>
  <c r="E23" i="2" s="1"/>
  <c r="D22" i="2"/>
  <c r="E22" i="2" s="1"/>
  <c r="D4" i="2"/>
  <c r="E4" i="2" s="1"/>
  <c r="D21" i="2"/>
  <c r="E21" i="2" s="1"/>
  <c r="D17" i="2"/>
  <c r="E17" i="2" s="1"/>
  <c r="D16" i="2"/>
  <c r="E16" i="2" s="1"/>
  <c r="D5" i="2"/>
  <c r="E5" i="2" s="1"/>
  <c r="D14" i="2"/>
  <c r="E14" i="2" s="1"/>
  <c r="K72" i="16"/>
  <c r="H68" i="16"/>
  <c r="G68" i="16"/>
  <c r="F68" i="16"/>
  <c r="E68" i="16"/>
  <c r="D68" i="16"/>
  <c r="J66" i="16"/>
  <c r="J65" i="16"/>
  <c r="J64" i="16"/>
  <c r="J63" i="16"/>
  <c r="J62" i="16"/>
  <c r="J61" i="16"/>
  <c r="J60" i="16"/>
  <c r="J59" i="16"/>
  <c r="J58" i="16"/>
  <c r="J57" i="16"/>
  <c r="J56" i="16"/>
  <c r="J55" i="16"/>
  <c r="J54" i="16"/>
  <c r="J53" i="16"/>
  <c r="M48" i="16"/>
  <c r="J48" i="16"/>
  <c r="M44" i="16"/>
  <c r="H44" i="16"/>
  <c r="J44" i="16" s="1"/>
  <c r="G44" i="16"/>
  <c r="F44" i="16"/>
  <c r="E44" i="16"/>
  <c r="D44" i="16"/>
  <c r="H42" i="16"/>
  <c r="G42" i="16"/>
  <c r="F42" i="16"/>
  <c r="E42" i="16"/>
  <c r="D42" i="16"/>
  <c r="M40" i="16"/>
  <c r="J40" i="16"/>
  <c r="M39" i="16"/>
  <c r="J39" i="16"/>
  <c r="M38" i="16"/>
  <c r="J38" i="16"/>
  <c r="M37" i="16"/>
  <c r="J37" i="16"/>
  <c r="M36" i="16"/>
  <c r="J36" i="16"/>
  <c r="M35" i="16"/>
  <c r="J35" i="16"/>
  <c r="M34" i="16"/>
  <c r="J34" i="16"/>
  <c r="M33" i="16"/>
  <c r="J33" i="16"/>
  <c r="M32" i="16"/>
  <c r="J32" i="16"/>
  <c r="M31" i="16"/>
  <c r="J31" i="16"/>
  <c r="M30" i="16"/>
  <c r="J30" i="16"/>
  <c r="M29" i="16"/>
  <c r="J29" i="16"/>
  <c r="M28" i="16"/>
  <c r="J28" i="16"/>
  <c r="M27" i="16"/>
  <c r="J27" i="16"/>
  <c r="M26" i="16"/>
  <c r="J26" i="16"/>
  <c r="K25" i="16"/>
  <c r="K42" i="16" s="1"/>
  <c r="J25" i="16"/>
  <c r="M24" i="16"/>
  <c r="J24" i="16"/>
  <c r="M23" i="16"/>
  <c r="J23" i="16"/>
  <c r="M22" i="16"/>
  <c r="J22" i="16"/>
  <c r="M21" i="16"/>
  <c r="J21" i="16"/>
  <c r="M20" i="16"/>
  <c r="J20" i="16"/>
  <c r="M19" i="16"/>
  <c r="J19" i="16"/>
  <c r="M18" i="16"/>
  <c r="J18" i="16"/>
  <c r="M17" i="16"/>
  <c r="J17" i="16"/>
  <c r="D15" i="2" s="1"/>
  <c r="E15" i="2" s="1"/>
  <c r="M16" i="16"/>
  <c r="J16" i="16"/>
  <c r="M15" i="16"/>
  <c r="J15" i="16"/>
  <c r="M14" i="16"/>
  <c r="J14" i="16"/>
  <c r="M13" i="16"/>
  <c r="J13" i="16"/>
  <c r="M12" i="16"/>
  <c r="J12" i="16"/>
  <c r="E28" i="2" l="1"/>
  <c r="D28" i="2"/>
  <c r="J42" i="16"/>
  <c r="J68" i="16"/>
  <c r="M25" i="16"/>
  <c r="M42" i="16" s="1"/>
  <c r="D171" i="14" l="1"/>
  <c r="I171" i="14" s="1"/>
  <c r="E170" i="14"/>
  <c r="F170" i="14" s="1"/>
  <c r="D169" i="14"/>
  <c r="I169" i="14" s="1"/>
  <c r="G168" i="14"/>
  <c r="L168" i="14" s="1"/>
  <c r="F168" i="14"/>
  <c r="K168" i="14" s="1"/>
  <c r="K167" i="14"/>
  <c r="F167" i="14"/>
  <c r="G167" i="14" s="1"/>
  <c r="L167" i="14" s="1"/>
  <c r="I166" i="14"/>
  <c r="K166" i="14" s="1"/>
  <c r="D166" i="14"/>
  <c r="F165" i="14"/>
  <c r="K165" i="14" s="1"/>
  <c r="J163" i="14"/>
  <c r="L163" i="14" s="1"/>
  <c r="I163" i="14"/>
  <c r="K163" i="14" s="1"/>
  <c r="L162" i="14"/>
  <c r="K162" i="14"/>
  <c r="G162" i="14"/>
  <c r="F162" i="14"/>
  <c r="J160" i="14"/>
  <c r="L160" i="14" s="1"/>
  <c r="I160" i="14"/>
  <c r="K160" i="14" s="1"/>
  <c r="F159" i="14"/>
  <c r="K159" i="14" s="1"/>
  <c r="K158" i="14"/>
  <c r="F158" i="14"/>
  <c r="G158" i="14" s="1"/>
  <c r="L158" i="14" s="1"/>
  <c r="K157" i="14"/>
  <c r="I157" i="14"/>
  <c r="J157" i="14" s="1"/>
  <c r="L157" i="14" s="1"/>
  <c r="G156" i="14"/>
  <c r="L156" i="14" s="1"/>
  <c r="F156" i="14"/>
  <c r="K156" i="14" s="1"/>
  <c r="I155" i="14"/>
  <c r="K155" i="14" s="1"/>
  <c r="F154" i="14"/>
  <c r="K154" i="14" s="1"/>
  <c r="D153" i="14"/>
  <c r="I153" i="14" s="1"/>
  <c r="K152" i="14"/>
  <c r="F152" i="14"/>
  <c r="G152" i="14" s="1"/>
  <c r="L152" i="14" s="1"/>
  <c r="D151" i="14"/>
  <c r="I151" i="14" s="1"/>
  <c r="K150" i="14"/>
  <c r="G150" i="14"/>
  <c r="L150" i="14" s="1"/>
  <c r="F150" i="14"/>
  <c r="K149" i="14"/>
  <c r="G149" i="14"/>
  <c r="L149" i="14" s="1"/>
  <c r="F149" i="14"/>
  <c r="I148" i="14"/>
  <c r="K148" i="14" s="1"/>
  <c r="I147" i="14"/>
  <c r="K146" i="14"/>
  <c r="J146" i="14"/>
  <c r="L146" i="14" s="1"/>
  <c r="I146" i="14"/>
  <c r="K145" i="14"/>
  <c r="J145" i="14"/>
  <c r="L145" i="14" s="1"/>
  <c r="I145" i="14"/>
  <c r="I144" i="14"/>
  <c r="K144" i="14" s="1"/>
  <c r="I143" i="14"/>
  <c r="K142" i="14"/>
  <c r="J142" i="14"/>
  <c r="L142" i="14" s="1"/>
  <c r="I142" i="14"/>
  <c r="K141" i="14"/>
  <c r="G141" i="14"/>
  <c r="L141" i="14" s="1"/>
  <c r="F141" i="14"/>
  <c r="I139" i="14"/>
  <c r="K139" i="14" s="1"/>
  <c r="I138" i="14"/>
  <c r="L137" i="14"/>
  <c r="K137" i="14"/>
  <c r="J137" i="14"/>
  <c r="I137" i="14"/>
  <c r="K136" i="14"/>
  <c r="J136" i="14"/>
  <c r="L136" i="14" s="1"/>
  <c r="I136" i="14"/>
  <c r="I135" i="14"/>
  <c r="K135" i="14" s="1"/>
  <c r="I134" i="14"/>
  <c r="K133" i="14"/>
  <c r="J133" i="14"/>
  <c r="L133" i="14" s="1"/>
  <c r="I133" i="14"/>
  <c r="K132" i="14"/>
  <c r="J132" i="14"/>
  <c r="L132" i="14" s="1"/>
  <c r="I132" i="14"/>
  <c r="F131" i="14"/>
  <c r="K131" i="14" s="1"/>
  <c r="I129" i="14"/>
  <c r="K128" i="14"/>
  <c r="G128" i="14"/>
  <c r="L128" i="14" s="1"/>
  <c r="F128" i="14"/>
  <c r="K127" i="14"/>
  <c r="J127" i="14"/>
  <c r="L127" i="14" s="1"/>
  <c r="I127" i="14"/>
  <c r="F126" i="14"/>
  <c r="K126" i="14" s="1"/>
  <c r="I125" i="14"/>
  <c r="L124" i="14"/>
  <c r="K124" i="14"/>
  <c r="G124" i="14"/>
  <c r="F124" i="14"/>
  <c r="K123" i="14"/>
  <c r="J123" i="14"/>
  <c r="L123" i="14" s="1"/>
  <c r="I123" i="14"/>
  <c r="F122" i="14"/>
  <c r="K122" i="14" s="1"/>
  <c r="I121" i="14"/>
  <c r="L120" i="14"/>
  <c r="K120" i="14"/>
  <c r="G120" i="14"/>
  <c r="F120" i="14"/>
  <c r="K119" i="14"/>
  <c r="J119" i="14"/>
  <c r="L119" i="14" s="1"/>
  <c r="I119" i="14"/>
  <c r="F118" i="14"/>
  <c r="K118" i="14" s="1"/>
  <c r="I117" i="14"/>
  <c r="D117" i="14"/>
  <c r="L116" i="14"/>
  <c r="K116" i="14"/>
  <c r="G116" i="14"/>
  <c r="F116" i="14"/>
  <c r="I115" i="14"/>
  <c r="K115" i="14" s="1"/>
  <c r="D115" i="14"/>
  <c r="F114" i="14"/>
  <c r="K114" i="14" s="1"/>
  <c r="D113" i="14"/>
  <c r="I113" i="14" s="1"/>
  <c r="I112" i="14"/>
  <c r="K112" i="14" s="1"/>
  <c r="D112" i="14"/>
  <c r="I111" i="14"/>
  <c r="K111" i="14" s="1"/>
  <c r="I110" i="14"/>
  <c r="K109" i="14"/>
  <c r="G109" i="14"/>
  <c r="L109" i="14" s="1"/>
  <c r="F109" i="14"/>
  <c r="K108" i="14"/>
  <c r="J108" i="14"/>
  <c r="L108" i="14" s="1"/>
  <c r="I108" i="14"/>
  <c r="I107" i="14"/>
  <c r="K107" i="14" s="1"/>
  <c r="F106" i="14"/>
  <c r="K105" i="14"/>
  <c r="J105" i="14"/>
  <c r="L105" i="14" s="1"/>
  <c r="I105" i="14"/>
  <c r="K104" i="14"/>
  <c r="G104" i="14"/>
  <c r="L104" i="14" s="1"/>
  <c r="F104" i="14"/>
  <c r="D103" i="14"/>
  <c r="I103" i="14" s="1"/>
  <c r="F102" i="14"/>
  <c r="K102" i="14" s="1"/>
  <c r="L101" i="14"/>
  <c r="K101" i="14"/>
  <c r="G101" i="14"/>
  <c r="F101" i="14"/>
  <c r="I100" i="14"/>
  <c r="K100" i="14" s="1"/>
  <c r="F99" i="14"/>
  <c r="G99" i="14" s="1"/>
  <c r="L99" i="14" s="1"/>
  <c r="I98" i="14"/>
  <c r="K98" i="14" s="1"/>
  <c r="L97" i="14"/>
  <c r="K97" i="14"/>
  <c r="G97" i="14"/>
  <c r="F97" i="14"/>
  <c r="F96" i="14"/>
  <c r="K96" i="14" s="1"/>
  <c r="I95" i="14"/>
  <c r="J95" i="14" s="1"/>
  <c r="L95" i="14" s="1"/>
  <c r="D94" i="14"/>
  <c r="I94" i="14" s="1"/>
  <c r="D93" i="14"/>
  <c r="I93" i="14" s="1"/>
  <c r="D92" i="14"/>
  <c r="F92" i="14" s="1"/>
  <c r="J91" i="14"/>
  <c r="L91" i="14" s="1"/>
  <c r="I91" i="14"/>
  <c r="K91" i="14" s="1"/>
  <c r="K90" i="14"/>
  <c r="J90" i="14"/>
  <c r="L90" i="14" s="1"/>
  <c r="I90" i="14"/>
  <c r="K89" i="14"/>
  <c r="G89" i="14"/>
  <c r="L89" i="14" s="1"/>
  <c r="F89" i="14"/>
  <c r="D88" i="14"/>
  <c r="I88" i="14" s="1"/>
  <c r="F87" i="14"/>
  <c r="K87" i="14" s="1"/>
  <c r="I86" i="14"/>
  <c r="K86" i="14" s="1"/>
  <c r="D86" i="14"/>
  <c r="F85" i="14"/>
  <c r="K85" i="14" s="1"/>
  <c r="D83" i="14"/>
  <c r="I83" i="14" s="1"/>
  <c r="K82" i="14"/>
  <c r="F82" i="14"/>
  <c r="G82" i="14" s="1"/>
  <c r="L82" i="14" s="1"/>
  <c r="D81" i="14"/>
  <c r="I81" i="14" s="1"/>
  <c r="F80" i="14"/>
  <c r="K80" i="14" s="1"/>
  <c r="L79" i="14"/>
  <c r="K79" i="14"/>
  <c r="D79" i="14"/>
  <c r="I79" i="14" s="1"/>
  <c r="J79" i="14" s="1"/>
  <c r="G78" i="14"/>
  <c r="L78" i="14" s="1"/>
  <c r="F78" i="14"/>
  <c r="K78" i="14" s="1"/>
  <c r="I76" i="14"/>
  <c r="H76" i="14"/>
  <c r="D76" i="14"/>
  <c r="H75" i="14"/>
  <c r="I75" i="14" s="1"/>
  <c r="J75" i="14" s="1"/>
  <c r="L75" i="14" s="1"/>
  <c r="D75" i="14"/>
  <c r="D74" i="14"/>
  <c r="F74" i="14" s="1"/>
  <c r="H73" i="14"/>
  <c r="I73" i="14" s="1"/>
  <c r="D73" i="14"/>
  <c r="H72" i="14"/>
  <c r="I72" i="14" s="1"/>
  <c r="K71" i="14"/>
  <c r="F71" i="14"/>
  <c r="G71" i="14" s="1"/>
  <c r="L71" i="14" s="1"/>
  <c r="J69" i="14"/>
  <c r="L69" i="14" s="1"/>
  <c r="I69" i="14"/>
  <c r="K69" i="14" s="1"/>
  <c r="K68" i="14"/>
  <c r="J68" i="14"/>
  <c r="L68" i="14" s="1"/>
  <c r="I68" i="14"/>
  <c r="K67" i="14"/>
  <c r="G67" i="14"/>
  <c r="L67" i="14" s="1"/>
  <c r="F67" i="14"/>
  <c r="I66" i="14"/>
  <c r="K66" i="14" s="1"/>
  <c r="F65" i="14"/>
  <c r="K65" i="14" s="1"/>
  <c r="L64" i="14"/>
  <c r="K64" i="14"/>
  <c r="J64" i="14"/>
  <c r="I64" i="14"/>
  <c r="K63" i="14"/>
  <c r="G63" i="14"/>
  <c r="L63" i="14" s="1"/>
  <c r="F63" i="14"/>
  <c r="I62" i="14"/>
  <c r="K62" i="14" s="1"/>
  <c r="F61" i="14"/>
  <c r="K61" i="14" s="1"/>
  <c r="L60" i="14"/>
  <c r="K60" i="14"/>
  <c r="J60" i="14"/>
  <c r="I60" i="14"/>
  <c r="K59" i="14"/>
  <c r="G59" i="14"/>
  <c r="L59" i="14" s="1"/>
  <c r="F59" i="14"/>
  <c r="I58" i="14"/>
  <c r="K58" i="14" s="1"/>
  <c r="F57" i="14"/>
  <c r="K57" i="14" s="1"/>
  <c r="L56" i="14"/>
  <c r="K56" i="14"/>
  <c r="J56" i="14"/>
  <c r="I56" i="14"/>
  <c r="K55" i="14"/>
  <c r="G55" i="14"/>
  <c r="L55" i="14" s="1"/>
  <c r="F55" i="14"/>
  <c r="I54" i="14"/>
  <c r="K54" i="14" s="1"/>
  <c r="F53" i="14"/>
  <c r="K53" i="14" s="1"/>
  <c r="K52" i="14"/>
  <c r="J52" i="14"/>
  <c r="L52" i="14" s="1"/>
  <c r="I52" i="14"/>
  <c r="K51" i="14"/>
  <c r="G51" i="14"/>
  <c r="L51" i="14" s="1"/>
  <c r="F51" i="14"/>
  <c r="I50" i="14"/>
  <c r="K50" i="14" s="1"/>
  <c r="F49" i="14"/>
  <c r="K49" i="14" s="1"/>
  <c r="K48" i="14"/>
  <c r="J48" i="14"/>
  <c r="L48" i="14" s="1"/>
  <c r="I48" i="14"/>
  <c r="K47" i="14"/>
  <c r="G47" i="14"/>
  <c r="L47" i="14" s="1"/>
  <c r="F47" i="14"/>
  <c r="I46" i="14"/>
  <c r="K46" i="14" s="1"/>
  <c r="G45" i="14"/>
  <c r="L45" i="14" s="1"/>
  <c r="F45" i="14"/>
  <c r="K45" i="14" s="1"/>
  <c r="K44" i="14"/>
  <c r="G44" i="14"/>
  <c r="L44" i="14" s="1"/>
  <c r="F44" i="14"/>
  <c r="I42" i="14"/>
  <c r="K42" i="14" s="1"/>
  <c r="I40" i="14"/>
  <c r="J40" i="14" s="1"/>
  <c r="L40" i="14" s="1"/>
  <c r="F39" i="14"/>
  <c r="K39" i="14" s="1"/>
  <c r="L38" i="14"/>
  <c r="D38" i="14"/>
  <c r="I38" i="14" s="1"/>
  <c r="J38" i="14" s="1"/>
  <c r="D37" i="14"/>
  <c r="I37" i="14" s="1"/>
  <c r="D36" i="14"/>
  <c r="I36" i="14" s="1"/>
  <c r="K35" i="14"/>
  <c r="G35" i="14"/>
  <c r="L35" i="14" s="1"/>
  <c r="F35" i="14"/>
  <c r="D35" i="14"/>
  <c r="I34" i="14"/>
  <c r="K34" i="14" s="1"/>
  <c r="D34" i="14"/>
  <c r="D33" i="14"/>
  <c r="F33" i="14" s="1"/>
  <c r="K32" i="14"/>
  <c r="J32" i="14"/>
  <c r="L32" i="14" s="1"/>
  <c r="I32" i="14"/>
  <c r="F31" i="14"/>
  <c r="K31" i="14" s="1"/>
  <c r="I30" i="14"/>
  <c r="K30" i="14" s="1"/>
  <c r="F29" i="14"/>
  <c r="K29" i="14" s="1"/>
  <c r="L28" i="14"/>
  <c r="K28" i="14"/>
  <c r="G28" i="14"/>
  <c r="F28" i="14"/>
  <c r="I26" i="14"/>
  <c r="K26" i="14" s="1"/>
  <c r="D26" i="14"/>
  <c r="D25" i="14"/>
  <c r="F25" i="14" s="1"/>
  <c r="K24" i="14"/>
  <c r="G24" i="14"/>
  <c r="L24" i="14" s="1"/>
  <c r="F24" i="14"/>
  <c r="F23" i="14"/>
  <c r="K23" i="14" s="1"/>
  <c r="D23" i="14"/>
  <c r="D22" i="14"/>
  <c r="F22" i="14" s="1"/>
  <c r="D21" i="14"/>
  <c r="F21" i="14" s="1"/>
  <c r="D20" i="14"/>
  <c r="F20" i="14" s="1"/>
  <c r="D19" i="14"/>
  <c r="F19" i="14" s="1"/>
  <c r="D18" i="14"/>
  <c r="F18" i="14" s="1"/>
  <c r="A18" i="14"/>
  <c r="A29" i="14" s="1"/>
  <c r="A31" i="14" s="1"/>
  <c r="A44" i="14" s="1"/>
  <c r="A71" i="14" s="1"/>
  <c r="A78" i="14" s="1"/>
  <c r="A80" i="14" s="1"/>
  <c r="L17" i="14"/>
  <c r="K17" i="14"/>
  <c r="F17" i="14"/>
  <c r="G17" i="14" s="1"/>
  <c r="K16" i="14"/>
  <c r="F16" i="14"/>
  <c r="G16" i="14" s="1"/>
  <c r="L16" i="14" s="1"/>
  <c r="D15" i="14"/>
  <c r="I15" i="14" s="1"/>
  <c r="A14" i="14"/>
  <c r="A16" i="14" s="1"/>
  <c r="A17" i="14" s="1"/>
  <c r="D13" i="14"/>
  <c r="I13" i="14" s="1"/>
  <c r="K12" i="14"/>
  <c r="F12" i="14"/>
  <c r="G12" i="14" s="1"/>
  <c r="L12" i="14" s="1"/>
  <c r="A12" i="14"/>
  <c r="D11" i="14"/>
  <c r="I11" i="14" s="1"/>
  <c r="L10" i="14"/>
  <c r="K10" i="14"/>
  <c r="G10" i="14"/>
  <c r="F10" i="14"/>
  <c r="A10" i="14"/>
  <c r="D9" i="14"/>
  <c r="I9" i="14" s="1"/>
  <c r="F8" i="14"/>
  <c r="K18" i="14" l="1"/>
  <c r="G18" i="14"/>
  <c r="L18" i="14" s="1"/>
  <c r="K73" i="14"/>
  <c r="J73" i="14"/>
  <c r="L73" i="14" s="1"/>
  <c r="K83" i="14"/>
  <c r="J83" i="14"/>
  <c r="L83" i="14" s="1"/>
  <c r="K94" i="14"/>
  <c r="J94" i="14"/>
  <c r="L94" i="14" s="1"/>
  <c r="K11" i="14"/>
  <c r="J11" i="14"/>
  <c r="L11" i="14" s="1"/>
  <c r="K21" i="14"/>
  <c r="G21" i="14"/>
  <c r="L21" i="14" s="1"/>
  <c r="K113" i="14"/>
  <c r="J113" i="14"/>
  <c r="L113" i="14" s="1"/>
  <c r="A82" i="14"/>
  <c r="A85" i="14"/>
  <c r="A87" i="14" s="1"/>
  <c r="A89" i="14" s="1"/>
  <c r="A162" i="14" s="1"/>
  <c r="A165" i="14" s="1"/>
  <c r="A167" i="14" s="1"/>
  <c r="A168" i="14" s="1"/>
  <c r="A170" i="14" s="1"/>
  <c r="K15" i="14"/>
  <c r="J15" i="14"/>
  <c r="L15" i="14" s="1"/>
  <c r="G170" i="14"/>
  <c r="L170" i="14" s="1"/>
  <c r="K170" i="14"/>
  <c r="J36" i="14"/>
  <c r="L36" i="14" s="1"/>
  <c r="K36" i="14"/>
  <c r="K74" i="14"/>
  <c r="G74" i="14"/>
  <c r="L74" i="14" s="1"/>
  <c r="G39" i="14"/>
  <c r="L39" i="14" s="1"/>
  <c r="K25" i="14"/>
  <c r="G25" i="14"/>
  <c r="L25" i="14" s="1"/>
  <c r="K33" i="14"/>
  <c r="G33" i="14"/>
  <c r="L33" i="14" s="1"/>
  <c r="G61" i="14"/>
  <c r="L61" i="14" s="1"/>
  <c r="K75" i="14"/>
  <c r="K134" i="14"/>
  <c r="J134" i="14"/>
  <c r="L134" i="14" s="1"/>
  <c r="K19" i="14"/>
  <c r="G19" i="14"/>
  <c r="L19" i="14" s="1"/>
  <c r="G49" i="14"/>
  <c r="L49" i="14" s="1"/>
  <c r="J98" i="14"/>
  <c r="L98" i="14" s="1"/>
  <c r="K143" i="14"/>
  <c r="J143" i="14"/>
  <c r="L143" i="14" s="1"/>
  <c r="K13" i="14"/>
  <c r="J13" i="14"/>
  <c r="L13" i="14" s="1"/>
  <c r="K20" i="14"/>
  <c r="G20" i="14"/>
  <c r="L20" i="14" s="1"/>
  <c r="G106" i="14"/>
  <c r="L106" i="14" s="1"/>
  <c r="K106" i="14"/>
  <c r="J125" i="14"/>
  <c r="L125" i="14" s="1"/>
  <c r="K125" i="14"/>
  <c r="K92" i="14"/>
  <c r="G92" i="14"/>
  <c r="L92" i="14" s="1"/>
  <c r="K121" i="14"/>
  <c r="J121" i="14"/>
  <c r="L121" i="14" s="1"/>
  <c r="G8" i="14"/>
  <c r="L8" i="14" s="1"/>
  <c r="K8" i="14"/>
  <c r="F172" i="14"/>
  <c r="G172" i="14" s="1"/>
  <c r="G57" i="14"/>
  <c r="L57" i="14" s="1"/>
  <c r="K93" i="14"/>
  <c r="J93" i="14"/>
  <c r="L93" i="14" s="1"/>
  <c r="I172" i="14"/>
  <c r="J172" i="14" s="1"/>
  <c r="K9" i="14"/>
  <c r="J9" i="14"/>
  <c r="L9" i="14" s="1"/>
  <c r="K72" i="14"/>
  <c r="J72" i="14"/>
  <c r="L72" i="14" s="1"/>
  <c r="K129" i="14"/>
  <c r="J129" i="14"/>
  <c r="L129" i="14" s="1"/>
  <c r="K153" i="14"/>
  <c r="J153" i="14"/>
  <c r="L153" i="14" s="1"/>
  <c r="J169" i="14"/>
  <c r="L169" i="14" s="1"/>
  <c r="K169" i="14"/>
  <c r="K151" i="14"/>
  <c r="J151" i="14"/>
  <c r="L151" i="14" s="1"/>
  <c r="J76" i="14"/>
  <c r="L76" i="14" s="1"/>
  <c r="K76" i="14"/>
  <c r="K22" i="14"/>
  <c r="G22" i="14"/>
  <c r="L22" i="14" s="1"/>
  <c r="G87" i="14"/>
  <c r="L87" i="14" s="1"/>
  <c r="G102" i="14"/>
  <c r="L102" i="14" s="1"/>
  <c r="G154" i="14"/>
  <c r="L154" i="14" s="1"/>
  <c r="K88" i="14"/>
  <c r="J88" i="14"/>
  <c r="L88" i="14" s="1"/>
  <c r="K103" i="14"/>
  <c r="J103" i="14"/>
  <c r="L103" i="14" s="1"/>
  <c r="J147" i="14"/>
  <c r="L147" i="14" s="1"/>
  <c r="K147" i="14"/>
  <c r="K81" i="14"/>
  <c r="J81" i="14"/>
  <c r="L81" i="14" s="1"/>
  <c r="G29" i="14"/>
  <c r="L29" i="14" s="1"/>
  <c r="J138" i="14"/>
  <c r="L138" i="14" s="1"/>
  <c r="K138" i="14"/>
  <c r="K37" i="14"/>
  <c r="J37" i="14"/>
  <c r="L37" i="14" s="1"/>
  <c r="G65" i="14"/>
  <c r="L65" i="14" s="1"/>
  <c r="K38" i="14"/>
  <c r="G53" i="14"/>
  <c r="L53" i="14" s="1"/>
  <c r="G80" i="14"/>
  <c r="L80" i="14" s="1"/>
  <c r="J110" i="14"/>
  <c r="L110" i="14" s="1"/>
  <c r="K110" i="14"/>
  <c r="J117" i="14"/>
  <c r="L117" i="14" s="1"/>
  <c r="K117" i="14"/>
  <c r="K171" i="14"/>
  <c r="J171" i="14"/>
  <c r="L171" i="14" s="1"/>
  <c r="G114" i="14"/>
  <c r="L114" i="14" s="1"/>
  <c r="J155" i="14"/>
  <c r="L155" i="14" s="1"/>
  <c r="G159" i="14"/>
  <c r="L159" i="14" s="1"/>
  <c r="J30" i="14"/>
  <c r="L30" i="14" s="1"/>
  <c r="K40" i="14"/>
  <c r="J46" i="14"/>
  <c r="L46" i="14" s="1"/>
  <c r="J50" i="14"/>
  <c r="L50" i="14" s="1"/>
  <c r="J54" i="14"/>
  <c r="L54" i="14" s="1"/>
  <c r="J58" i="14"/>
  <c r="L58" i="14" s="1"/>
  <c r="J62" i="14"/>
  <c r="L62" i="14" s="1"/>
  <c r="J66" i="14"/>
  <c r="L66" i="14" s="1"/>
  <c r="G85" i="14"/>
  <c r="L85" i="14" s="1"/>
  <c r="K95" i="14"/>
  <c r="K99" i="14"/>
  <c r="J107" i="14"/>
  <c r="L107" i="14" s="1"/>
  <c r="J111" i="14"/>
  <c r="L111" i="14" s="1"/>
  <c r="G118" i="14"/>
  <c r="L118" i="14" s="1"/>
  <c r="G122" i="14"/>
  <c r="L122" i="14" s="1"/>
  <c r="G126" i="14"/>
  <c r="L126" i="14" s="1"/>
  <c r="G131" i="14"/>
  <c r="L131" i="14" s="1"/>
  <c r="J135" i="14"/>
  <c r="L135" i="14" s="1"/>
  <c r="J139" i="14"/>
  <c r="L139" i="14" s="1"/>
  <c r="J144" i="14"/>
  <c r="L144" i="14" s="1"/>
  <c r="J148" i="14"/>
  <c r="L148" i="14" s="1"/>
  <c r="G165" i="14"/>
  <c r="L165" i="14" s="1"/>
  <c r="J26" i="14"/>
  <c r="L26" i="14" s="1"/>
  <c r="J34" i="14"/>
  <c r="L34" i="14" s="1"/>
  <c r="J42" i="14"/>
  <c r="L42" i="14" s="1"/>
  <c r="G96" i="14"/>
  <c r="L96" i="14" s="1"/>
  <c r="J100" i="14"/>
  <c r="L100" i="14" s="1"/>
  <c r="J115" i="14"/>
  <c r="L115" i="14" s="1"/>
  <c r="G23" i="14"/>
  <c r="L23" i="14" s="1"/>
  <c r="G31" i="14"/>
  <c r="L31" i="14" s="1"/>
  <c r="J86" i="14"/>
  <c r="L86" i="14" s="1"/>
  <c r="J112" i="14"/>
  <c r="L112" i="14" s="1"/>
  <c r="J166" i="14"/>
  <c r="L166" i="14" s="1"/>
  <c r="K172" i="14" l="1"/>
  <c r="L172" i="14" s="1"/>
  <c r="I178" i="13" l="1"/>
  <c r="K178" i="13" s="1"/>
  <c r="G177" i="13"/>
  <c r="L177" i="13" s="1"/>
  <c r="F177" i="13"/>
  <c r="K177" i="13" s="1"/>
  <c r="I176" i="13"/>
  <c r="K176" i="13" s="1"/>
  <c r="K175" i="13"/>
  <c r="F175" i="13"/>
  <c r="G175" i="13" s="1"/>
  <c r="L175" i="13" s="1"/>
  <c r="D174" i="13"/>
  <c r="F174" i="13" s="1"/>
  <c r="D173" i="13"/>
  <c r="I173" i="13" s="1"/>
  <c r="J173" i="13" s="1"/>
  <c r="L173" i="13" s="1"/>
  <c r="L172" i="13"/>
  <c r="K172" i="13"/>
  <c r="I172" i="13"/>
  <c r="J172" i="13" s="1"/>
  <c r="D172" i="13"/>
  <c r="I171" i="13"/>
  <c r="D171" i="13"/>
  <c r="D170" i="13"/>
  <c r="I170" i="13" s="1"/>
  <c r="J170" i="13" s="1"/>
  <c r="L170" i="13" s="1"/>
  <c r="D169" i="13"/>
  <c r="I169" i="13" s="1"/>
  <c r="J169" i="13" s="1"/>
  <c r="L169" i="13" s="1"/>
  <c r="I168" i="13"/>
  <c r="J168" i="13" s="1"/>
  <c r="L168" i="13" s="1"/>
  <c r="K167" i="13"/>
  <c r="J167" i="13"/>
  <c r="L167" i="13" s="1"/>
  <c r="I167" i="13"/>
  <c r="I166" i="13"/>
  <c r="K166" i="13" s="1"/>
  <c r="L165" i="13"/>
  <c r="K165" i="13"/>
  <c r="I165" i="13"/>
  <c r="J165" i="13" s="1"/>
  <c r="F164" i="13"/>
  <c r="G164" i="13" s="1"/>
  <c r="L164" i="13" s="1"/>
  <c r="I163" i="13"/>
  <c r="J163" i="13" s="1"/>
  <c r="L163" i="13" s="1"/>
  <c r="F162" i="13"/>
  <c r="K161" i="13"/>
  <c r="I161" i="13"/>
  <c r="J161" i="13" s="1"/>
  <c r="L161" i="13" s="1"/>
  <c r="F160" i="13"/>
  <c r="K160" i="13" s="1"/>
  <c r="L159" i="13"/>
  <c r="K159" i="13"/>
  <c r="I159" i="13"/>
  <c r="J159" i="13" s="1"/>
  <c r="K158" i="13"/>
  <c r="G158" i="13"/>
  <c r="L158" i="13" s="1"/>
  <c r="F158" i="13"/>
  <c r="H157" i="13"/>
  <c r="D157" i="13"/>
  <c r="H156" i="13"/>
  <c r="I156" i="13" s="1"/>
  <c r="J156" i="13" s="1"/>
  <c r="L156" i="13" s="1"/>
  <c r="K155" i="13"/>
  <c r="G155" i="13"/>
  <c r="L155" i="13" s="1"/>
  <c r="F155" i="13"/>
  <c r="D154" i="13"/>
  <c r="I154" i="13" s="1"/>
  <c r="F153" i="13"/>
  <c r="K153" i="13" s="1"/>
  <c r="I152" i="13"/>
  <c r="K152" i="13" s="1"/>
  <c r="D152" i="13"/>
  <c r="F151" i="13"/>
  <c r="K151" i="13" s="1"/>
  <c r="D149" i="13"/>
  <c r="I149" i="13" s="1"/>
  <c r="F148" i="13"/>
  <c r="D147" i="13"/>
  <c r="I147" i="13" s="1"/>
  <c r="K146" i="13"/>
  <c r="F146" i="13"/>
  <c r="G146" i="13" s="1"/>
  <c r="L146" i="13" s="1"/>
  <c r="I145" i="13"/>
  <c r="K145" i="13" s="1"/>
  <c r="K144" i="13"/>
  <c r="I144" i="13"/>
  <c r="J144" i="13" s="1"/>
  <c r="L144" i="13" s="1"/>
  <c r="F143" i="13"/>
  <c r="K143" i="13" s="1"/>
  <c r="K141" i="13"/>
  <c r="I141" i="13"/>
  <c r="J141" i="13" s="1"/>
  <c r="L141" i="13" s="1"/>
  <c r="F140" i="13"/>
  <c r="K139" i="13"/>
  <c r="I139" i="13"/>
  <c r="J139" i="13" s="1"/>
  <c r="L139" i="13" s="1"/>
  <c r="F138" i="13"/>
  <c r="K138" i="13" s="1"/>
  <c r="D137" i="13"/>
  <c r="F137" i="13" s="1"/>
  <c r="G137" i="13" s="1"/>
  <c r="L137" i="13" s="1"/>
  <c r="D136" i="13"/>
  <c r="I136" i="13" s="1"/>
  <c r="D135" i="13"/>
  <c r="I135" i="13" s="1"/>
  <c r="L134" i="13"/>
  <c r="K134" i="13"/>
  <c r="D134" i="13"/>
  <c r="I134" i="13" s="1"/>
  <c r="J134" i="13" s="1"/>
  <c r="K133" i="13"/>
  <c r="I133" i="13"/>
  <c r="J133" i="13" s="1"/>
  <c r="L133" i="13" s="1"/>
  <c r="D133" i="13"/>
  <c r="D132" i="13"/>
  <c r="I132" i="13" s="1"/>
  <c r="K131" i="13"/>
  <c r="J131" i="13"/>
  <c r="L131" i="13" s="1"/>
  <c r="I131" i="13"/>
  <c r="J130" i="13"/>
  <c r="L130" i="13" s="1"/>
  <c r="I130" i="13"/>
  <c r="K130" i="13" s="1"/>
  <c r="K129" i="13"/>
  <c r="I129" i="13"/>
  <c r="J129" i="13" s="1"/>
  <c r="L129" i="13" s="1"/>
  <c r="J128" i="13"/>
  <c r="L128" i="13" s="1"/>
  <c r="I128" i="13"/>
  <c r="K128" i="13" s="1"/>
  <c r="K127" i="13"/>
  <c r="G127" i="13"/>
  <c r="L127" i="13" s="1"/>
  <c r="F127" i="13"/>
  <c r="K126" i="13"/>
  <c r="J126" i="13"/>
  <c r="L126" i="13" s="1"/>
  <c r="I126" i="13"/>
  <c r="F125" i="13"/>
  <c r="K125" i="13" s="1"/>
  <c r="K124" i="13"/>
  <c r="J124" i="13"/>
  <c r="L124" i="13" s="1"/>
  <c r="I124" i="13"/>
  <c r="F123" i="13"/>
  <c r="K123" i="13" s="1"/>
  <c r="L122" i="13"/>
  <c r="K122" i="13"/>
  <c r="J122" i="13"/>
  <c r="I122" i="13"/>
  <c r="F121" i="13"/>
  <c r="H120" i="13"/>
  <c r="D120" i="13"/>
  <c r="I120" i="13" s="1"/>
  <c r="J120" i="13" s="1"/>
  <c r="L120" i="13" s="1"/>
  <c r="L119" i="13"/>
  <c r="K119" i="13"/>
  <c r="I119" i="13"/>
  <c r="J119" i="13" s="1"/>
  <c r="H119" i="13"/>
  <c r="G118" i="13"/>
  <c r="L118" i="13" s="1"/>
  <c r="F118" i="13"/>
  <c r="K118" i="13" s="1"/>
  <c r="D117" i="13"/>
  <c r="I117" i="13" s="1"/>
  <c r="K117" i="13" s="1"/>
  <c r="K116" i="13"/>
  <c r="G116" i="13"/>
  <c r="L116" i="13" s="1"/>
  <c r="F116" i="13"/>
  <c r="D115" i="13"/>
  <c r="I115" i="13" s="1"/>
  <c r="F114" i="13"/>
  <c r="K114" i="13" s="1"/>
  <c r="J112" i="13"/>
  <c r="L112" i="13" s="1"/>
  <c r="I112" i="13"/>
  <c r="K112" i="13" s="1"/>
  <c r="D112" i="13"/>
  <c r="F111" i="13"/>
  <c r="K111" i="13" s="1"/>
  <c r="D110" i="13"/>
  <c r="I110" i="13" s="1"/>
  <c r="F109" i="13"/>
  <c r="K108" i="13"/>
  <c r="I108" i="13"/>
  <c r="J108" i="13" s="1"/>
  <c r="L108" i="13" s="1"/>
  <c r="J107" i="13"/>
  <c r="L107" i="13" s="1"/>
  <c r="I107" i="13"/>
  <c r="K107" i="13" s="1"/>
  <c r="K106" i="13"/>
  <c r="G106" i="13"/>
  <c r="L106" i="13" s="1"/>
  <c r="F106" i="13"/>
  <c r="D104" i="13"/>
  <c r="I104" i="13" s="1"/>
  <c r="J104" i="13" s="1"/>
  <c r="L104" i="13" s="1"/>
  <c r="F103" i="13"/>
  <c r="K102" i="13"/>
  <c r="J102" i="13"/>
  <c r="L102" i="13" s="1"/>
  <c r="I102" i="13"/>
  <c r="D102" i="13"/>
  <c r="G101" i="13"/>
  <c r="L101" i="13" s="1"/>
  <c r="F101" i="13"/>
  <c r="K101" i="13" s="1"/>
  <c r="D100" i="13"/>
  <c r="I100" i="13" s="1"/>
  <c r="E99" i="13"/>
  <c r="F99" i="13" s="1"/>
  <c r="I98" i="13"/>
  <c r="K98" i="13" s="1"/>
  <c r="D98" i="13"/>
  <c r="F97" i="13"/>
  <c r="K97" i="13" s="1"/>
  <c r="F96" i="13"/>
  <c r="K96" i="13" s="1"/>
  <c r="I95" i="13"/>
  <c r="L94" i="13"/>
  <c r="K94" i="13"/>
  <c r="G94" i="13"/>
  <c r="F94" i="13"/>
  <c r="I93" i="13"/>
  <c r="J93" i="13" s="1"/>
  <c r="L93" i="13" s="1"/>
  <c r="K92" i="13"/>
  <c r="G92" i="13"/>
  <c r="L92" i="13" s="1"/>
  <c r="F92" i="13"/>
  <c r="H91" i="13"/>
  <c r="I91" i="13" s="1"/>
  <c r="K91" i="13" s="1"/>
  <c r="D91" i="13"/>
  <c r="H90" i="13"/>
  <c r="I90" i="13" s="1"/>
  <c r="K89" i="13"/>
  <c r="G89" i="13"/>
  <c r="L89" i="13" s="1"/>
  <c r="F89" i="13"/>
  <c r="K88" i="13"/>
  <c r="J88" i="13"/>
  <c r="L88" i="13" s="1"/>
  <c r="I88" i="13"/>
  <c r="F87" i="13"/>
  <c r="K87" i="13" s="1"/>
  <c r="J86" i="13"/>
  <c r="L86" i="13" s="1"/>
  <c r="I86" i="13"/>
  <c r="K86" i="13" s="1"/>
  <c r="F85" i="13"/>
  <c r="K85" i="13" s="1"/>
  <c r="L84" i="13"/>
  <c r="K84" i="13"/>
  <c r="G84" i="13"/>
  <c r="F84" i="13"/>
  <c r="D83" i="13"/>
  <c r="I83" i="13" s="1"/>
  <c r="L82" i="13"/>
  <c r="K82" i="13"/>
  <c r="G82" i="13"/>
  <c r="F82" i="13"/>
  <c r="L81" i="13"/>
  <c r="K81" i="13"/>
  <c r="I81" i="13"/>
  <c r="J81" i="13" s="1"/>
  <c r="F80" i="13"/>
  <c r="I79" i="13"/>
  <c r="K79" i="13" s="1"/>
  <c r="F78" i="13"/>
  <c r="K77" i="13"/>
  <c r="I77" i="13"/>
  <c r="J77" i="13" s="1"/>
  <c r="L77" i="13" s="1"/>
  <c r="F76" i="13"/>
  <c r="K76" i="13" s="1"/>
  <c r="L75" i="13"/>
  <c r="K75" i="13"/>
  <c r="J75" i="13"/>
  <c r="I75" i="13"/>
  <c r="K74" i="13"/>
  <c r="G74" i="13"/>
  <c r="L74" i="13" s="1"/>
  <c r="F74" i="13"/>
  <c r="I73" i="13"/>
  <c r="F72" i="13"/>
  <c r="K72" i="13" s="1"/>
  <c r="I71" i="13"/>
  <c r="L70" i="13"/>
  <c r="K70" i="13"/>
  <c r="G70" i="13"/>
  <c r="F70" i="13"/>
  <c r="I69" i="13"/>
  <c r="J69" i="13" s="1"/>
  <c r="L69" i="13" s="1"/>
  <c r="K68" i="13"/>
  <c r="G68" i="13"/>
  <c r="L68" i="13" s="1"/>
  <c r="F68" i="13"/>
  <c r="K67" i="13"/>
  <c r="J67" i="13"/>
  <c r="L67" i="13" s="1"/>
  <c r="I67" i="13"/>
  <c r="F66" i="13"/>
  <c r="K66" i="13" s="1"/>
  <c r="H65" i="13"/>
  <c r="I65" i="13" s="1"/>
  <c r="F64" i="13"/>
  <c r="H63" i="13"/>
  <c r="I63" i="13" s="1"/>
  <c r="J63" i="13" s="1"/>
  <c r="L63" i="13" s="1"/>
  <c r="F62" i="13"/>
  <c r="G62" i="13" s="1"/>
  <c r="L62" i="13" s="1"/>
  <c r="I61" i="13"/>
  <c r="K61" i="13" s="1"/>
  <c r="L60" i="13"/>
  <c r="K60" i="13"/>
  <c r="F60" i="13"/>
  <c r="G60" i="13" s="1"/>
  <c r="I58" i="13"/>
  <c r="K58" i="13" s="1"/>
  <c r="F57" i="13"/>
  <c r="K57" i="13" s="1"/>
  <c r="H56" i="13"/>
  <c r="D56" i="13"/>
  <c r="I56" i="13" s="1"/>
  <c r="H55" i="13"/>
  <c r="I55" i="13" s="1"/>
  <c r="L54" i="13"/>
  <c r="K54" i="13"/>
  <c r="G54" i="13"/>
  <c r="F54" i="13"/>
  <c r="F53" i="13"/>
  <c r="K53" i="13" s="1"/>
  <c r="I52" i="13"/>
  <c r="K52" i="13" s="1"/>
  <c r="F51" i="13"/>
  <c r="G51" i="13" s="1"/>
  <c r="L51" i="13" s="1"/>
  <c r="F50" i="13"/>
  <c r="K50" i="13" s="1"/>
  <c r="L49" i="13"/>
  <c r="J49" i="13"/>
  <c r="D49" i="13"/>
  <c r="I49" i="13" s="1"/>
  <c r="K49" i="13" s="1"/>
  <c r="F48" i="13"/>
  <c r="K48" i="13" s="1"/>
  <c r="L47" i="13"/>
  <c r="K47" i="13"/>
  <c r="J47" i="13"/>
  <c r="I47" i="13"/>
  <c r="D46" i="13"/>
  <c r="I46" i="13" s="1"/>
  <c r="J46" i="13" s="1"/>
  <c r="L46" i="13" s="1"/>
  <c r="F45" i="13"/>
  <c r="L43" i="13"/>
  <c r="K43" i="13"/>
  <c r="J43" i="13"/>
  <c r="I43" i="13"/>
  <c r="D43" i="13"/>
  <c r="F42" i="13"/>
  <c r="K42" i="13" s="1"/>
  <c r="D41" i="13"/>
  <c r="I41" i="13" s="1"/>
  <c r="F40" i="13"/>
  <c r="K40" i="13" s="1"/>
  <c r="F39" i="13"/>
  <c r="K38" i="13"/>
  <c r="D38" i="13"/>
  <c r="I38" i="13" s="1"/>
  <c r="J38" i="13" s="1"/>
  <c r="L38" i="13" s="1"/>
  <c r="F37" i="13"/>
  <c r="K37" i="13" s="1"/>
  <c r="I36" i="13"/>
  <c r="K36" i="13" s="1"/>
  <c r="F35" i="13"/>
  <c r="G35" i="13" s="1"/>
  <c r="L35" i="13" s="1"/>
  <c r="I34" i="13"/>
  <c r="K34" i="13" s="1"/>
  <c r="H34" i="13"/>
  <c r="K33" i="13"/>
  <c r="J33" i="13"/>
  <c r="L33" i="13" s="1"/>
  <c r="I33" i="13"/>
  <c r="F32" i="13"/>
  <c r="K32" i="13" s="1"/>
  <c r="I31" i="13"/>
  <c r="K31" i="13" s="1"/>
  <c r="F30" i="13"/>
  <c r="G30" i="13" s="1"/>
  <c r="L30" i="13" s="1"/>
  <c r="H28" i="13"/>
  <c r="I28" i="13" s="1"/>
  <c r="K27" i="13"/>
  <c r="G27" i="13"/>
  <c r="L27" i="13" s="1"/>
  <c r="F27" i="13"/>
  <c r="F25" i="13"/>
  <c r="K25" i="13" s="1"/>
  <c r="D24" i="13"/>
  <c r="I24" i="13" s="1"/>
  <c r="J24" i="13" s="1"/>
  <c r="L24" i="13" s="1"/>
  <c r="F23" i="13"/>
  <c r="G23" i="13" s="1"/>
  <c r="L23" i="13" s="1"/>
  <c r="F22" i="13"/>
  <c r="K22" i="13" s="1"/>
  <c r="K21" i="13"/>
  <c r="G21" i="13"/>
  <c r="L21" i="13" s="1"/>
  <c r="F21" i="13"/>
  <c r="D20" i="13"/>
  <c r="I20" i="13" s="1"/>
  <c r="J20" i="13" s="1"/>
  <c r="L20" i="13" s="1"/>
  <c r="F19" i="13"/>
  <c r="I18" i="13"/>
  <c r="K18" i="13" s="1"/>
  <c r="D18" i="13"/>
  <c r="G17" i="13"/>
  <c r="L17" i="13" s="1"/>
  <c r="F17" i="13"/>
  <c r="K17" i="13" s="1"/>
  <c r="F16" i="13"/>
  <c r="K16" i="13" s="1"/>
  <c r="F15" i="13"/>
  <c r="K15" i="13" s="1"/>
  <c r="F13" i="13"/>
  <c r="A13" i="13"/>
  <c r="A15" i="13" s="1"/>
  <c r="A16" i="13" s="1"/>
  <c r="A17" i="13" s="1"/>
  <c r="A19" i="13" s="1"/>
  <c r="A21" i="13" s="1"/>
  <c r="A22" i="13" s="1"/>
  <c r="A23" i="13" s="1"/>
  <c r="A25" i="13" s="1"/>
  <c r="A27" i="13" s="1"/>
  <c r="A30" i="13" s="1"/>
  <c r="A32" i="13" s="1"/>
  <c r="A35" i="13" s="1"/>
  <c r="K11" i="13"/>
  <c r="F11" i="13"/>
  <c r="G11" i="13" s="1"/>
  <c r="L11" i="13" s="1"/>
  <c r="E10" i="13"/>
  <c r="F10" i="13" s="1"/>
  <c r="A10" i="13"/>
  <c r="A11" i="13" s="1"/>
  <c r="F9" i="13"/>
  <c r="A9" i="13"/>
  <c r="K8" i="13"/>
  <c r="F8" i="13"/>
  <c r="K149" i="13" l="1"/>
  <c r="J149" i="13"/>
  <c r="L149" i="13" s="1"/>
  <c r="K174" i="13"/>
  <c r="G174" i="13"/>
  <c r="L174" i="13" s="1"/>
  <c r="J115" i="13"/>
  <c r="L115" i="13" s="1"/>
  <c r="K115" i="13"/>
  <c r="K65" i="13"/>
  <c r="J65" i="13"/>
  <c r="L65" i="13" s="1"/>
  <c r="K132" i="13"/>
  <c r="J132" i="13"/>
  <c r="L132" i="13" s="1"/>
  <c r="K90" i="13"/>
  <c r="J90" i="13"/>
  <c r="L90" i="13" s="1"/>
  <c r="G99" i="13"/>
  <c r="L99" i="13" s="1"/>
  <c r="K99" i="13"/>
  <c r="G10" i="13"/>
  <c r="L10" i="13" s="1"/>
  <c r="K10" i="13"/>
  <c r="J55" i="13"/>
  <c r="L55" i="13" s="1"/>
  <c r="K55" i="13"/>
  <c r="K83" i="13"/>
  <c r="J83" i="13"/>
  <c r="L83" i="13" s="1"/>
  <c r="K56" i="13"/>
  <c r="J56" i="13"/>
  <c r="L56" i="13" s="1"/>
  <c r="K110" i="13"/>
  <c r="J110" i="13"/>
  <c r="L110" i="13" s="1"/>
  <c r="A39" i="13"/>
  <c r="A40" i="13" s="1"/>
  <c r="A42" i="13" s="1"/>
  <c r="A45" i="13" s="1"/>
  <c r="A48" i="13" s="1"/>
  <c r="A50" i="13" s="1"/>
  <c r="A51" i="13" s="1"/>
  <c r="A53" i="13" s="1"/>
  <c r="A54" i="13" s="1"/>
  <c r="A57" i="13" s="1"/>
  <c r="A60" i="13" s="1"/>
  <c r="A62" i="13" s="1"/>
  <c r="A64" i="13" s="1"/>
  <c r="A66" i="13" s="1"/>
  <c r="A68" i="13" s="1"/>
  <c r="A70" i="13" s="1"/>
  <c r="A72" i="13" s="1"/>
  <c r="A74" i="13" s="1"/>
  <c r="A76" i="13" s="1"/>
  <c r="A78" i="13" s="1"/>
  <c r="A80" i="13" s="1"/>
  <c r="A82" i="13" s="1"/>
  <c r="A84" i="13" s="1"/>
  <c r="A85" i="13" s="1"/>
  <c r="A87" i="13" s="1"/>
  <c r="A89" i="13" s="1"/>
  <c r="A92" i="13" s="1"/>
  <c r="A94" i="13" s="1"/>
  <c r="A96" i="13" s="1"/>
  <c r="A97" i="13" s="1"/>
  <c r="A99" i="13" s="1"/>
  <c r="A101" i="13" s="1"/>
  <c r="A103" i="13" s="1"/>
  <c r="A106" i="13" s="1"/>
  <c r="A109" i="13" s="1"/>
  <c r="A111" i="13" s="1"/>
  <c r="A114" i="13" s="1"/>
  <c r="A116" i="13" s="1"/>
  <c r="A118" i="13" s="1"/>
  <c r="A121" i="13" s="1"/>
  <c r="A123" i="13" s="1"/>
  <c r="A125" i="13" s="1"/>
  <c r="A127" i="13" s="1"/>
  <c r="A137" i="13" s="1"/>
  <c r="A138" i="13" s="1"/>
  <c r="A140" i="13" s="1"/>
  <c r="A143" i="13" s="1"/>
  <c r="A146" i="13" s="1"/>
  <c r="A148" i="13" s="1"/>
  <c r="A151" i="13" s="1"/>
  <c r="A153" i="13" s="1"/>
  <c r="A155" i="13" s="1"/>
  <c r="A158" i="13" s="1"/>
  <c r="A160" i="13" s="1"/>
  <c r="A162" i="13" s="1"/>
  <c r="A164" i="13" s="1"/>
  <c r="A174" i="13" s="1"/>
  <c r="A175" i="13" s="1"/>
  <c r="A177" i="13" s="1"/>
  <c r="A37" i="13"/>
  <c r="K135" i="13"/>
  <c r="J135" i="13"/>
  <c r="L135" i="13" s="1"/>
  <c r="J34" i="13"/>
  <c r="L34" i="13" s="1"/>
  <c r="K156" i="13"/>
  <c r="K51" i="13"/>
  <c r="K120" i="13"/>
  <c r="K30" i="13"/>
  <c r="J79" i="13"/>
  <c r="L79" i="13" s="1"/>
  <c r="K93" i="13"/>
  <c r="K169" i="13"/>
  <c r="K104" i="13"/>
  <c r="J117" i="13"/>
  <c r="L117" i="13" s="1"/>
  <c r="G48" i="13"/>
  <c r="L48" i="13" s="1"/>
  <c r="J58" i="13"/>
  <c r="L58" i="13" s="1"/>
  <c r="K69" i="13"/>
  <c r="G80" i="13"/>
  <c r="L80" i="13" s="1"/>
  <c r="K80" i="13"/>
  <c r="G138" i="13"/>
  <c r="L138" i="13" s="1"/>
  <c r="K170" i="13"/>
  <c r="G72" i="13"/>
  <c r="L72" i="13" s="1"/>
  <c r="G40" i="13"/>
  <c r="L40" i="13" s="1"/>
  <c r="K46" i="13"/>
  <c r="K62" i="13"/>
  <c r="K173" i="13"/>
  <c r="K23" i="13"/>
  <c r="K73" i="13"/>
  <c r="J73" i="13"/>
  <c r="L73" i="13" s="1"/>
  <c r="K41" i="13"/>
  <c r="J41" i="13"/>
  <c r="L41" i="13" s="1"/>
  <c r="K63" i="13"/>
  <c r="J98" i="13"/>
  <c r="L98" i="13" s="1"/>
  <c r="K137" i="13"/>
  <c r="I157" i="13"/>
  <c r="I179" i="13" s="1"/>
  <c r="J179" i="13" s="1"/>
  <c r="G64" i="13"/>
  <c r="L64" i="13" s="1"/>
  <c r="K64" i="13"/>
  <c r="G42" i="13"/>
  <c r="L42" i="13" s="1"/>
  <c r="F179" i="13"/>
  <c r="G179" i="13" s="1"/>
  <c r="G15" i="13"/>
  <c r="L15" i="13" s="1"/>
  <c r="G37" i="13"/>
  <c r="L37" i="13" s="1"/>
  <c r="G53" i="13"/>
  <c r="L53" i="13" s="1"/>
  <c r="K20" i="13"/>
  <c r="G25" i="13"/>
  <c r="L25" i="13" s="1"/>
  <c r="G32" i="13"/>
  <c r="L32" i="13" s="1"/>
  <c r="G153" i="13"/>
  <c r="L153" i="13" s="1"/>
  <c r="G57" i="13"/>
  <c r="L57" i="13" s="1"/>
  <c r="K24" i="13"/>
  <c r="K163" i="13"/>
  <c r="K19" i="13"/>
  <c r="G19" i="13"/>
  <c r="L19" i="13" s="1"/>
  <c r="K121" i="13"/>
  <c r="G121" i="13"/>
  <c r="L121" i="13" s="1"/>
  <c r="J152" i="13"/>
  <c r="L152" i="13" s="1"/>
  <c r="K95" i="13"/>
  <c r="J95" i="13"/>
  <c r="L95" i="13" s="1"/>
  <c r="K100" i="13"/>
  <c r="J100" i="13"/>
  <c r="L100" i="13" s="1"/>
  <c r="K162" i="13"/>
  <c r="G162" i="13"/>
  <c r="L162" i="13" s="1"/>
  <c r="G103" i="13"/>
  <c r="L103" i="13" s="1"/>
  <c r="K103" i="13"/>
  <c r="G13" i="13"/>
  <c r="L13" i="13" s="1"/>
  <c r="K13" i="13"/>
  <c r="K9" i="13"/>
  <c r="G9" i="13"/>
  <c r="L9" i="13" s="1"/>
  <c r="K171" i="13"/>
  <c r="J171" i="13"/>
  <c r="L171" i="13" s="1"/>
  <c r="K28" i="13"/>
  <c r="J28" i="13"/>
  <c r="L28" i="13" s="1"/>
  <c r="G109" i="13"/>
  <c r="L109" i="13" s="1"/>
  <c r="K109" i="13"/>
  <c r="K35" i="13"/>
  <c r="G22" i="13"/>
  <c r="L22" i="13" s="1"/>
  <c r="K136" i="13"/>
  <c r="J136" i="13"/>
  <c r="L136" i="13" s="1"/>
  <c r="J18" i="13"/>
  <c r="L18" i="13" s="1"/>
  <c r="G78" i="13"/>
  <c r="L78" i="13" s="1"/>
  <c r="K78" i="13"/>
  <c r="G140" i="13"/>
  <c r="L140" i="13" s="1"/>
  <c r="K140" i="13"/>
  <c r="K147" i="13"/>
  <c r="J147" i="13"/>
  <c r="L147" i="13" s="1"/>
  <c r="J154" i="13"/>
  <c r="L154" i="13" s="1"/>
  <c r="K154" i="13"/>
  <c r="J71" i="13"/>
  <c r="L71" i="13" s="1"/>
  <c r="K71" i="13"/>
  <c r="G76" i="13"/>
  <c r="L76" i="13" s="1"/>
  <c r="J91" i="13"/>
  <c r="L91" i="13" s="1"/>
  <c r="G96" i="13"/>
  <c r="L96" i="13" s="1"/>
  <c r="G114" i="13"/>
  <c r="L114" i="13" s="1"/>
  <c r="G39" i="13"/>
  <c r="L39" i="13" s="1"/>
  <c r="K39" i="13"/>
  <c r="G45" i="13"/>
  <c r="L45" i="13" s="1"/>
  <c r="K45" i="13"/>
  <c r="K148" i="13"/>
  <c r="G148" i="13"/>
  <c r="L148" i="13" s="1"/>
  <c r="G160" i="13"/>
  <c r="L160" i="13" s="1"/>
  <c r="G143" i="13"/>
  <c r="L143" i="13" s="1"/>
  <c r="G97" i="13"/>
  <c r="L97" i="13" s="1"/>
  <c r="G111" i="13"/>
  <c r="L111" i="13" s="1"/>
  <c r="G125" i="13"/>
  <c r="L125" i="13" s="1"/>
  <c r="G151" i="13"/>
  <c r="L151" i="13" s="1"/>
  <c r="K164" i="13"/>
  <c r="K168" i="13"/>
  <c r="J178" i="13"/>
  <c r="L178" i="13" s="1"/>
  <c r="G16" i="13"/>
  <c r="L16" i="13" s="1"/>
  <c r="J31" i="13"/>
  <c r="L31" i="13" s="1"/>
  <c r="J52" i="13"/>
  <c r="L52" i="13" s="1"/>
  <c r="G66" i="13"/>
  <c r="L66" i="13" s="1"/>
  <c r="G87" i="13"/>
  <c r="L87" i="13" s="1"/>
  <c r="G8" i="13"/>
  <c r="L8" i="13" s="1"/>
  <c r="J36" i="13"/>
  <c r="L36" i="13" s="1"/>
  <c r="G50" i="13"/>
  <c r="L50" i="13" s="1"/>
  <c r="J61" i="13"/>
  <c r="L61" i="13" s="1"/>
  <c r="G85" i="13"/>
  <c r="L85" i="13" s="1"/>
  <c r="G123" i="13"/>
  <c r="L123" i="13" s="1"/>
  <c r="J145" i="13"/>
  <c r="L145" i="13" s="1"/>
  <c r="J166" i="13"/>
  <c r="L166" i="13" s="1"/>
  <c r="J176" i="13"/>
  <c r="L176" i="13" s="1"/>
  <c r="J157" i="13" l="1"/>
  <c r="L157" i="13" s="1"/>
  <c r="K157" i="13"/>
  <c r="K179" i="13" s="1"/>
  <c r="L179" i="13" s="1"/>
  <c r="J122" i="12" l="1"/>
  <c r="L122" i="12" s="1"/>
  <c r="I122" i="12"/>
  <c r="K122" i="12" s="1"/>
  <c r="F121" i="12"/>
  <c r="K121" i="12" s="1"/>
  <c r="H120" i="12"/>
  <c r="I120" i="12" s="1"/>
  <c r="F119" i="12"/>
  <c r="K119" i="12" s="1"/>
  <c r="I118" i="12"/>
  <c r="J118" i="12" s="1"/>
  <c r="L118" i="12" s="1"/>
  <c r="K117" i="12"/>
  <c r="G117" i="12"/>
  <c r="L117" i="12" s="1"/>
  <c r="F117" i="12"/>
  <c r="H116" i="12"/>
  <c r="I116" i="12" s="1"/>
  <c r="F115" i="12"/>
  <c r="K115" i="12" s="1"/>
  <c r="I114" i="12"/>
  <c r="J114" i="12" s="1"/>
  <c r="L114" i="12" s="1"/>
  <c r="F113" i="12"/>
  <c r="K113" i="12" s="1"/>
  <c r="F111" i="12"/>
  <c r="K111" i="12" s="1"/>
  <c r="F110" i="12"/>
  <c r="K110" i="12" s="1"/>
  <c r="D109" i="12"/>
  <c r="I109" i="12" s="1"/>
  <c r="E108" i="12"/>
  <c r="F108" i="12" s="1"/>
  <c r="D107" i="12"/>
  <c r="I107" i="12" s="1"/>
  <c r="K106" i="12"/>
  <c r="F106" i="12"/>
  <c r="G106" i="12" s="1"/>
  <c r="L106" i="12" s="1"/>
  <c r="H105" i="12"/>
  <c r="I105" i="12" s="1"/>
  <c r="D105" i="12"/>
  <c r="H104" i="12"/>
  <c r="I104" i="12" s="1"/>
  <c r="D104" i="12"/>
  <c r="D103" i="12"/>
  <c r="F103" i="12" s="1"/>
  <c r="H102" i="12"/>
  <c r="I102" i="12" s="1"/>
  <c r="D102" i="12"/>
  <c r="I101" i="12"/>
  <c r="K101" i="12" s="1"/>
  <c r="H101" i="12"/>
  <c r="F100" i="12"/>
  <c r="K100" i="12" s="1"/>
  <c r="J99" i="12"/>
  <c r="L99" i="12" s="1"/>
  <c r="I99" i="12"/>
  <c r="K99" i="12" s="1"/>
  <c r="F98" i="12"/>
  <c r="G98" i="12" s="1"/>
  <c r="L98" i="12" s="1"/>
  <c r="D97" i="12"/>
  <c r="I97" i="12" s="1"/>
  <c r="F96" i="12"/>
  <c r="K96" i="12" s="1"/>
  <c r="I95" i="12"/>
  <c r="K95" i="12" s="1"/>
  <c r="K94" i="12"/>
  <c r="G94" i="12"/>
  <c r="L94" i="12" s="1"/>
  <c r="F94" i="12"/>
  <c r="K93" i="12"/>
  <c r="J93" i="12"/>
  <c r="L93" i="12" s="1"/>
  <c r="I93" i="12"/>
  <c r="G92" i="12"/>
  <c r="L92" i="12" s="1"/>
  <c r="F92" i="12"/>
  <c r="K92" i="12" s="1"/>
  <c r="D91" i="12"/>
  <c r="I91" i="12" s="1"/>
  <c r="F90" i="12"/>
  <c r="K90" i="12" s="1"/>
  <c r="I89" i="12"/>
  <c r="K89" i="12" s="1"/>
  <c r="D89" i="12"/>
  <c r="F88" i="12"/>
  <c r="G88" i="12" s="1"/>
  <c r="L88" i="12" s="1"/>
  <c r="K87" i="12"/>
  <c r="F87" i="12"/>
  <c r="G87" i="12" s="1"/>
  <c r="L87" i="12" s="1"/>
  <c r="F86" i="12"/>
  <c r="K86" i="12" s="1"/>
  <c r="F85" i="12"/>
  <c r="G85" i="12" s="1"/>
  <c r="L85" i="12" s="1"/>
  <c r="D84" i="12"/>
  <c r="I84" i="12" s="1"/>
  <c r="L83" i="12"/>
  <c r="K83" i="12"/>
  <c r="G83" i="12"/>
  <c r="F83" i="12"/>
  <c r="H82" i="12"/>
  <c r="I82" i="12" s="1"/>
  <c r="K81" i="12"/>
  <c r="G81" i="12"/>
  <c r="L81" i="12" s="1"/>
  <c r="F81" i="12"/>
  <c r="K80" i="12"/>
  <c r="J80" i="12"/>
  <c r="L80" i="12" s="1"/>
  <c r="I80" i="12"/>
  <c r="D80" i="12"/>
  <c r="F79" i="12"/>
  <c r="K79" i="12" s="1"/>
  <c r="F78" i="12"/>
  <c r="K78" i="12" s="1"/>
  <c r="I76" i="12"/>
  <c r="K76" i="12" s="1"/>
  <c r="D76" i="12"/>
  <c r="G75" i="12"/>
  <c r="L75" i="12" s="1"/>
  <c r="F75" i="12"/>
  <c r="K75" i="12" s="1"/>
  <c r="D74" i="12"/>
  <c r="I74" i="12" s="1"/>
  <c r="F73" i="12"/>
  <c r="K73" i="12" s="1"/>
  <c r="I72" i="12"/>
  <c r="K72" i="12" s="1"/>
  <c r="D72" i="12"/>
  <c r="E71" i="12"/>
  <c r="F71" i="12" s="1"/>
  <c r="D70" i="12"/>
  <c r="I70" i="12" s="1"/>
  <c r="F69" i="12"/>
  <c r="K69" i="12" s="1"/>
  <c r="D68" i="12"/>
  <c r="I68" i="12" s="1"/>
  <c r="K67" i="12"/>
  <c r="F67" i="12"/>
  <c r="G67" i="12" s="1"/>
  <c r="L67" i="12" s="1"/>
  <c r="K66" i="12"/>
  <c r="I66" i="12"/>
  <c r="J66" i="12" s="1"/>
  <c r="L66" i="12" s="1"/>
  <c r="F65" i="12"/>
  <c r="K65" i="12" s="1"/>
  <c r="K64" i="12"/>
  <c r="J64" i="12"/>
  <c r="L64" i="12" s="1"/>
  <c r="I64" i="12"/>
  <c r="F63" i="12"/>
  <c r="K63" i="12" s="1"/>
  <c r="D63" i="12"/>
  <c r="I62" i="12"/>
  <c r="K62" i="12" s="1"/>
  <c r="F61" i="12"/>
  <c r="G61" i="12" s="1"/>
  <c r="L61" i="12" s="1"/>
  <c r="I60" i="12"/>
  <c r="K60" i="12" s="1"/>
  <c r="K59" i="12"/>
  <c r="F59" i="12"/>
  <c r="G59" i="12" s="1"/>
  <c r="L59" i="12" s="1"/>
  <c r="H58" i="12"/>
  <c r="I58" i="12" s="1"/>
  <c r="D57" i="12"/>
  <c r="F57" i="12" s="1"/>
  <c r="H56" i="12"/>
  <c r="I56" i="12" s="1"/>
  <c r="F55" i="12"/>
  <c r="G55" i="12" s="1"/>
  <c r="L55" i="12" s="1"/>
  <c r="H54" i="12"/>
  <c r="I54" i="12" s="1"/>
  <c r="L53" i="12"/>
  <c r="K53" i="12"/>
  <c r="G53" i="12"/>
  <c r="F53" i="12"/>
  <c r="D51" i="12"/>
  <c r="I51" i="12" s="1"/>
  <c r="K50" i="12"/>
  <c r="G50" i="12"/>
  <c r="L50" i="12" s="1"/>
  <c r="F50" i="12"/>
  <c r="K49" i="12"/>
  <c r="J49" i="12"/>
  <c r="L49" i="12" s="1"/>
  <c r="I49" i="12"/>
  <c r="D49" i="12"/>
  <c r="F48" i="12"/>
  <c r="K48" i="12" s="1"/>
  <c r="I47" i="12"/>
  <c r="K47" i="12" s="1"/>
  <c r="D47" i="12"/>
  <c r="F46" i="12"/>
  <c r="K46" i="12" s="1"/>
  <c r="J45" i="12"/>
  <c r="L45" i="12" s="1"/>
  <c r="I45" i="12"/>
  <c r="K45" i="12" s="1"/>
  <c r="F44" i="12"/>
  <c r="G44" i="12" s="1"/>
  <c r="L44" i="12" s="1"/>
  <c r="K43" i="12"/>
  <c r="I43" i="12"/>
  <c r="J43" i="12" s="1"/>
  <c r="L43" i="12" s="1"/>
  <c r="K42" i="12"/>
  <c r="G42" i="12"/>
  <c r="L42" i="12" s="1"/>
  <c r="F42" i="12"/>
  <c r="D40" i="12"/>
  <c r="I40" i="12" s="1"/>
  <c r="K39" i="12"/>
  <c r="G39" i="12"/>
  <c r="L39" i="12" s="1"/>
  <c r="F39" i="12"/>
  <c r="J38" i="12"/>
  <c r="L38" i="12" s="1"/>
  <c r="I38" i="12"/>
  <c r="K38" i="12" s="1"/>
  <c r="D38" i="12"/>
  <c r="F37" i="12"/>
  <c r="K37" i="12" s="1"/>
  <c r="I35" i="12"/>
  <c r="J35" i="12" s="1"/>
  <c r="L35" i="12" s="1"/>
  <c r="D34" i="12"/>
  <c r="I34" i="12" s="1"/>
  <c r="I33" i="12"/>
  <c r="K33" i="12" s="1"/>
  <c r="F32" i="12"/>
  <c r="K32" i="12" s="1"/>
  <c r="D31" i="12"/>
  <c r="I31" i="12" s="1"/>
  <c r="K30" i="12"/>
  <c r="G30" i="12"/>
  <c r="L30" i="12" s="1"/>
  <c r="F30" i="12"/>
  <c r="F28" i="12"/>
  <c r="G28" i="12" s="1"/>
  <c r="L28" i="12" s="1"/>
  <c r="K26" i="12"/>
  <c r="J26" i="12"/>
  <c r="L26" i="12" s="1"/>
  <c r="I26" i="12"/>
  <c r="D26" i="12"/>
  <c r="G25" i="12"/>
  <c r="L25" i="12" s="1"/>
  <c r="F25" i="12"/>
  <c r="K25" i="12" s="1"/>
  <c r="D24" i="12"/>
  <c r="I24" i="12" s="1"/>
  <c r="F23" i="12"/>
  <c r="G23" i="12" s="1"/>
  <c r="L23" i="12" s="1"/>
  <c r="F22" i="12"/>
  <c r="K22" i="12" s="1"/>
  <c r="G21" i="12"/>
  <c r="L21" i="12" s="1"/>
  <c r="F21" i="12"/>
  <c r="K21" i="12" s="1"/>
  <c r="F19" i="12"/>
  <c r="K19" i="12" s="1"/>
  <c r="F17" i="12"/>
  <c r="K17" i="12" s="1"/>
  <c r="F16" i="12"/>
  <c r="K16" i="12" s="1"/>
  <c r="D15" i="12"/>
  <c r="I15" i="12" s="1"/>
  <c r="K14" i="12"/>
  <c r="F14" i="12"/>
  <c r="G14" i="12" s="1"/>
  <c r="L14" i="12" s="1"/>
  <c r="D13" i="12"/>
  <c r="I13" i="12" s="1"/>
  <c r="F12" i="12"/>
  <c r="K12" i="12" s="1"/>
  <c r="D11" i="12"/>
  <c r="I11" i="12" s="1"/>
  <c r="K10" i="12"/>
  <c r="G10" i="12"/>
  <c r="L10" i="12" s="1"/>
  <c r="F10" i="12"/>
  <c r="F9" i="12"/>
  <c r="G9" i="12" s="1"/>
  <c r="L9" i="12" s="1"/>
  <c r="A9" i="12"/>
  <c r="A10" i="12" s="1"/>
  <c r="A12" i="12" s="1"/>
  <c r="A14" i="12" s="1"/>
  <c r="A16" i="12" s="1"/>
  <c r="A17" i="12" s="1"/>
  <c r="A19" i="12" s="1"/>
  <c r="A21" i="12" s="1"/>
  <c r="A22" i="12" s="1"/>
  <c r="A23" i="12" s="1"/>
  <c r="A25" i="12" s="1"/>
  <c r="A28" i="12" s="1"/>
  <c r="A30" i="12" s="1"/>
  <c r="A32" i="12" s="1"/>
  <c r="A37" i="12" s="1"/>
  <c r="A39" i="12" s="1"/>
  <c r="A42" i="12" s="1"/>
  <c r="A44" i="12" s="1"/>
  <c r="A46" i="12" s="1"/>
  <c r="A48" i="12" s="1"/>
  <c r="A50" i="12" s="1"/>
  <c r="A53" i="12" s="1"/>
  <c r="A55" i="12" s="1"/>
  <c r="A57" i="12" s="1"/>
  <c r="A59" i="12" s="1"/>
  <c r="A61" i="12" s="1"/>
  <c r="A63" i="12" s="1"/>
  <c r="A65" i="12" s="1"/>
  <c r="A67" i="12" s="1"/>
  <c r="A69" i="12" s="1"/>
  <c r="A71" i="12" s="1"/>
  <c r="A73" i="12" s="1"/>
  <c r="A75" i="12" s="1"/>
  <c r="A78" i="12" s="1"/>
  <c r="A79" i="12" s="1"/>
  <c r="A81" i="12" s="1"/>
  <c r="A83" i="12" s="1"/>
  <c r="A85" i="12" s="1"/>
  <c r="A86" i="12" s="1"/>
  <c r="A87" i="12" s="1"/>
  <c r="A88" i="12" s="1"/>
  <c r="A90" i="12" s="1"/>
  <c r="A92" i="12" s="1"/>
  <c r="A94" i="12" s="1"/>
  <c r="A96" i="12" s="1"/>
  <c r="A98" i="12" s="1"/>
  <c r="A100" i="12" s="1"/>
  <c r="A103" i="12" s="1"/>
  <c r="A106" i="12" s="1"/>
  <c r="A108" i="12" s="1"/>
  <c r="A110" i="12" s="1"/>
  <c r="A111" i="12" s="1"/>
  <c r="A113" i="12" s="1"/>
  <c r="A115" i="12" s="1"/>
  <c r="A117" i="12" s="1"/>
  <c r="A119" i="12" s="1"/>
  <c r="A121" i="12" s="1"/>
  <c r="G8" i="12"/>
  <c r="L8" i="12" s="1"/>
  <c r="F8" i="12"/>
  <c r="D8" i="12"/>
  <c r="J68" i="12" l="1"/>
  <c r="L68" i="12" s="1"/>
  <c r="K68" i="12"/>
  <c r="K70" i="12"/>
  <c r="J70" i="12"/>
  <c r="L70" i="12" s="1"/>
  <c r="K91" i="12"/>
  <c r="J91" i="12"/>
  <c r="L91" i="12" s="1"/>
  <c r="K82" i="12"/>
  <c r="J82" i="12"/>
  <c r="L82" i="12" s="1"/>
  <c r="K102" i="12"/>
  <c r="J102" i="12"/>
  <c r="L102" i="12" s="1"/>
  <c r="J116" i="12"/>
  <c r="L116" i="12" s="1"/>
  <c r="K116" i="12"/>
  <c r="K108" i="12"/>
  <c r="G108" i="12"/>
  <c r="L108" i="12" s="1"/>
  <c r="J31" i="12"/>
  <c r="L31" i="12" s="1"/>
  <c r="K31" i="12"/>
  <c r="K51" i="12"/>
  <c r="J51" i="12"/>
  <c r="L51" i="12" s="1"/>
  <c r="J74" i="12"/>
  <c r="L74" i="12" s="1"/>
  <c r="K74" i="12"/>
  <c r="K103" i="12"/>
  <c r="G103" i="12"/>
  <c r="L103" i="12" s="1"/>
  <c r="K109" i="12"/>
  <c r="J109" i="12"/>
  <c r="L109" i="12" s="1"/>
  <c r="J15" i="12"/>
  <c r="L15" i="12" s="1"/>
  <c r="K15" i="12"/>
  <c r="J11" i="12"/>
  <c r="L11" i="12" s="1"/>
  <c r="I123" i="12"/>
  <c r="J123" i="12" s="1"/>
  <c r="K11" i="12"/>
  <c r="J40" i="12"/>
  <c r="L40" i="12" s="1"/>
  <c r="K40" i="12"/>
  <c r="F123" i="12"/>
  <c r="G123" i="12" s="1"/>
  <c r="J104" i="12"/>
  <c r="L104" i="12" s="1"/>
  <c r="K104" i="12"/>
  <c r="G71" i="12"/>
  <c r="L71" i="12" s="1"/>
  <c r="K71" i="12"/>
  <c r="K34" i="12"/>
  <c r="J34" i="12"/>
  <c r="L34" i="12" s="1"/>
  <c r="J84" i="12"/>
  <c r="L84" i="12" s="1"/>
  <c r="K84" i="12"/>
  <c r="K105" i="12"/>
  <c r="J105" i="12"/>
  <c r="L105" i="12" s="1"/>
  <c r="G57" i="12"/>
  <c r="L57" i="12" s="1"/>
  <c r="K57" i="12"/>
  <c r="K13" i="12"/>
  <c r="J13" i="12"/>
  <c r="L13" i="12" s="1"/>
  <c r="K120" i="12"/>
  <c r="J120" i="12"/>
  <c r="L120" i="12" s="1"/>
  <c r="J58" i="12"/>
  <c r="L58" i="12" s="1"/>
  <c r="K58" i="12"/>
  <c r="K24" i="12"/>
  <c r="J24" i="12"/>
  <c r="L24" i="12" s="1"/>
  <c r="J54" i="12"/>
  <c r="L54" i="12" s="1"/>
  <c r="K54" i="12"/>
  <c r="K56" i="12"/>
  <c r="J56" i="12"/>
  <c r="L56" i="12" s="1"/>
  <c r="K97" i="12"/>
  <c r="J97" i="12"/>
  <c r="L97" i="12" s="1"/>
  <c r="J107" i="12"/>
  <c r="L107" i="12" s="1"/>
  <c r="K107" i="12"/>
  <c r="K23" i="12"/>
  <c r="K114" i="12"/>
  <c r="G32" i="12"/>
  <c r="L32" i="12" s="1"/>
  <c r="K44" i="12"/>
  <c r="J95" i="12"/>
  <c r="L95" i="12" s="1"/>
  <c r="K98" i="12"/>
  <c r="K55" i="12"/>
  <c r="G65" i="12"/>
  <c r="L65" i="12" s="1"/>
  <c r="K85" i="12"/>
  <c r="K118" i="12"/>
  <c r="K9" i="12"/>
  <c r="K28" i="12"/>
  <c r="G37" i="12"/>
  <c r="L37" i="12" s="1"/>
  <c r="G48" i="12"/>
  <c r="L48" i="12" s="1"/>
  <c r="J62" i="12"/>
  <c r="L62" i="12" s="1"/>
  <c r="G79" i="12"/>
  <c r="L79" i="12" s="1"/>
  <c r="G115" i="12"/>
  <c r="L115" i="12" s="1"/>
  <c r="K8" i="12"/>
  <c r="G78" i="12"/>
  <c r="L78" i="12" s="1"/>
  <c r="G19" i="12"/>
  <c r="L19" i="12" s="1"/>
  <c r="K35" i="12"/>
  <c r="G121" i="12"/>
  <c r="L121" i="12" s="1"/>
  <c r="G16" i="12"/>
  <c r="L16" i="12" s="1"/>
  <c r="J33" i="12"/>
  <c r="L33" i="12" s="1"/>
  <c r="G69" i="12"/>
  <c r="L69" i="12" s="1"/>
  <c r="J72" i="12"/>
  <c r="L72" i="12" s="1"/>
  <c r="J89" i="12"/>
  <c r="L89" i="12" s="1"/>
  <c r="G111" i="12"/>
  <c r="L111" i="12" s="1"/>
  <c r="J101" i="12"/>
  <c r="L101" i="12" s="1"/>
  <c r="G12" i="12"/>
  <c r="L12" i="12" s="1"/>
  <c r="K88" i="12"/>
  <c r="G86" i="12"/>
  <c r="L86" i="12" s="1"/>
  <c r="G96" i="12"/>
  <c r="L96" i="12" s="1"/>
  <c r="G119" i="12"/>
  <c r="L119" i="12" s="1"/>
  <c r="J47" i="12"/>
  <c r="L47" i="12" s="1"/>
  <c r="G110" i="12"/>
  <c r="L110" i="12" s="1"/>
  <c r="K61" i="12"/>
  <c r="G22" i="12"/>
  <c r="L22" i="12" s="1"/>
  <c r="G46" i="12"/>
  <c r="L46" i="12" s="1"/>
  <c r="G63" i="12"/>
  <c r="L63" i="12" s="1"/>
  <c r="J76" i="12"/>
  <c r="L76" i="12" s="1"/>
  <c r="G100" i="12"/>
  <c r="L100" i="12" s="1"/>
  <c r="G17" i="12"/>
  <c r="L17" i="12" s="1"/>
  <c r="J60" i="12"/>
  <c r="L60" i="12" s="1"/>
  <c r="G73" i="12"/>
  <c r="L73" i="12" s="1"/>
  <c r="G90" i="12"/>
  <c r="L90" i="12" s="1"/>
  <c r="G113" i="12"/>
  <c r="L113" i="12" s="1"/>
  <c r="K123" i="12" l="1"/>
  <c r="L123" i="12" s="1"/>
  <c r="F75" i="11" l="1"/>
  <c r="K75" i="11" s="1"/>
  <c r="F73" i="11"/>
  <c r="K73" i="11" s="1"/>
  <c r="K72" i="11"/>
  <c r="J72" i="11"/>
  <c r="L72" i="11" s="1"/>
  <c r="I72" i="11"/>
  <c r="K71" i="11"/>
  <c r="G71" i="11"/>
  <c r="L71" i="11" s="1"/>
  <c r="F71" i="11"/>
  <c r="E69" i="11"/>
  <c r="F69" i="11" s="1"/>
  <c r="F68" i="11"/>
  <c r="G68" i="11" s="1"/>
  <c r="L68" i="11" s="1"/>
  <c r="E68" i="11"/>
  <c r="K66" i="11"/>
  <c r="F66" i="11"/>
  <c r="G66" i="11" s="1"/>
  <c r="L66" i="11" s="1"/>
  <c r="K65" i="11"/>
  <c r="I65" i="11"/>
  <c r="J65" i="11" s="1"/>
  <c r="L65" i="11" s="1"/>
  <c r="F64" i="11"/>
  <c r="K64" i="11" s="1"/>
  <c r="F62" i="11"/>
  <c r="K62" i="11" s="1"/>
  <c r="E62" i="11"/>
  <c r="E61" i="11"/>
  <c r="F61" i="11" s="1"/>
  <c r="I58" i="11"/>
  <c r="J58" i="11" s="1"/>
  <c r="L58" i="11" s="1"/>
  <c r="D58" i="11"/>
  <c r="K57" i="11"/>
  <c r="G57" i="11"/>
  <c r="L57" i="11" s="1"/>
  <c r="F57" i="11"/>
  <c r="D56" i="11"/>
  <c r="I56" i="11" s="1"/>
  <c r="F55" i="11"/>
  <c r="K55" i="11" s="1"/>
  <c r="I54" i="11"/>
  <c r="K54" i="11" s="1"/>
  <c r="I53" i="11"/>
  <c r="K53" i="11" s="1"/>
  <c r="I52" i="11"/>
  <c r="K52" i="11" s="1"/>
  <c r="F51" i="11"/>
  <c r="G51" i="11" s="1"/>
  <c r="L51" i="11" s="1"/>
  <c r="D51" i="11"/>
  <c r="K49" i="11"/>
  <c r="I49" i="11"/>
  <c r="J49" i="11" s="1"/>
  <c r="L49" i="11" s="1"/>
  <c r="K48" i="11"/>
  <c r="G48" i="11"/>
  <c r="L48" i="11" s="1"/>
  <c r="F48" i="11"/>
  <c r="D47" i="11"/>
  <c r="I47" i="11" s="1"/>
  <c r="F46" i="11"/>
  <c r="K46" i="11" s="1"/>
  <c r="I45" i="11"/>
  <c r="K45" i="11" s="1"/>
  <c r="D45" i="11"/>
  <c r="F44" i="11"/>
  <c r="K44" i="11" s="1"/>
  <c r="I43" i="11"/>
  <c r="K43" i="11" s="1"/>
  <c r="D42" i="11"/>
  <c r="I42" i="11" s="1"/>
  <c r="F41" i="11"/>
  <c r="K41" i="11" s="1"/>
  <c r="D40" i="11"/>
  <c r="I40" i="11" s="1"/>
  <c r="K39" i="11"/>
  <c r="F39" i="11"/>
  <c r="G39" i="11" s="1"/>
  <c r="L39" i="11" s="1"/>
  <c r="K38" i="11"/>
  <c r="F38" i="11"/>
  <c r="G38" i="11" s="1"/>
  <c r="L38" i="11" s="1"/>
  <c r="I37" i="11"/>
  <c r="J37" i="11" s="1"/>
  <c r="L37" i="11" s="1"/>
  <c r="D37" i="11"/>
  <c r="K36" i="11"/>
  <c r="G36" i="11"/>
  <c r="L36" i="11" s="1"/>
  <c r="F36" i="11"/>
  <c r="K34" i="11"/>
  <c r="G34" i="11"/>
  <c r="L34" i="11" s="1"/>
  <c r="F34" i="11"/>
  <c r="F33" i="11"/>
  <c r="K33" i="11" s="1"/>
  <c r="F31" i="11"/>
  <c r="K31" i="11" s="1"/>
  <c r="F30" i="11"/>
  <c r="G30" i="11" s="1"/>
  <c r="L30" i="11" s="1"/>
  <c r="D29" i="11"/>
  <c r="I29" i="11" s="1"/>
  <c r="F28" i="11"/>
  <c r="K28" i="11" s="1"/>
  <c r="I27" i="11"/>
  <c r="K27" i="11" s="1"/>
  <c r="F26" i="11"/>
  <c r="K26" i="11" s="1"/>
  <c r="K25" i="11"/>
  <c r="G25" i="11"/>
  <c r="L25" i="11" s="1"/>
  <c r="F25" i="11"/>
  <c r="K24" i="11"/>
  <c r="F24" i="11"/>
  <c r="G24" i="11" s="1"/>
  <c r="L24" i="11" s="1"/>
  <c r="K22" i="11"/>
  <c r="F22" i="11"/>
  <c r="G22" i="11" s="1"/>
  <c r="L22" i="11" s="1"/>
  <c r="F21" i="11"/>
  <c r="G21" i="11" s="1"/>
  <c r="L21" i="11" s="1"/>
  <c r="D20" i="11"/>
  <c r="I20" i="11" s="1"/>
  <c r="K19" i="11"/>
  <c r="G19" i="11"/>
  <c r="L19" i="11" s="1"/>
  <c r="F19" i="11"/>
  <c r="D18" i="11"/>
  <c r="I18" i="11" s="1"/>
  <c r="F17" i="11"/>
  <c r="K17" i="11" s="1"/>
  <c r="F16" i="11"/>
  <c r="G16" i="11" s="1"/>
  <c r="L16" i="11" s="1"/>
  <c r="F15" i="11"/>
  <c r="K15" i="11" s="1"/>
  <c r="F12" i="11"/>
  <c r="K12" i="11" s="1"/>
  <c r="D10" i="11"/>
  <c r="F10" i="11" s="1"/>
  <c r="E9" i="11"/>
  <c r="F9" i="11" s="1"/>
  <c r="D9" i="11"/>
  <c r="D8" i="11"/>
  <c r="F8" i="11" s="1"/>
  <c r="A8" i="11"/>
  <c r="A9" i="11" s="1"/>
  <c r="A10" i="11" s="1"/>
  <c r="A12" i="11" s="1"/>
  <c r="A15" i="11" s="1"/>
  <c r="A16" i="11" s="1"/>
  <c r="A17" i="11" s="1"/>
  <c r="A19" i="11" s="1"/>
  <c r="A21" i="11" s="1"/>
  <c r="A22" i="11" s="1"/>
  <c r="A24" i="11" s="1"/>
  <c r="A25" i="11" s="1"/>
  <c r="L29" i="10"/>
  <c r="G29" i="10"/>
  <c r="F29" i="10"/>
  <c r="K29" i="10" s="1"/>
  <c r="I28" i="10"/>
  <c r="K28" i="10" s="1"/>
  <c r="D27" i="10"/>
  <c r="I27" i="10" s="1"/>
  <c r="E26" i="10"/>
  <c r="F26" i="10" s="1"/>
  <c r="I25" i="10"/>
  <c r="K25" i="10" s="1"/>
  <c r="E24" i="10"/>
  <c r="F24" i="10" s="1"/>
  <c r="I23" i="10"/>
  <c r="J23" i="10" s="1"/>
  <c r="L23" i="10" s="1"/>
  <c r="D23" i="10"/>
  <c r="F22" i="10"/>
  <c r="K22" i="10" s="1"/>
  <c r="D21" i="10"/>
  <c r="I21" i="10" s="1"/>
  <c r="F20" i="10"/>
  <c r="K20" i="10" s="1"/>
  <c r="D18" i="10"/>
  <c r="F18" i="10" s="1"/>
  <c r="I16" i="10"/>
  <c r="J16" i="10" s="1"/>
  <c r="L16" i="10" s="1"/>
  <c r="F15" i="10"/>
  <c r="G15" i="10" s="1"/>
  <c r="L15" i="10" s="1"/>
  <c r="K14" i="10"/>
  <c r="I14" i="10"/>
  <c r="J14" i="10" s="1"/>
  <c r="L14" i="10" s="1"/>
  <c r="D14" i="10"/>
  <c r="F13" i="10"/>
  <c r="K13" i="10" s="1"/>
  <c r="D12" i="10"/>
  <c r="I12" i="10" s="1"/>
  <c r="K11" i="10"/>
  <c r="G11" i="10"/>
  <c r="L11" i="10" s="1"/>
  <c r="F11" i="10"/>
  <c r="F10" i="10"/>
  <c r="K10" i="10" s="1"/>
  <c r="A10" i="10"/>
  <c r="A11" i="10" s="1"/>
  <c r="A13" i="10" s="1"/>
  <c r="A18" i="10" s="1"/>
  <c r="A20" i="10" s="1"/>
  <c r="A22" i="10" s="1"/>
  <c r="A26" i="10" s="1"/>
  <c r="A29" i="10" s="1"/>
  <c r="F9" i="10"/>
  <c r="K9" i="10" s="1"/>
  <c r="K29" i="11" l="1"/>
  <c r="J29" i="11"/>
  <c r="L29" i="11" s="1"/>
  <c r="K69" i="11"/>
  <c r="G69" i="11"/>
  <c r="L69" i="11" s="1"/>
  <c r="A28" i="11"/>
  <c r="A30" i="11" s="1"/>
  <c r="A31" i="11" s="1"/>
  <c r="A33" i="11" s="1"/>
  <c r="A34" i="11" s="1"/>
  <c r="A36" i="11" s="1"/>
  <c r="A38" i="11" s="1"/>
  <c r="A39" i="11" s="1"/>
  <c r="A41" i="11" s="1"/>
  <c r="A44" i="11" s="1"/>
  <c r="A46" i="11" s="1"/>
  <c r="A48" i="11" s="1"/>
  <c r="A51" i="11" s="1"/>
  <c r="A55" i="11" s="1"/>
  <c r="A57" i="11" s="1"/>
  <c r="A61" i="11" s="1"/>
  <c r="A62" i="11" s="1"/>
  <c r="A64" i="11" s="1"/>
  <c r="A66" i="11" s="1"/>
  <c r="A68" i="11" s="1"/>
  <c r="A69" i="11" s="1"/>
  <c r="A71" i="11" s="1"/>
  <c r="A73" i="11" s="1"/>
  <c r="A75" i="11" s="1"/>
  <c r="A26" i="11"/>
  <c r="J40" i="11"/>
  <c r="L40" i="11" s="1"/>
  <c r="K40" i="11"/>
  <c r="J56" i="11"/>
  <c r="L56" i="11" s="1"/>
  <c r="K56" i="11"/>
  <c r="K47" i="11"/>
  <c r="J47" i="11"/>
  <c r="L47" i="11" s="1"/>
  <c r="K10" i="11"/>
  <c r="G10" i="11"/>
  <c r="L10" i="11" s="1"/>
  <c r="I76" i="11"/>
  <c r="J76" i="11" s="1"/>
  <c r="J18" i="11"/>
  <c r="L18" i="11" s="1"/>
  <c r="K18" i="11"/>
  <c r="K42" i="11"/>
  <c r="J42" i="11"/>
  <c r="L42" i="11" s="1"/>
  <c r="K20" i="11"/>
  <c r="J20" i="11"/>
  <c r="L20" i="11" s="1"/>
  <c r="F76" i="11"/>
  <c r="G76" i="11" s="1"/>
  <c r="K8" i="11"/>
  <c r="G8" i="11"/>
  <c r="L8" i="11" s="1"/>
  <c r="K9" i="11"/>
  <c r="G9" i="11"/>
  <c r="L9" i="11" s="1"/>
  <c r="K61" i="11"/>
  <c r="G61" i="11"/>
  <c r="L61" i="11" s="1"/>
  <c r="K21" i="11"/>
  <c r="G33" i="11"/>
  <c r="L33" i="11" s="1"/>
  <c r="K37" i="11"/>
  <c r="K51" i="11"/>
  <c r="G55" i="11"/>
  <c r="L55" i="11" s="1"/>
  <c r="K58" i="11"/>
  <c r="G64" i="11"/>
  <c r="L64" i="11" s="1"/>
  <c r="K68" i="11"/>
  <c r="G15" i="11"/>
  <c r="L15" i="11" s="1"/>
  <c r="G44" i="11"/>
  <c r="L44" i="11" s="1"/>
  <c r="G26" i="11"/>
  <c r="L26" i="11" s="1"/>
  <c r="G41" i="11"/>
  <c r="L41" i="11" s="1"/>
  <c r="J52" i="11"/>
  <c r="L52" i="11" s="1"/>
  <c r="G73" i="11"/>
  <c r="L73" i="11" s="1"/>
  <c r="J45" i="11"/>
  <c r="L45" i="11" s="1"/>
  <c r="K16" i="11"/>
  <c r="J27" i="11"/>
  <c r="L27" i="11" s="1"/>
  <c r="K30" i="11"/>
  <c r="J53" i="11"/>
  <c r="L53" i="11" s="1"/>
  <c r="G75" i="11"/>
  <c r="L75" i="11" s="1"/>
  <c r="G17" i="11"/>
  <c r="L17" i="11" s="1"/>
  <c r="G31" i="11"/>
  <c r="L31" i="11" s="1"/>
  <c r="G46" i="11"/>
  <c r="L46" i="11" s="1"/>
  <c r="J54" i="11"/>
  <c r="L54" i="11" s="1"/>
  <c r="G62" i="11"/>
  <c r="L62" i="11" s="1"/>
  <c r="G12" i="11"/>
  <c r="L12" i="11" s="1"/>
  <c r="G28" i="11"/>
  <c r="L28" i="11" s="1"/>
  <c r="J43" i="11"/>
  <c r="L43" i="11" s="1"/>
  <c r="K26" i="10"/>
  <c r="G26" i="10"/>
  <c r="L26" i="10" s="1"/>
  <c r="K12" i="10"/>
  <c r="K30" i="10" s="1"/>
  <c r="L30" i="10" s="1"/>
  <c r="J12" i="10"/>
  <c r="L12" i="10" s="1"/>
  <c r="I30" i="10"/>
  <c r="J30" i="10" s="1"/>
  <c r="J27" i="10"/>
  <c r="L27" i="10" s="1"/>
  <c r="K27" i="10"/>
  <c r="K18" i="10"/>
  <c r="G18" i="10"/>
  <c r="L18" i="10" s="1"/>
  <c r="F30" i="10"/>
  <c r="G30" i="10" s="1"/>
  <c r="K21" i="10"/>
  <c r="J21" i="10"/>
  <c r="L21" i="10" s="1"/>
  <c r="K24" i="10"/>
  <c r="G24" i="10"/>
  <c r="L24" i="10" s="1"/>
  <c r="K23" i="10"/>
  <c r="K15" i="10"/>
  <c r="K16" i="10"/>
  <c r="J28" i="10"/>
  <c r="L28" i="10" s="1"/>
  <c r="G13" i="10"/>
  <c r="L13" i="10" s="1"/>
  <c r="J25" i="10"/>
  <c r="L25" i="10" s="1"/>
  <c r="G10" i="10"/>
  <c r="L10" i="10" s="1"/>
  <c r="G22" i="10"/>
  <c r="L22" i="10" s="1"/>
  <c r="G20" i="10"/>
  <c r="L20" i="10" s="1"/>
  <c r="G9" i="10"/>
  <c r="L9" i="10" s="1"/>
  <c r="K76" i="11" l="1"/>
  <c r="L76" i="11" s="1"/>
  <c r="O96" i="7" l="1"/>
  <c r="K34" i="2" l="1"/>
  <c r="B27" i="9"/>
  <c r="D26" i="9"/>
  <c r="D17" i="9"/>
  <c r="D16" i="9"/>
  <c r="D15" i="9"/>
  <c r="D7" i="9"/>
  <c r="F86" i="8"/>
  <c r="G86" i="8" s="1"/>
  <c r="L86" i="8" s="1"/>
  <c r="F85" i="8"/>
  <c r="G85" i="8" s="1"/>
  <c r="L85" i="8" s="1"/>
  <c r="G83" i="8"/>
  <c r="L83" i="8" s="1"/>
  <c r="F83" i="8"/>
  <c r="K83" i="8" s="1"/>
  <c r="I82" i="8"/>
  <c r="K82" i="8" s="1"/>
  <c r="F81" i="8"/>
  <c r="K81" i="8" s="1"/>
  <c r="K80" i="8"/>
  <c r="I80" i="8"/>
  <c r="J80" i="8" s="1"/>
  <c r="L80" i="8" s="1"/>
  <c r="F79" i="8"/>
  <c r="K79" i="8" s="1"/>
  <c r="I78" i="8"/>
  <c r="J78" i="8" s="1"/>
  <c r="L78" i="8" s="1"/>
  <c r="F77" i="8"/>
  <c r="K77" i="8" s="1"/>
  <c r="J76" i="8"/>
  <c r="L76" i="8" s="1"/>
  <c r="I76" i="8"/>
  <c r="K76" i="8" s="1"/>
  <c r="D76" i="8"/>
  <c r="E75" i="8"/>
  <c r="F75" i="8" s="1"/>
  <c r="I74" i="8"/>
  <c r="J74" i="8" s="1"/>
  <c r="L74" i="8" s="1"/>
  <c r="D74" i="8"/>
  <c r="G73" i="8"/>
  <c r="L73" i="8" s="1"/>
  <c r="F73" i="8"/>
  <c r="K73" i="8" s="1"/>
  <c r="D72" i="8"/>
  <c r="I72" i="8" s="1"/>
  <c r="F71" i="8"/>
  <c r="G71" i="8" s="1"/>
  <c r="L71" i="8" s="1"/>
  <c r="I70" i="8"/>
  <c r="K70" i="8" s="1"/>
  <c r="F69" i="8"/>
  <c r="K69" i="8" s="1"/>
  <c r="D68" i="8"/>
  <c r="I68" i="8" s="1"/>
  <c r="L67" i="8"/>
  <c r="K67" i="8"/>
  <c r="G67" i="8"/>
  <c r="F67" i="8"/>
  <c r="D66" i="8"/>
  <c r="I66" i="8" s="1"/>
  <c r="F65" i="8"/>
  <c r="K65" i="8" s="1"/>
  <c r="K64" i="8"/>
  <c r="J64" i="8"/>
  <c r="L64" i="8" s="1"/>
  <c r="I64" i="8"/>
  <c r="D64" i="8"/>
  <c r="K63" i="8"/>
  <c r="G63" i="8"/>
  <c r="L63" i="8" s="1"/>
  <c r="F63" i="8"/>
  <c r="I62" i="8"/>
  <c r="K62" i="8" s="1"/>
  <c r="D61" i="8"/>
  <c r="F61" i="8" s="1"/>
  <c r="J60" i="8"/>
  <c r="L60" i="8" s="1"/>
  <c r="I60" i="8"/>
  <c r="K60" i="8" s="1"/>
  <c r="F59" i="8"/>
  <c r="K59" i="8" s="1"/>
  <c r="D58" i="8"/>
  <c r="I58" i="8" s="1"/>
  <c r="L57" i="8"/>
  <c r="K57" i="8"/>
  <c r="G57" i="8"/>
  <c r="F57" i="8"/>
  <c r="I56" i="8"/>
  <c r="K56" i="8" s="1"/>
  <c r="F55" i="8"/>
  <c r="K55" i="8" s="1"/>
  <c r="K54" i="8"/>
  <c r="J54" i="8"/>
  <c r="L54" i="8" s="1"/>
  <c r="I54" i="8"/>
  <c r="J53" i="8"/>
  <c r="L53" i="8" s="1"/>
  <c r="I53" i="8"/>
  <c r="K53" i="8" s="1"/>
  <c r="I52" i="8"/>
  <c r="K52" i="8" s="1"/>
  <c r="I51" i="8"/>
  <c r="K51" i="8" s="1"/>
  <c r="K50" i="8"/>
  <c r="J50" i="8"/>
  <c r="L50" i="8" s="1"/>
  <c r="I50" i="8"/>
  <c r="J49" i="8"/>
  <c r="L49" i="8" s="1"/>
  <c r="I49" i="8"/>
  <c r="K49" i="8" s="1"/>
  <c r="F48" i="8"/>
  <c r="K48" i="8" s="1"/>
  <c r="I47" i="8"/>
  <c r="K47" i="8" s="1"/>
  <c r="L46" i="8"/>
  <c r="K46" i="8"/>
  <c r="J46" i="8"/>
  <c r="I46" i="8"/>
  <c r="K45" i="8"/>
  <c r="J45" i="8"/>
  <c r="L45" i="8" s="1"/>
  <c r="I45" i="8"/>
  <c r="I44" i="8"/>
  <c r="J44" i="8" s="1"/>
  <c r="L44" i="8" s="1"/>
  <c r="I43" i="8"/>
  <c r="J43" i="8" s="1"/>
  <c r="L43" i="8" s="1"/>
  <c r="L42" i="8"/>
  <c r="K42" i="8"/>
  <c r="G42" i="8"/>
  <c r="F42" i="8"/>
  <c r="L41" i="8"/>
  <c r="K41" i="8"/>
  <c r="J41" i="8"/>
  <c r="I41" i="8"/>
  <c r="F40" i="8"/>
  <c r="G40" i="8" s="1"/>
  <c r="L40" i="8" s="1"/>
  <c r="I39" i="8"/>
  <c r="J39" i="8" s="1"/>
  <c r="L39" i="8" s="1"/>
  <c r="F38" i="8"/>
  <c r="K38" i="8" s="1"/>
  <c r="I37" i="8"/>
  <c r="K37" i="8" s="1"/>
  <c r="F36" i="8"/>
  <c r="K36" i="8" s="1"/>
  <c r="L35" i="8"/>
  <c r="K35" i="8"/>
  <c r="J35" i="8"/>
  <c r="I35" i="8"/>
  <c r="K34" i="8"/>
  <c r="G34" i="8"/>
  <c r="L34" i="8" s="1"/>
  <c r="F34" i="8"/>
  <c r="I33" i="8"/>
  <c r="K33" i="8" s="1"/>
  <c r="F32" i="8"/>
  <c r="G32" i="8" s="1"/>
  <c r="L32" i="8" s="1"/>
  <c r="F31" i="8"/>
  <c r="K31" i="8" s="1"/>
  <c r="E31" i="8"/>
  <c r="E30" i="8"/>
  <c r="F30" i="8" s="1"/>
  <c r="I29" i="8"/>
  <c r="J29" i="8" s="1"/>
  <c r="L29" i="8" s="1"/>
  <c r="F28" i="8"/>
  <c r="K28" i="8" s="1"/>
  <c r="I27" i="8"/>
  <c r="K27" i="8" s="1"/>
  <c r="F26" i="8"/>
  <c r="G26" i="8" s="1"/>
  <c r="L26" i="8" s="1"/>
  <c r="L25" i="8"/>
  <c r="K25" i="8"/>
  <c r="G25" i="8"/>
  <c r="F25" i="8"/>
  <c r="L24" i="8"/>
  <c r="K24" i="8"/>
  <c r="G24" i="8"/>
  <c r="F24" i="8"/>
  <c r="D22" i="8"/>
  <c r="F22" i="8" s="1"/>
  <c r="L20" i="8"/>
  <c r="K20" i="8"/>
  <c r="G20" i="8"/>
  <c r="F20" i="8"/>
  <c r="L19" i="8"/>
  <c r="K19" i="8"/>
  <c r="G19" i="8"/>
  <c r="F19" i="8"/>
  <c r="F18" i="8"/>
  <c r="K18" i="8" s="1"/>
  <c r="K17" i="8"/>
  <c r="J17" i="8"/>
  <c r="L17" i="8" s="1"/>
  <c r="I17" i="8"/>
  <c r="D17" i="8"/>
  <c r="K16" i="8"/>
  <c r="F16" i="8"/>
  <c r="G16" i="8" s="1"/>
  <c r="L16" i="8" s="1"/>
  <c r="D15" i="8"/>
  <c r="I15" i="8" s="1"/>
  <c r="F14" i="8"/>
  <c r="K14" i="8" s="1"/>
  <c r="G13" i="8"/>
  <c r="L13" i="8" s="1"/>
  <c r="F13" i="8"/>
  <c r="K13" i="8" s="1"/>
  <c r="F12" i="8"/>
  <c r="G12" i="8" s="1"/>
  <c r="L12" i="8" s="1"/>
  <c r="F11" i="8"/>
  <c r="G11" i="8" s="1"/>
  <c r="L11" i="8" s="1"/>
  <c r="A11" i="8"/>
  <c r="A12" i="8" s="1"/>
  <c r="A13" i="8" s="1"/>
  <c r="A14" i="8" s="1"/>
  <c r="A16" i="8" s="1"/>
  <c r="A18" i="8" s="1"/>
  <c r="A19" i="8" s="1"/>
  <c r="A20" i="8" s="1"/>
  <c r="A22" i="8" s="1"/>
  <c r="A24" i="8" s="1"/>
  <c r="A25" i="8" s="1"/>
  <c r="A26" i="8" s="1"/>
  <c r="A28" i="8" s="1"/>
  <c r="A30" i="8" s="1"/>
  <c r="A31" i="8" s="1"/>
  <c r="A32" i="8" s="1"/>
  <c r="A34" i="8" s="1"/>
  <c r="A36" i="8" s="1"/>
  <c r="A38" i="8" s="1"/>
  <c r="A40" i="8" s="1"/>
  <c r="A42" i="8" s="1"/>
  <c r="A48" i="8" s="1"/>
  <c r="A55" i="8" s="1"/>
  <c r="A57" i="8" s="1"/>
  <c r="A59" i="8" s="1"/>
  <c r="A61" i="8" s="1"/>
  <c r="A63" i="8" s="1"/>
  <c r="A65" i="8" s="1"/>
  <c r="A67" i="8" s="1"/>
  <c r="A69" i="8" s="1"/>
  <c r="A71" i="8" s="1"/>
  <c r="A73" i="8" s="1"/>
  <c r="A75" i="8" s="1"/>
  <c r="A77" i="8" s="1"/>
  <c r="A79" i="8" s="1"/>
  <c r="A81" i="8" s="1"/>
  <c r="A83" i="8" s="1"/>
  <c r="A85" i="8" s="1"/>
  <c r="A86" i="8" s="1"/>
  <c r="F9" i="8"/>
  <c r="K9" i="8" s="1"/>
  <c r="D27" i="9" l="1"/>
  <c r="D30" i="9" s="1"/>
  <c r="J32" i="2" s="1"/>
  <c r="K32" i="2" s="1"/>
  <c r="G22" i="8"/>
  <c r="L22" i="8" s="1"/>
  <c r="K22" i="8"/>
  <c r="K66" i="8"/>
  <c r="J66" i="8"/>
  <c r="L66" i="8" s="1"/>
  <c r="J68" i="8"/>
  <c r="L68" i="8" s="1"/>
  <c r="K68" i="8"/>
  <c r="K58" i="8"/>
  <c r="J58" i="8"/>
  <c r="L58" i="8" s="1"/>
  <c r="K61" i="8"/>
  <c r="G61" i="8"/>
  <c r="L61" i="8" s="1"/>
  <c r="G75" i="8"/>
  <c r="L75" i="8" s="1"/>
  <c r="K75" i="8"/>
  <c r="G30" i="8"/>
  <c r="L30" i="8" s="1"/>
  <c r="K30" i="8"/>
  <c r="I87" i="8"/>
  <c r="J87" i="8" s="1"/>
  <c r="J15" i="8"/>
  <c r="L15" i="8" s="1"/>
  <c r="K15" i="8"/>
  <c r="J72" i="8"/>
  <c r="L72" i="8" s="1"/>
  <c r="K72" i="8"/>
  <c r="L89" i="8"/>
  <c r="K29" i="8"/>
  <c r="K11" i="8"/>
  <c r="J47" i="8"/>
  <c r="L47" i="8" s="1"/>
  <c r="G36" i="8"/>
  <c r="L36" i="8" s="1"/>
  <c r="J62" i="8"/>
  <c r="L62" i="8" s="1"/>
  <c r="K78" i="8"/>
  <c r="K40" i="8"/>
  <c r="J82" i="8"/>
  <c r="L82" i="8" s="1"/>
  <c r="K12" i="8"/>
  <c r="K87" i="8" s="1"/>
  <c r="L87" i="8" s="1"/>
  <c r="J27" i="8"/>
  <c r="L27" i="8" s="1"/>
  <c r="J37" i="8"/>
  <c r="L37" i="8" s="1"/>
  <c r="K44" i="8"/>
  <c r="G48" i="8"/>
  <c r="L48" i="8" s="1"/>
  <c r="J52" i="8"/>
  <c r="L52" i="8" s="1"/>
  <c r="G59" i="8"/>
  <c r="L59" i="8" s="1"/>
  <c r="G77" i="8"/>
  <c r="L77" i="8" s="1"/>
  <c r="K39" i="8"/>
  <c r="K85" i="8"/>
  <c r="K32" i="8"/>
  <c r="J33" i="8"/>
  <c r="L33" i="8" s="1"/>
  <c r="K86" i="8"/>
  <c r="J56" i="8"/>
  <c r="L56" i="8" s="1"/>
  <c r="G69" i="8"/>
  <c r="L69" i="8" s="1"/>
  <c r="F87" i="8"/>
  <c r="G87" i="8" s="1"/>
  <c r="G18" i="8"/>
  <c r="L18" i="8" s="1"/>
  <c r="K26" i="8"/>
  <c r="G65" i="8"/>
  <c r="L65" i="8" s="1"/>
  <c r="G79" i="8"/>
  <c r="L79" i="8" s="1"/>
  <c r="G14" i="8"/>
  <c r="L14" i="8" s="1"/>
  <c r="K71" i="8"/>
  <c r="K43" i="8"/>
  <c r="J51" i="8"/>
  <c r="L51" i="8" s="1"/>
  <c r="G55" i="8"/>
  <c r="L55" i="8" s="1"/>
  <c r="K74" i="8"/>
  <c r="G9" i="8"/>
  <c r="L9" i="8" s="1"/>
  <c r="G28" i="8"/>
  <c r="L28" i="8" s="1"/>
  <c r="G31" i="8"/>
  <c r="L31" i="8" s="1"/>
  <c r="G38" i="8"/>
  <c r="L38" i="8" s="1"/>
  <c r="J70" i="8"/>
  <c r="L70" i="8" s="1"/>
  <c r="G81" i="8"/>
  <c r="L81" i="8" s="1"/>
  <c r="O74" i="7" l="1"/>
  <c r="O73" i="7"/>
  <c r="O72" i="7"/>
  <c r="O70" i="7"/>
  <c r="O69" i="7"/>
  <c r="O68" i="7"/>
  <c r="O67" i="7"/>
  <c r="O71" i="7"/>
  <c r="O64" i="7"/>
  <c r="O9" i="7"/>
  <c r="K115" i="7"/>
  <c r="G115" i="7"/>
  <c r="L115" i="7" s="1"/>
  <c r="F115" i="7"/>
  <c r="F114" i="7"/>
  <c r="K114" i="7" s="1"/>
  <c r="F113" i="7"/>
  <c r="K113" i="7" s="1"/>
  <c r="F112" i="7"/>
  <c r="G112" i="7" s="1"/>
  <c r="L112" i="7" s="1"/>
  <c r="I111" i="7"/>
  <c r="K111" i="7" s="1"/>
  <c r="L110" i="7"/>
  <c r="K110" i="7"/>
  <c r="G110" i="7"/>
  <c r="F110" i="7"/>
  <c r="F109" i="7"/>
  <c r="K109" i="7" s="1"/>
  <c r="D107" i="7"/>
  <c r="F107" i="7" s="1"/>
  <c r="D106" i="7"/>
  <c r="F106" i="7" s="1"/>
  <c r="D105" i="7"/>
  <c r="F105" i="7" s="1"/>
  <c r="E104" i="7"/>
  <c r="F104" i="7" s="1"/>
  <c r="F103" i="7"/>
  <c r="K103" i="7" s="1"/>
  <c r="E103" i="7"/>
  <c r="K101" i="7"/>
  <c r="G101" i="7"/>
  <c r="L101" i="7" s="1"/>
  <c r="F101" i="7"/>
  <c r="F100" i="7"/>
  <c r="K100" i="7" s="1"/>
  <c r="F99" i="7"/>
  <c r="K99" i="7" s="1"/>
  <c r="F97" i="7"/>
  <c r="G97" i="7" s="1"/>
  <c r="L97" i="7" s="1"/>
  <c r="D97" i="7"/>
  <c r="D96" i="7"/>
  <c r="F96" i="7" s="1"/>
  <c r="K95" i="7"/>
  <c r="G95" i="7"/>
  <c r="L95" i="7" s="1"/>
  <c r="F95" i="7"/>
  <c r="K94" i="7"/>
  <c r="G94" i="7"/>
  <c r="L94" i="7" s="1"/>
  <c r="F94" i="7"/>
  <c r="F93" i="7"/>
  <c r="K93" i="7" s="1"/>
  <c r="F92" i="7"/>
  <c r="K92" i="7" s="1"/>
  <c r="F91" i="7"/>
  <c r="G91" i="7" s="1"/>
  <c r="L91" i="7" s="1"/>
  <c r="D88" i="7"/>
  <c r="F88" i="7" s="1"/>
  <c r="F87" i="7"/>
  <c r="K87" i="7" s="1"/>
  <c r="F86" i="7"/>
  <c r="K86" i="7" s="1"/>
  <c r="F85" i="7"/>
  <c r="G85" i="7" s="1"/>
  <c r="L85" i="7" s="1"/>
  <c r="F84" i="7"/>
  <c r="K84" i="7" s="1"/>
  <c r="F82" i="7"/>
  <c r="K82" i="7" s="1"/>
  <c r="F81" i="7"/>
  <c r="K81" i="7" s="1"/>
  <c r="D79" i="7"/>
  <c r="F79" i="7" s="1"/>
  <c r="F78" i="7"/>
  <c r="K78" i="7" s="1"/>
  <c r="D77" i="7"/>
  <c r="F77" i="7" s="1"/>
  <c r="E76" i="7"/>
  <c r="F76" i="7" s="1"/>
  <c r="F75" i="7"/>
  <c r="K75" i="7" s="1"/>
  <c r="F74" i="7"/>
  <c r="G74" i="7" s="1"/>
  <c r="L74" i="7" s="1"/>
  <c r="I72" i="7"/>
  <c r="K72" i="7" s="1"/>
  <c r="E71" i="7"/>
  <c r="F71" i="7" s="1"/>
  <c r="I70" i="7"/>
  <c r="K70" i="7" s="1"/>
  <c r="K69" i="7"/>
  <c r="J69" i="7"/>
  <c r="L69" i="7" s="1"/>
  <c r="I69" i="7"/>
  <c r="K68" i="7"/>
  <c r="J68" i="7"/>
  <c r="L68" i="7" s="1"/>
  <c r="I68" i="7"/>
  <c r="I67" i="7"/>
  <c r="K67" i="7" s="1"/>
  <c r="F66" i="7"/>
  <c r="G66" i="7" s="1"/>
  <c r="L66" i="7" s="1"/>
  <c r="L65" i="7"/>
  <c r="K65" i="7"/>
  <c r="G65" i="7"/>
  <c r="F65" i="7"/>
  <c r="F64" i="7"/>
  <c r="K64" i="7" s="1"/>
  <c r="D62" i="7"/>
  <c r="I62" i="7" s="1"/>
  <c r="K61" i="7"/>
  <c r="G61" i="7"/>
  <c r="L61" i="7" s="1"/>
  <c r="F61" i="7"/>
  <c r="D60" i="7"/>
  <c r="I60" i="7" s="1"/>
  <c r="K59" i="7"/>
  <c r="F59" i="7"/>
  <c r="G59" i="7" s="1"/>
  <c r="L59" i="7" s="1"/>
  <c r="I58" i="7"/>
  <c r="K58" i="7" s="1"/>
  <c r="D58" i="7"/>
  <c r="K57" i="7"/>
  <c r="G57" i="7"/>
  <c r="L57" i="7" s="1"/>
  <c r="F57" i="7"/>
  <c r="K56" i="7"/>
  <c r="G56" i="7"/>
  <c r="L56" i="7" s="1"/>
  <c r="F56" i="7"/>
  <c r="I54" i="7"/>
  <c r="K54" i="7" s="1"/>
  <c r="I53" i="7"/>
  <c r="K53" i="7" s="1"/>
  <c r="F52" i="7"/>
  <c r="K52" i="7" s="1"/>
  <c r="F51" i="7"/>
  <c r="K51" i="7" s="1"/>
  <c r="K49" i="7"/>
  <c r="G49" i="7"/>
  <c r="L49" i="7" s="1"/>
  <c r="F49" i="7"/>
  <c r="K48" i="7"/>
  <c r="F48" i="7"/>
  <c r="G48" i="7" s="1"/>
  <c r="L48" i="7" s="1"/>
  <c r="K47" i="7"/>
  <c r="F47" i="7"/>
  <c r="G47" i="7" s="1"/>
  <c r="L47" i="7" s="1"/>
  <c r="F46" i="7"/>
  <c r="G46" i="7" s="1"/>
  <c r="L46" i="7" s="1"/>
  <c r="K45" i="7"/>
  <c r="G45" i="7"/>
  <c r="L45" i="7" s="1"/>
  <c r="F45" i="7"/>
  <c r="K43" i="7"/>
  <c r="G43" i="7"/>
  <c r="L43" i="7" s="1"/>
  <c r="F43" i="7"/>
  <c r="F41" i="7"/>
  <c r="G41" i="7" s="1"/>
  <c r="L41" i="7" s="1"/>
  <c r="F39" i="7"/>
  <c r="G39" i="7" s="1"/>
  <c r="L39" i="7" s="1"/>
  <c r="I38" i="7"/>
  <c r="J38" i="7" s="1"/>
  <c r="L38" i="7" s="1"/>
  <c r="F37" i="7"/>
  <c r="G37" i="7" s="1"/>
  <c r="L37" i="7" s="1"/>
  <c r="D35" i="7"/>
  <c r="F35" i="7" s="1"/>
  <c r="F34" i="7"/>
  <c r="K34" i="7" s="1"/>
  <c r="D33" i="7"/>
  <c r="F33" i="7" s="1"/>
  <c r="F31" i="7"/>
  <c r="K31" i="7" s="1"/>
  <c r="F30" i="7"/>
  <c r="K30" i="7" s="1"/>
  <c r="F29" i="7"/>
  <c r="G29" i="7" s="1"/>
  <c r="L29" i="7" s="1"/>
  <c r="L28" i="7"/>
  <c r="K28" i="7"/>
  <c r="G28" i="7"/>
  <c r="F28" i="7"/>
  <c r="D26" i="7"/>
  <c r="I26" i="7" s="1"/>
  <c r="F25" i="7"/>
  <c r="K25" i="7" s="1"/>
  <c r="K24" i="7"/>
  <c r="G24" i="7"/>
  <c r="L24" i="7" s="1"/>
  <c r="F24" i="7"/>
  <c r="D23" i="7"/>
  <c r="I23" i="7" s="1"/>
  <c r="K22" i="7"/>
  <c r="F22" i="7"/>
  <c r="G22" i="7" s="1"/>
  <c r="L22" i="7" s="1"/>
  <c r="I21" i="7"/>
  <c r="K21" i="7" s="1"/>
  <c r="D21" i="7"/>
  <c r="K20" i="7"/>
  <c r="G20" i="7"/>
  <c r="L20" i="7" s="1"/>
  <c r="F20" i="7"/>
  <c r="D19" i="7"/>
  <c r="I19" i="7" s="1"/>
  <c r="F18" i="7"/>
  <c r="K18" i="7" s="1"/>
  <c r="F16" i="7"/>
  <c r="G16" i="7" s="1"/>
  <c r="L16" i="7" s="1"/>
  <c r="F15" i="7"/>
  <c r="K15" i="7" s="1"/>
  <c r="F14" i="7"/>
  <c r="K14" i="7" s="1"/>
  <c r="F13" i="7"/>
  <c r="K13" i="7" s="1"/>
  <c r="D12" i="7"/>
  <c r="F12" i="7" s="1"/>
  <c r="D11" i="7"/>
  <c r="F11" i="7" s="1"/>
  <c r="A11" i="7"/>
  <c r="A12" i="7" s="1"/>
  <c r="A13" i="7" s="1"/>
  <c r="A14" i="7" s="1"/>
  <c r="A15" i="7" s="1"/>
  <c r="A16" i="7" s="1"/>
  <c r="A18" i="7" s="1"/>
  <c r="A20" i="7" s="1"/>
  <c r="A22" i="7" s="1"/>
  <c r="A24" i="7" s="1"/>
  <c r="A25" i="7" s="1"/>
  <c r="A28" i="7" s="1"/>
  <c r="A29" i="7" s="1"/>
  <c r="A30" i="7" s="1"/>
  <c r="A31" i="7" s="1"/>
  <c r="A33" i="7" s="1"/>
  <c r="A34" i="7" s="1"/>
  <c r="A35" i="7" s="1"/>
  <c r="A37" i="7" s="1"/>
  <c r="A39" i="7" s="1"/>
  <c r="A41" i="7" s="1"/>
  <c r="A43" i="7" s="1"/>
  <c r="A45" i="7" s="1"/>
  <c r="A46" i="7" s="1"/>
  <c r="A47" i="7" s="1"/>
  <c r="A48" i="7" s="1"/>
  <c r="A49" i="7" s="1"/>
  <c r="A51" i="7" s="1"/>
  <c r="A52" i="7" s="1"/>
  <c r="A56" i="7" s="1"/>
  <c r="A57" i="7" s="1"/>
  <c r="A59" i="7" s="1"/>
  <c r="A61" i="7" s="1"/>
  <c r="A64" i="7" s="1"/>
  <c r="A65" i="7" s="1"/>
  <c r="A66" i="7" s="1"/>
  <c r="A71" i="7" s="1"/>
  <c r="A74" i="7" s="1"/>
  <c r="A75" i="7" s="1"/>
  <c r="A76" i="7" s="1"/>
  <c r="A77" i="7" s="1"/>
  <c r="A78" i="7" s="1"/>
  <c r="A79" i="7" s="1"/>
  <c r="A81" i="7" s="1"/>
  <c r="A82" i="7" s="1"/>
  <c r="A84" i="7" s="1"/>
  <c r="A85" i="7" s="1"/>
  <c r="A86" i="7" s="1"/>
  <c r="A87" i="7" s="1"/>
  <c r="A88" i="7" s="1"/>
  <c r="A91" i="7" s="1"/>
  <c r="A92" i="7" s="1"/>
  <c r="A93" i="7" s="1"/>
  <c r="A94" i="7" s="1"/>
  <c r="A95" i="7" s="1"/>
  <c r="A96" i="7" s="1"/>
  <c r="F10" i="7"/>
  <c r="K10" i="7" s="1"/>
  <c r="A10" i="7"/>
  <c r="F9" i="7"/>
  <c r="G9" i="7" s="1"/>
  <c r="L9" i="7" s="1"/>
  <c r="K160" i="6"/>
  <c r="G160" i="6"/>
  <c r="L160" i="6" s="1"/>
  <c r="F160" i="6"/>
  <c r="I158" i="6"/>
  <c r="D158" i="6"/>
  <c r="G157" i="6"/>
  <c r="L157" i="6" s="1"/>
  <c r="F157" i="6"/>
  <c r="K157" i="6" s="1"/>
  <c r="I156" i="6"/>
  <c r="K156" i="6" s="1"/>
  <c r="D156" i="6"/>
  <c r="F155" i="6"/>
  <c r="I154" i="6"/>
  <c r="K154" i="6" s="1"/>
  <c r="D154" i="6"/>
  <c r="K153" i="6"/>
  <c r="F153" i="6"/>
  <c r="G153" i="6" s="1"/>
  <c r="L153" i="6" s="1"/>
  <c r="I152" i="6"/>
  <c r="K152" i="6" s="1"/>
  <c r="K151" i="6"/>
  <c r="J151" i="6"/>
  <c r="L151" i="6" s="1"/>
  <c r="I151" i="6"/>
  <c r="K150" i="6"/>
  <c r="J150" i="6"/>
  <c r="L150" i="6" s="1"/>
  <c r="I150" i="6"/>
  <c r="I149" i="6"/>
  <c r="K149" i="6" s="1"/>
  <c r="I148" i="6"/>
  <c r="K148" i="6" s="1"/>
  <c r="K147" i="6"/>
  <c r="J147" i="6"/>
  <c r="L147" i="6" s="1"/>
  <c r="I147" i="6"/>
  <c r="K146" i="6"/>
  <c r="J146" i="6"/>
  <c r="L146" i="6" s="1"/>
  <c r="I146" i="6"/>
  <c r="I145" i="6"/>
  <c r="K145" i="6" s="1"/>
  <c r="I144" i="6"/>
  <c r="K144" i="6" s="1"/>
  <c r="K143" i="6"/>
  <c r="J143" i="6"/>
  <c r="L143" i="6" s="1"/>
  <c r="I143" i="6"/>
  <c r="D142" i="6"/>
  <c r="F142" i="6" s="1"/>
  <c r="E140" i="6"/>
  <c r="F140" i="6" s="1"/>
  <c r="D140" i="6"/>
  <c r="E139" i="6"/>
  <c r="F139" i="6" s="1"/>
  <c r="G139" i="6" s="1"/>
  <c r="L139" i="6" s="1"/>
  <c r="E138" i="6"/>
  <c r="F138" i="6" s="1"/>
  <c r="E129" i="6"/>
  <c r="F129" i="6" s="1"/>
  <c r="D129" i="6"/>
  <c r="K126" i="6"/>
  <c r="J126" i="6"/>
  <c r="L126" i="6" s="1"/>
  <c r="I126" i="6"/>
  <c r="F125" i="6"/>
  <c r="K125" i="6" s="1"/>
  <c r="H124" i="6"/>
  <c r="I124" i="6" s="1"/>
  <c r="I123" i="6"/>
  <c r="K123" i="6" s="1"/>
  <c r="H123" i="6"/>
  <c r="H122" i="6"/>
  <c r="I122" i="6" s="1"/>
  <c r="F121" i="6"/>
  <c r="K121" i="6" s="1"/>
  <c r="K119" i="6"/>
  <c r="I119" i="6"/>
  <c r="J119" i="6" s="1"/>
  <c r="L119" i="6" s="1"/>
  <c r="F118" i="6"/>
  <c r="K118" i="6" s="1"/>
  <c r="K117" i="6"/>
  <c r="I117" i="6"/>
  <c r="J117" i="6" s="1"/>
  <c r="L117" i="6" s="1"/>
  <c r="I116" i="6"/>
  <c r="K116" i="6" s="1"/>
  <c r="F115" i="6"/>
  <c r="K115" i="6" s="1"/>
  <c r="K113" i="6"/>
  <c r="F113" i="6"/>
  <c r="G113" i="6" s="1"/>
  <c r="L113" i="6" s="1"/>
  <c r="E112" i="6"/>
  <c r="F112" i="6" s="1"/>
  <c r="F111" i="6"/>
  <c r="K111" i="6" s="1"/>
  <c r="E111" i="6"/>
  <c r="D111" i="6"/>
  <c r="E110" i="6"/>
  <c r="F110" i="6" s="1"/>
  <c r="D110" i="6"/>
  <c r="E109" i="6"/>
  <c r="F109" i="6" s="1"/>
  <c r="K109" i="6" s="1"/>
  <c r="E108" i="6"/>
  <c r="F108" i="6" s="1"/>
  <c r="D108" i="6"/>
  <c r="D105" i="6"/>
  <c r="I105" i="6" s="1"/>
  <c r="F104" i="6"/>
  <c r="K104" i="6" s="1"/>
  <c r="K103" i="6"/>
  <c r="I103" i="6"/>
  <c r="J103" i="6" s="1"/>
  <c r="L103" i="6" s="1"/>
  <c r="D102" i="6"/>
  <c r="I102" i="6" s="1"/>
  <c r="E101" i="6"/>
  <c r="F101" i="6" s="1"/>
  <c r="K101" i="6" s="1"/>
  <c r="E100" i="6"/>
  <c r="F100" i="6" s="1"/>
  <c r="D98" i="6"/>
  <c r="I98" i="6" s="1"/>
  <c r="K97" i="6"/>
  <c r="F97" i="6"/>
  <c r="G97" i="6" s="1"/>
  <c r="L97" i="6" s="1"/>
  <c r="K96" i="6"/>
  <c r="G96" i="6"/>
  <c r="L96" i="6" s="1"/>
  <c r="F96" i="6"/>
  <c r="D95" i="6"/>
  <c r="I95" i="6" s="1"/>
  <c r="K94" i="6"/>
  <c r="G94" i="6"/>
  <c r="L94" i="6" s="1"/>
  <c r="F94" i="6"/>
  <c r="I93" i="6"/>
  <c r="K93" i="6" s="1"/>
  <c r="D93" i="6"/>
  <c r="K92" i="6"/>
  <c r="F92" i="6"/>
  <c r="G92" i="6" s="1"/>
  <c r="L92" i="6" s="1"/>
  <c r="F91" i="6"/>
  <c r="G91" i="6" s="1"/>
  <c r="L91" i="6" s="1"/>
  <c r="D90" i="6"/>
  <c r="I90" i="6" s="1"/>
  <c r="K89" i="6"/>
  <c r="G89" i="6"/>
  <c r="L89" i="6" s="1"/>
  <c r="F89" i="6"/>
  <c r="D88" i="6"/>
  <c r="I88" i="6" s="1"/>
  <c r="G87" i="6"/>
  <c r="L87" i="6" s="1"/>
  <c r="F87" i="6"/>
  <c r="K87" i="6" s="1"/>
  <c r="I86" i="6"/>
  <c r="K86" i="6" s="1"/>
  <c r="I85" i="6"/>
  <c r="K85" i="6" s="1"/>
  <c r="K84" i="6"/>
  <c r="J84" i="6"/>
  <c r="L84" i="6" s="1"/>
  <c r="I84" i="6"/>
  <c r="K83" i="6"/>
  <c r="G83" i="6"/>
  <c r="L83" i="6" s="1"/>
  <c r="F83" i="6"/>
  <c r="K82" i="6"/>
  <c r="J82" i="6"/>
  <c r="L82" i="6" s="1"/>
  <c r="I82" i="6"/>
  <c r="F81" i="6"/>
  <c r="I79" i="6"/>
  <c r="K79" i="6" s="1"/>
  <c r="H79" i="6"/>
  <c r="K78" i="6"/>
  <c r="F78" i="6"/>
  <c r="G78" i="6" s="1"/>
  <c r="L78" i="6" s="1"/>
  <c r="I76" i="6"/>
  <c r="K76" i="6" s="1"/>
  <c r="K75" i="6"/>
  <c r="J75" i="6"/>
  <c r="L75" i="6" s="1"/>
  <c r="I75" i="6"/>
  <c r="K74" i="6"/>
  <c r="J74" i="6"/>
  <c r="L74" i="6" s="1"/>
  <c r="I74" i="6"/>
  <c r="F73" i="6"/>
  <c r="K73" i="6" s="1"/>
  <c r="D72" i="6"/>
  <c r="I72" i="6" s="1"/>
  <c r="G71" i="6"/>
  <c r="L71" i="6" s="1"/>
  <c r="F71" i="6"/>
  <c r="K71" i="6" s="1"/>
  <c r="A71" i="6"/>
  <c r="A73" i="6" s="1"/>
  <c r="A78" i="6" s="1"/>
  <c r="A81" i="6" s="1"/>
  <c r="A83" i="6" s="1"/>
  <c r="A87" i="6" s="1"/>
  <c r="A89" i="6" s="1"/>
  <c r="A91" i="6" s="1"/>
  <c r="A92" i="6" s="1"/>
  <c r="A94" i="6" s="1"/>
  <c r="A96" i="6" s="1"/>
  <c r="A97" i="6" s="1"/>
  <c r="A100" i="6" s="1"/>
  <c r="A101" i="6" s="1"/>
  <c r="A104" i="6" s="1"/>
  <c r="A108" i="6" s="1"/>
  <c r="A109" i="6" s="1"/>
  <c r="A110" i="6" s="1"/>
  <c r="A111" i="6" s="1"/>
  <c r="A112" i="6" s="1"/>
  <c r="A113" i="6" s="1"/>
  <c r="A115" i="6" s="1"/>
  <c r="A118" i="6" s="1"/>
  <c r="A121" i="6" s="1"/>
  <c r="A125" i="6" s="1"/>
  <c r="A129" i="6" s="1"/>
  <c r="A138" i="6" s="1"/>
  <c r="A139" i="6" s="1"/>
  <c r="A140" i="6" s="1"/>
  <c r="A142" i="6" s="1"/>
  <c r="A153" i="6" s="1"/>
  <c r="A155" i="6" s="1"/>
  <c r="A157" i="6" s="1"/>
  <c r="A160" i="6" s="1"/>
  <c r="I69" i="6"/>
  <c r="K69" i="6" s="1"/>
  <c r="I68" i="6"/>
  <c r="K68" i="6" s="1"/>
  <c r="K67" i="6"/>
  <c r="J67" i="6"/>
  <c r="L67" i="6" s="1"/>
  <c r="I67" i="6"/>
  <c r="K66" i="6"/>
  <c r="J66" i="6"/>
  <c r="L66" i="6" s="1"/>
  <c r="I66" i="6"/>
  <c r="I65" i="6"/>
  <c r="K65" i="6" s="1"/>
  <c r="F64" i="6"/>
  <c r="K64" i="6" s="1"/>
  <c r="K63" i="6"/>
  <c r="G63" i="6"/>
  <c r="L63" i="6" s="1"/>
  <c r="F63" i="6"/>
  <c r="K62" i="6"/>
  <c r="G62" i="6"/>
  <c r="L62" i="6" s="1"/>
  <c r="F62" i="6"/>
  <c r="F61" i="6"/>
  <c r="H59" i="6"/>
  <c r="I59" i="6" s="1"/>
  <c r="K58" i="6"/>
  <c r="H58" i="6"/>
  <c r="I58" i="6" s="1"/>
  <c r="K104" i="7" l="1"/>
  <c r="G104" i="7"/>
  <c r="L104" i="7" s="1"/>
  <c r="K105" i="7"/>
  <c r="G105" i="7"/>
  <c r="L105" i="7" s="1"/>
  <c r="G106" i="7"/>
  <c r="L106" i="7" s="1"/>
  <c r="K106" i="7"/>
  <c r="I116" i="7"/>
  <c r="J116" i="7" s="1"/>
  <c r="J19" i="7"/>
  <c r="L19" i="7" s="1"/>
  <c r="K19" i="7"/>
  <c r="K77" i="7"/>
  <c r="G77" i="7"/>
  <c r="L77" i="7" s="1"/>
  <c r="K107" i="7"/>
  <c r="G107" i="7"/>
  <c r="L107" i="7" s="1"/>
  <c r="G79" i="7"/>
  <c r="L79" i="7" s="1"/>
  <c r="K79" i="7"/>
  <c r="G96" i="7"/>
  <c r="L96" i="7" s="1"/>
  <c r="K96" i="7"/>
  <c r="K33" i="7"/>
  <c r="G33" i="7"/>
  <c r="L33" i="7" s="1"/>
  <c r="K26" i="7"/>
  <c r="J26" i="7"/>
  <c r="L26" i="7" s="1"/>
  <c r="K76" i="7"/>
  <c r="G76" i="7"/>
  <c r="L76" i="7" s="1"/>
  <c r="G35" i="7"/>
  <c r="L35" i="7" s="1"/>
  <c r="K35" i="7"/>
  <c r="A99" i="7"/>
  <c r="A100" i="7" s="1"/>
  <c r="A101" i="7" s="1"/>
  <c r="A103" i="7" s="1"/>
  <c r="A104" i="7" s="1"/>
  <c r="A105" i="7" s="1"/>
  <c r="A97" i="7"/>
  <c r="K23" i="7"/>
  <c r="J23" i="7"/>
  <c r="L23" i="7" s="1"/>
  <c r="K60" i="7"/>
  <c r="J60" i="7"/>
  <c r="L60" i="7" s="1"/>
  <c r="K11" i="7"/>
  <c r="G11" i="7"/>
  <c r="L11" i="7" s="1"/>
  <c r="K88" i="7"/>
  <c r="G88" i="7"/>
  <c r="L88" i="7" s="1"/>
  <c r="K12" i="7"/>
  <c r="G12" i="7"/>
  <c r="L12" i="7" s="1"/>
  <c r="K71" i="7"/>
  <c r="G71" i="7"/>
  <c r="L71" i="7" s="1"/>
  <c r="K62" i="7"/>
  <c r="J62" i="7"/>
  <c r="L62" i="7" s="1"/>
  <c r="J21" i="7"/>
  <c r="L21" i="7" s="1"/>
  <c r="K46" i="7"/>
  <c r="J54" i="7"/>
  <c r="L54" i="7" s="1"/>
  <c r="G93" i="7"/>
  <c r="L93" i="7" s="1"/>
  <c r="G100" i="7"/>
  <c r="L100" i="7" s="1"/>
  <c r="G114" i="7"/>
  <c r="L114" i="7" s="1"/>
  <c r="G14" i="7"/>
  <c r="L14" i="7" s="1"/>
  <c r="K41" i="7"/>
  <c r="J111" i="7"/>
  <c r="L111" i="7" s="1"/>
  <c r="J70" i="7"/>
  <c r="L70" i="7" s="1"/>
  <c r="K74" i="7"/>
  <c r="G81" i="7"/>
  <c r="L81" i="7" s="1"/>
  <c r="K85" i="7"/>
  <c r="G25" i="7"/>
  <c r="L25" i="7" s="1"/>
  <c r="K29" i="7"/>
  <c r="K37" i="7"/>
  <c r="G51" i="7"/>
  <c r="L51" i="7" s="1"/>
  <c r="K66" i="7"/>
  <c r="J58" i="7"/>
  <c r="L58" i="7" s="1"/>
  <c r="G18" i="7"/>
  <c r="L18" i="7" s="1"/>
  <c r="J67" i="7"/>
  <c r="L67" i="7" s="1"/>
  <c r="G75" i="7"/>
  <c r="L75" i="7" s="1"/>
  <c r="G86" i="7"/>
  <c r="L86" i="7" s="1"/>
  <c r="K9" i="7"/>
  <c r="K116" i="7" s="1"/>
  <c r="L116" i="7" s="1"/>
  <c r="G78" i="7"/>
  <c r="L78" i="7" s="1"/>
  <c r="K91" i="7"/>
  <c r="K97" i="7"/>
  <c r="K112" i="7"/>
  <c r="G15" i="7"/>
  <c r="L15" i="7" s="1"/>
  <c r="G30" i="7"/>
  <c r="L30" i="7" s="1"/>
  <c r="G34" i="7"/>
  <c r="L34" i="7" s="1"/>
  <c r="K38" i="7"/>
  <c r="G82" i="7"/>
  <c r="L82" i="7" s="1"/>
  <c r="G52" i="7"/>
  <c r="L52" i="7" s="1"/>
  <c r="G64" i="7"/>
  <c r="L64" i="7" s="1"/>
  <c r="G109" i="7"/>
  <c r="L109" i="7" s="1"/>
  <c r="F116" i="7"/>
  <c r="G116" i="7" s="1"/>
  <c r="G10" i="7"/>
  <c r="L10" i="7" s="1"/>
  <c r="G87" i="7"/>
  <c r="L87" i="7" s="1"/>
  <c r="G92" i="7"/>
  <c r="L92" i="7" s="1"/>
  <c r="G99" i="7"/>
  <c r="L99" i="7" s="1"/>
  <c r="G103" i="7"/>
  <c r="L103" i="7" s="1"/>
  <c r="G113" i="7"/>
  <c r="L113" i="7" s="1"/>
  <c r="G13" i="7"/>
  <c r="L13" i="7" s="1"/>
  <c r="K16" i="7"/>
  <c r="G31" i="7"/>
  <c r="L31" i="7" s="1"/>
  <c r="K39" i="7"/>
  <c r="J53" i="7"/>
  <c r="L53" i="7" s="1"/>
  <c r="J72" i="7"/>
  <c r="L72" i="7" s="1"/>
  <c r="G84" i="7"/>
  <c r="L84" i="7" s="1"/>
  <c r="K88" i="6"/>
  <c r="J88" i="6"/>
  <c r="L88" i="6" s="1"/>
  <c r="K72" i="6"/>
  <c r="J72" i="6"/>
  <c r="L72" i="6" s="1"/>
  <c r="J116" i="6"/>
  <c r="L116" i="6" s="1"/>
  <c r="G109" i="6"/>
  <c r="L109" i="6" s="1"/>
  <c r="K91" i="6"/>
  <c r="K129" i="6"/>
  <c r="G129" i="6"/>
  <c r="L129" i="6" s="1"/>
  <c r="K138" i="6"/>
  <c r="G138" i="6"/>
  <c r="L138" i="6" s="1"/>
  <c r="G101" i="6"/>
  <c r="L101" i="6" s="1"/>
  <c r="K139" i="6"/>
  <c r="K90" i="6"/>
  <c r="J90" i="6"/>
  <c r="L90" i="6" s="1"/>
  <c r="K108" i="6"/>
  <c r="G108" i="6"/>
  <c r="L108" i="6" s="1"/>
  <c r="K59" i="6"/>
  <c r="K161" i="6" s="1"/>
  <c r="L161" i="6" s="1"/>
  <c r="J59" i="6"/>
  <c r="L59" i="6" s="1"/>
  <c r="F161" i="6"/>
  <c r="G161" i="6" s="1"/>
  <c r="K98" i="6"/>
  <c r="J98" i="6"/>
  <c r="L98" i="6" s="1"/>
  <c r="K100" i="6"/>
  <c r="G100" i="6"/>
  <c r="L100" i="6" s="1"/>
  <c r="K110" i="6"/>
  <c r="G110" i="6"/>
  <c r="L110" i="6" s="1"/>
  <c r="K155" i="6"/>
  <c r="G155" i="6"/>
  <c r="L155" i="6" s="1"/>
  <c r="K102" i="6"/>
  <c r="J102" i="6"/>
  <c r="L102" i="6" s="1"/>
  <c r="K122" i="6"/>
  <c r="J122" i="6"/>
  <c r="L122" i="6" s="1"/>
  <c r="K140" i="6"/>
  <c r="G140" i="6"/>
  <c r="L140" i="6" s="1"/>
  <c r="K142" i="6"/>
  <c r="G142" i="6"/>
  <c r="L142" i="6" s="1"/>
  <c r="K81" i="6"/>
  <c r="G81" i="6"/>
  <c r="L81" i="6" s="1"/>
  <c r="K112" i="6"/>
  <c r="G112" i="6"/>
  <c r="L112" i="6" s="1"/>
  <c r="K95" i="6"/>
  <c r="J95" i="6"/>
  <c r="L95" i="6" s="1"/>
  <c r="K158" i="6"/>
  <c r="J158" i="6"/>
  <c r="L158" i="6" s="1"/>
  <c r="K105" i="6"/>
  <c r="J105" i="6"/>
  <c r="L105" i="6" s="1"/>
  <c r="K124" i="6"/>
  <c r="J124" i="6"/>
  <c r="L124" i="6" s="1"/>
  <c r="J58" i="6"/>
  <c r="L58" i="6" s="1"/>
  <c r="I161" i="6"/>
  <c r="J161" i="6" s="1"/>
  <c r="G64" i="6"/>
  <c r="L64" i="6" s="1"/>
  <c r="J68" i="6"/>
  <c r="L68" i="6" s="1"/>
  <c r="J76" i="6"/>
  <c r="L76" i="6" s="1"/>
  <c r="J85" i="6"/>
  <c r="L85" i="6" s="1"/>
  <c r="G121" i="6"/>
  <c r="L121" i="6" s="1"/>
  <c r="J144" i="6"/>
  <c r="L144" i="6" s="1"/>
  <c r="J148" i="6"/>
  <c r="L148" i="6" s="1"/>
  <c r="J152" i="6"/>
  <c r="L152" i="6" s="1"/>
  <c r="G61" i="6"/>
  <c r="L61" i="6" s="1"/>
  <c r="J65" i="6"/>
  <c r="L65" i="6" s="1"/>
  <c r="J69" i="6"/>
  <c r="L69" i="6" s="1"/>
  <c r="G73" i="6"/>
  <c r="L73" i="6" s="1"/>
  <c r="J86" i="6"/>
  <c r="L86" i="6" s="1"/>
  <c r="G125" i="6"/>
  <c r="L125" i="6" s="1"/>
  <c r="J145" i="6"/>
  <c r="L145" i="6" s="1"/>
  <c r="J149" i="6"/>
  <c r="L149" i="6" s="1"/>
  <c r="J156" i="6"/>
  <c r="L156" i="6" s="1"/>
  <c r="K61" i="6"/>
  <c r="J93" i="6"/>
  <c r="L93" i="6" s="1"/>
  <c r="G118" i="6"/>
  <c r="L118" i="6" s="1"/>
  <c r="J79" i="6"/>
  <c r="L79" i="6" s="1"/>
  <c r="G104" i="6"/>
  <c r="L104" i="6" s="1"/>
  <c r="G111" i="6"/>
  <c r="L111" i="6" s="1"/>
  <c r="G115" i="6"/>
  <c r="L115" i="6" s="1"/>
  <c r="J123" i="6"/>
  <c r="L123" i="6" s="1"/>
  <c r="J154" i="6"/>
  <c r="L154" i="6" s="1"/>
  <c r="A106" i="7" l="1"/>
  <c r="A107" i="7" s="1"/>
  <c r="A109" i="7"/>
  <c r="A110" i="7" s="1"/>
  <c r="A112" i="7" s="1"/>
  <c r="A113" i="7" s="1"/>
  <c r="A114" i="7" s="1"/>
  <c r="A115" i="7" s="1"/>
  <c r="I50" i="4" l="1"/>
  <c r="J50" i="4" s="1"/>
  <c r="F49" i="4"/>
  <c r="K49" i="4" s="1"/>
  <c r="F47" i="4"/>
  <c r="K47" i="4" s="1"/>
  <c r="K50" i="4" s="1"/>
  <c r="L50" i="4" s="1"/>
  <c r="A47" i="4"/>
  <c r="A49" i="4" s="1"/>
  <c r="G47" i="4" l="1"/>
  <c r="L47" i="4" s="1"/>
  <c r="G49" i="4"/>
  <c r="L49" i="4" s="1"/>
  <c r="F50" i="4"/>
  <c r="G50" i="4" s="1"/>
  <c r="J26" i="2" l="1"/>
  <c r="K26" i="2" s="1"/>
  <c r="J27" i="2"/>
  <c r="K27" i="2" s="1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8" i="2"/>
  <c r="K29" i="2"/>
  <c r="K30" i="2"/>
  <c r="J25" i="2"/>
  <c r="K25" i="2" s="1"/>
  <c r="J3" i="2"/>
  <c r="H36" i="3"/>
  <c r="I36" i="3" s="1"/>
  <c r="H35" i="3"/>
  <c r="I35" i="3" s="1"/>
  <c r="K34" i="3"/>
  <c r="I34" i="3"/>
  <c r="J34" i="3" s="1"/>
  <c r="L34" i="3" s="1"/>
  <c r="I33" i="3"/>
  <c r="K33" i="3" s="1"/>
  <c r="I32" i="3"/>
  <c r="K32" i="3" s="1"/>
  <c r="F31" i="3"/>
  <c r="K31" i="3" s="1"/>
  <c r="I29" i="3"/>
  <c r="K29" i="3" s="1"/>
  <c r="D29" i="3"/>
  <c r="D28" i="3"/>
  <c r="F28" i="3" s="1"/>
  <c r="I27" i="3"/>
  <c r="K27" i="3" s="1"/>
  <c r="K26" i="3"/>
  <c r="F26" i="3"/>
  <c r="G26" i="3" s="1"/>
  <c r="L26" i="3" s="1"/>
  <c r="I25" i="3"/>
  <c r="J25" i="3" s="1"/>
  <c r="L25" i="3" s="1"/>
  <c r="F24" i="3"/>
  <c r="G24" i="3" s="1"/>
  <c r="L24" i="3" s="1"/>
  <c r="I23" i="3"/>
  <c r="J23" i="3" s="1"/>
  <c r="L23" i="3" s="1"/>
  <c r="F22" i="3"/>
  <c r="K22" i="3" s="1"/>
  <c r="I21" i="3"/>
  <c r="J21" i="3" s="1"/>
  <c r="L21" i="3" s="1"/>
  <c r="F20" i="3"/>
  <c r="G20" i="3" s="1"/>
  <c r="L20" i="3" s="1"/>
  <c r="D18" i="3"/>
  <c r="F18" i="3" s="1"/>
  <c r="F17" i="3"/>
  <c r="G17" i="3" s="1"/>
  <c r="L17" i="3" s="1"/>
  <c r="F16" i="3"/>
  <c r="K16" i="3" s="1"/>
  <c r="K15" i="3"/>
  <c r="F15" i="3"/>
  <c r="G15" i="3" s="1"/>
  <c r="L15" i="3" s="1"/>
  <c r="F14" i="3"/>
  <c r="G14" i="3" s="1"/>
  <c r="L14" i="3" s="1"/>
  <c r="F13" i="3"/>
  <c r="K13" i="3" s="1"/>
  <c r="A13" i="3"/>
  <c r="A14" i="3" s="1"/>
  <c r="A15" i="3" s="1"/>
  <c r="A16" i="3" s="1"/>
  <c r="A17" i="3" s="1"/>
  <c r="A18" i="3" s="1"/>
  <c r="A20" i="3" s="1"/>
  <c r="A22" i="3" s="1"/>
  <c r="A24" i="3" s="1"/>
  <c r="A26" i="3" s="1"/>
  <c r="A28" i="3" s="1"/>
  <c r="A31" i="3" s="1"/>
  <c r="D11" i="3"/>
  <c r="I11" i="3" s="1"/>
  <c r="F10" i="3"/>
  <c r="K10" i="3" s="1"/>
  <c r="A10" i="3"/>
  <c r="I9" i="3"/>
  <c r="F8" i="3"/>
  <c r="F37" i="3" s="1"/>
  <c r="G37" i="3" s="1"/>
  <c r="J35" i="2" l="1"/>
  <c r="K37" i="2" s="1"/>
  <c r="K3" i="2"/>
  <c r="K35" i="2" s="1"/>
  <c r="K28" i="3"/>
  <c r="G28" i="3"/>
  <c r="L28" i="3" s="1"/>
  <c r="I37" i="3"/>
  <c r="J37" i="3" s="1"/>
  <c r="K11" i="3"/>
  <c r="J11" i="3"/>
  <c r="L11" i="3" s="1"/>
  <c r="G18" i="3"/>
  <c r="L18" i="3" s="1"/>
  <c r="K18" i="3"/>
  <c r="J36" i="3"/>
  <c r="L36" i="3" s="1"/>
  <c r="K36" i="3"/>
  <c r="K35" i="3"/>
  <c r="J35" i="3"/>
  <c r="L35" i="3" s="1"/>
  <c r="K8" i="3"/>
  <c r="G31" i="3"/>
  <c r="L31" i="3" s="1"/>
  <c r="K24" i="3"/>
  <c r="K17" i="3"/>
  <c r="G8" i="3"/>
  <c r="L8" i="3" s="1"/>
  <c r="K23" i="3"/>
  <c r="J27" i="3"/>
  <c r="L27" i="3" s="1"/>
  <c r="G16" i="3"/>
  <c r="L16" i="3" s="1"/>
  <c r="J9" i="3"/>
  <c r="L9" i="3" s="1"/>
  <c r="K9" i="3"/>
  <c r="K21" i="3"/>
  <c r="G10" i="3"/>
  <c r="L10" i="3" s="1"/>
  <c r="K14" i="3"/>
  <c r="K25" i="3"/>
  <c r="J33" i="3"/>
  <c r="L33" i="3" s="1"/>
  <c r="G13" i="3"/>
  <c r="L13" i="3" s="1"/>
  <c r="K20" i="3"/>
  <c r="J32" i="3"/>
  <c r="L32" i="3" s="1"/>
  <c r="G22" i="3"/>
  <c r="L22" i="3" s="1"/>
  <c r="J29" i="3"/>
  <c r="L29" i="3" s="1"/>
  <c r="K39" i="2" l="1"/>
  <c r="K37" i="3"/>
  <c r="L37" i="3" s="1"/>
  <c r="C28" i="2" l="1"/>
</calcChain>
</file>

<file path=xl/sharedStrings.xml><?xml version="1.0" encoding="utf-8"?>
<sst xmlns="http://schemas.openxmlformats.org/spreadsheetml/2006/main" count="3364" uniqueCount="1271">
  <si>
    <t>АС1</t>
  </si>
  <si>
    <t>Раздел</t>
  </si>
  <si>
    <t>АС4</t>
  </si>
  <si>
    <t>АС2</t>
  </si>
  <si>
    <t>Врем водопр</t>
  </si>
  <si>
    <t>Врем переезд</t>
  </si>
  <si>
    <t>ГП1</t>
  </si>
  <si>
    <t>ГП2</t>
  </si>
  <si>
    <t>ГСН</t>
  </si>
  <si>
    <t>Демонтаж ламп</t>
  </si>
  <si>
    <t>КС обкаточные</t>
  </si>
  <si>
    <t>КС трансбордер</t>
  </si>
  <si>
    <t>НВК1</t>
  </si>
  <si>
    <t>НВК2</t>
  </si>
  <si>
    <t>НВК3</t>
  </si>
  <si>
    <t>НВК4</t>
  </si>
  <si>
    <t>НВК5</t>
  </si>
  <si>
    <t>ПЖ</t>
  </si>
  <si>
    <t>СС</t>
  </si>
  <si>
    <t>ТС1</t>
  </si>
  <si>
    <t>ТС2</t>
  </si>
  <si>
    <t>ТС3</t>
  </si>
  <si>
    <t>Удал кустарников</t>
  </si>
  <si>
    <t>Огражд обкаточных</t>
  </si>
  <si>
    <t>ЭС1</t>
  </si>
  <si>
    <t>ЭС2</t>
  </si>
  <si>
    <t>№ п/п</t>
  </si>
  <si>
    <t>Наименование работ</t>
  </si>
  <si>
    <t>Сумма</t>
  </si>
  <si>
    <t xml:space="preserve">АС1 </t>
  </si>
  <si>
    <t>Временный водопровод 121 по согл ВОР_417 путь</t>
  </si>
  <si>
    <t xml:space="preserve">ГСН </t>
  </si>
  <si>
    <t>Демонтаж ламп 121+75  по согл ВОР_417</t>
  </si>
  <si>
    <t>КС</t>
  </si>
  <si>
    <t>НВК 1</t>
  </si>
  <si>
    <t xml:space="preserve">НВК2 </t>
  </si>
  <si>
    <t xml:space="preserve">НВК3 </t>
  </si>
  <si>
    <t xml:space="preserve">ПЖ </t>
  </si>
  <si>
    <t xml:space="preserve">ТС2 </t>
  </si>
  <si>
    <t xml:space="preserve">ТС3 </t>
  </si>
  <si>
    <t>Устройство ограждения вдоль обкаточного пути  по согл ВОР_417 путь</t>
  </si>
  <si>
    <t xml:space="preserve">ЭС1 </t>
  </si>
  <si>
    <t xml:space="preserve">ЭС2 </t>
  </si>
  <si>
    <t xml:space="preserve">АС2 </t>
  </si>
  <si>
    <t>Временный переезд возле 417</t>
  </si>
  <si>
    <t>Смещение фундаментов под трансбордер (АС1)</t>
  </si>
  <si>
    <t>Узел подпорной стены по коллектору (АС2)</t>
  </si>
  <si>
    <t>Удлинение подпорной стенки трансбордера (ПС-2)</t>
  </si>
  <si>
    <t>Вырубка кустарников</t>
  </si>
  <si>
    <t>почему расценка из 8 цеха? 308,75р/м3 должно быть</t>
  </si>
  <si>
    <t>Итого по своду</t>
  </si>
  <si>
    <t>Свод от ЭЭ</t>
  </si>
  <si>
    <t>Всего должно получится</t>
  </si>
  <si>
    <t>Еще нужно порезать</t>
  </si>
  <si>
    <t>Свод КиК</t>
  </si>
  <si>
    <t>№</t>
  </si>
  <si>
    <t>Причина корректировки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</si>
  <si>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</si>
  <si>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</si>
  <si>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</si>
  <si>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</si>
  <si>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</si>
  <si>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</si>
  <si>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</si>
  <si>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</si>
  <si>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</si>
  <si>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</si>
  <si>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</si>
  <si>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</si>
  <si>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131-23-АС1 Архитектурно-строительные решения. Трасбордер</t>
  </si>
  <si>
    <t>Площадка трансбордера. АС1</t>
  </si>
  <si>
    <t>Установка бортовых камней</t>
  </si>
  <si>
    <t>м</t>
  </si>
  <si>
    <t>1.1</t>
  </si>
  <si>
    <t>Камни бортовые БР 100.30.15</t>
  </si>
  <si>
    <t>шт.</t>
  </si>
  <si>
    <t>Устройство асфальтобетонного покрытия 4см</t>
  </si>
  <si>
    <t>м2</t>
  </si>
  <si>
    <t>2.1</t>
  </si>
  <si>
    <t>Смеси асфальтобетонные мелкозернистые</t>
  </si>
  <si>
    <t>т</t>
  </si>
  <si>
    <t>Земляное полотно железнодорожного пути</t>
  </si>
  <si>
    <t xml:space="preserve">Добавили из КС-6! </t>
  </si>
  <si>
    <t xml:space="preserve">Разработка сухого грунта механизированным способом </t>
  </si>
  <si>
    <t>м3</t>
  </si>
  <si>
    <t>Разработка грунта в траншее вручную</t>
  </si>
  <si>
    <t>Обратная засыпка грунта вручную</t>
  </si>
  <si>
    <t xml:space="preserve">Обратная засыпка грунта бульдозером </t>
  </si>
  <si>
    <t>Уплотнение грунта пневматическими трамбовками</t>
  </si>
  <si>
    <t>Погрузка лишнего грунта в автосамосвалы</t>
  </si>
  <si>
    <t>Устройство основания строения пути</t>
  </si>
  <si>
    <t xml:space="preserve">Добавили из КС-6!  </t>
  </si>
  <si>
    <t>Устройство подушки из песчано-гравийной смеси (толщина слоя 200мм)</t>
  </si>
  <si>
    <t>9.1</t>
  </si>
  <si>
    <t>Смесь песчано-гравийная природная</t>
  </si>
  <si>
    <t>Устройство оснований  из песка</t>
  </si>
  <si>
    <t>10.1</t>
  </si>
  <si>
    <t>Песок</t>
  </si>
  <si>
    <t>Устройство подушки из щебня</t>
  </si>
  <si>
    <t>11.1</t>
  </si>
  <si>
    <t>Щебень известняковый М600 фр. 20/40</t>
  </si>
  <si>
    <t>Устройство балластной подушки из гранитного щебня</t>
  </si>
  <si>
    <t>12.1</t>
  </si>
  <si>
    <t>Щебень балластный кат.2</t>
  </si>
  <si>
    <t>62 шт. в КС-6 -32 шт.по п.1</t>
  </si>
  <si>
    <t>13.1</t>
  </si>
  <si>
    <t>Устройство верхнего строения пути</t>
  </si>
  <si>
    <t>Добавили из КС-6</t>
  </si>
  <si>
    <t>Укладка пути отдельными элементами на железобетонных шпалах тип рельсов: Р50</t>
  </si>
  <si>
    <t>14.1</t>
  </si>
  <si>
    <t>Полушпалы ПШП 310</t>
  </si>
  <si>
    <t>закупка шеллрокк</t>
  </si>
  <si>
    <t>14.2</t>
  </si>
  <si>
    <t xml:space="preserve">Рельсы Р-50 </t>
  </si>
  <si>
    <t>14.3</t>
  </si>
  <si>
    <t>Подкладка раздельного скрепления железнодорожного пути</t>
  </si>
  <si>
    <t>14.4</t>
  </si>
  <si>
    <t>Болт закладной М22х175 в сборе  (0,569т)</t>
  </si>
  <si>
    <t>цена по счету +15%</t>
  </si>
  <si>
    <t>14.5</t>
  </si>
  <si>
    <t>Болт клеммный М22х75 в сборе (0,713т)</t>
  </si>
  <si>
    <t xml:space="preserve">Итого </t>
  </si>
  <si>
    <t>КП с дисконтом</t>
  </si>
  <si>
    <t>новые работы</t>
  </si>
  <si>
    <t>Дублируется, учтено в АС1</t>
  </si>
  <si>
    <t>Дублируется, учтено в АС2</t>
  </si>
  <si>
    <t>Материал-полушпала закупал Шеллрокк</t>
  </si>
  <si>
    <t>131-23-ГП1 Генеральный план</t>
  </si>
  <si>
    <t>Разборка дорожных покрытий</t>
  </si>
  <si>
    <t>Демонтаж дорожного бордюра БР 100.30.15</t>
  </si>
  <si>
    <t xml:space="preserve">Резка асфальтового покрытия фрезой </t>
  </si>
  <si>
    <t xml:space="preserve">стоимость из ВДЦ 8-го цеха (НВК) </t>
  </si>
  <si>
    <t xml:space="preserve">Разборка покрытий асфальтобетонных мех. способом </t>
  </si>
  <si>
    <t xml:space="preserve">Разборка оснований щебеночных мех. способом </t>
  </si>
  <si>
    <t>Прочие работы</t>
  </si>
  <si>
    <t>Погрузка строительного мусора в автосамосвалы</t>
  </si>
  <si>
    <t>стоимость из НВК5</t>
  </si>
  <si>
    <t xml:space="preserve">Земляные работы </t>
  </si>
  <si>
    <t>Доработка грунта в траншее вручную</t>
  </si>
  <si>
    <t>Погрузка  грунта в автосамосвалы</t>
  </si>
  <si>
    <t>Устройство асфальтобетонного покрытия</t>
  </si>
  <si>
    <t>Устройство слоя из геотекстиля Дорнит</t>
  </si>
  <si>
    <t>Геотекстиль Дорнит 500 (с учетом коэфф. 1,1 на захлест )</t>
  </si>
  <si>
    <t>цена по счету</t>
  </si>
  <si>
    <t xml:space="preserve">Устройство слоя из песка крупного  h=0,30 </t>
  </si>
  <si>
    <t>Песок крупный ГОСТ 8736-2014 h=0,30 с К упл.= 1,10</t>
  </si>
  <si>
    <t xml:space="preserve">Устройство слоя из щебня крупного  h=0,15 </t>
  </si>
  <si>
    <t xml:space="preserve">Щебень крупный М600 (20-70мм) </t>
  </si>
  <si>
    <t xml:space="preserve">Устройство слоя из щебня мелкого  h=0,08 </t>
  </si>
  <si>
    <t xml:space="preserve">Щебень мелкий М600 (5-20мм) </t>
  </si>
  <si>
    <t>Укладка асфальтобетона мелкозеристого горячего на битуме   h=0,05</t>
  </si>
  <si>
    <t xml:space="preserve">Асфальтобетон мелкозернистый, плотный горячий на битуме БНД марки 60/90, Тип Б, Марки II </t>
  </si>
  <si>
    <t>Укладка асфальтобетона крупнозернистого горячего на битуме    h=0,07</t>
  </si>
  <si>
    <t xml:space="preserve">Асфальтобетон крупнозернистый, плотный горячий на битуме БНД марки 60/90, Тип Б, Марки II </t>
  </si>
  <si>
    <t>Устройство бортовых камней БР 100.30.15</t>
  </si>
  <si>
    <t>15.1</t>
  </si>
  <si>
    <t>Бортовые камни БР 100.30.15</t>
  </si>
  <si>
    <t>Посев многолетних трав</t>
  </si>
  <si>
    <t>Обратная засыпка песком вручную</t>
  </si>
  <si>
    <t>16.1</t>
  </si>
  <si>
    <t>Песок природный  средний</t>
  </si>
  <si>
    <t xml:space="preserve">Уплотнение </t>
  </si>
  <si>
    <t xml:space="preserve">Подготовка почвы для устройства газона  ручным способом с внесением растительной земли слоем 10 см </t>
  </si>
  <si>
    <t>стоимость по ФЕР</t>
  </si>
  <si>
    <t>18.1</t>
  </si>
  <si>
    <t>Земля растительная</t>
  </si>
  <si>
    <t xml:space="preserve">Подготовка почвы для устройства газона  ручным способом с внесением растительной земли слоем 20 см </t>
  </si>
  <si>
    <t>19.1</t>
  </si>
  <si>
    <t>Посев многолетних трав ручным способом</t>
  </si>
  <si>
    <t>20.1</t>
  </si>
  <si>
    <t>Кострец безостный</t>
  </si>
  <si>
    <t>кг</t>
  </si>
  <si>
    <t>20.2</t>
  </si>
  <si>
    <t>Овсянка луговая</t>
  </si>
  <si>
    <t>20.3</t>
  </si>
  <si>
    <t>Ежа сборная</t>
  </si>
  <si>
    <t>Вертикальная планировка</t>
  </si>
  <si>
    <t>Добавили из КС-6!</t>
  </si>
  <si>
    <t>Выполнялось силами Террус</t>
  </si>
  <si>
    <t>131-23-ПЖ</t>
  </si>
  <si>
    <t>Сооружение земляного полотна</t>
  </si>
  <si>
    <t>Земляные работы</t>
  </si>
  <si>
    <t xml:space="preserve">Выемка техногенного грунта </t>
  </si>
  <si>
    <t>8-й цех</t>
  </si>
  <si>
    <t>стоимость из НВК</t>
  </si>
  <si>
    <t xml:space="preserve">Перевозка грунта до 1км  </t>
  </si>
  <si>
    <t>Планировка площадей бульдозерами</t>
  </si>
  <si>
    <t>Не выполнялось, верх закрыт примерно 620т.р., работы мутные, ИД нету, закрыто техзаком понятийно</t>
  </si>
  <si>
    <t>Планировка вручную дна и откосов выемок каналов</t>
  </si>
  <si>
    <t>Планировка откосов выемок и насыпей экскаваторами</t>
  </si>
  <si>
    <t>Устройсвто онований под ж/д пути</t>
  </si>
  <si>
    <t xml:space="preserve">Устройство разделяющей прослойки под песчаным основанием жд. путей из геотекстиля </t>
  </si>
  <si>
    <t>Геотекстиль</t>
  </si>
  <si>
    <t>Устройство подстилающих и выравнивающих слоев оснований из песка</t>
  </si>
  <si>
    <t>Устройство подстилающих и выравнивающих слоев оснований из щебня</t>
  </si>
  <si>
    <t>Замена балласта/ Снятие балластного основания</t>
  </si>
  <si>
    <t xml:space="preserve">Замена балласта/ Балластировка пути </t>
  </si>
  <si>
    <t>Демонтажные работы</t>
  </si>
  <si>
    <t>Разборка тупиковых упоров</t>
  </si>
  <si>
    <t>шт</t>
  </si>
  <si>
    <t>Разборка стрелочного перевода марки 1/9 на деревянных брусьях</t>
  </si>
  <si>
    <t>Разборка существующего звеньевого пути, шпалы ж/б</t>
  </si>
  <si>
    <t>Разборка существующего звеньевого пути на деревянных шпалах</t>
  </si>
  <si>
    <t>Погрузка демонтированных элементов</t>
  </si>
  <si>
    <t>Перевозка грузов на расстояние до 2км</t>
  </si>
  <si>
    <t>КП с дисконтом. Трансбордер. Перемещение грунта</t>
  </si>
  <si>
    <t>Разгрузка демонтированных элементов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</si>
  <si>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</si>
  <si>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21.1</t>
  </si>
  <si>
    <t>Болт стыковой в сборе Р65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</si>
  <si>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</si>
  <si>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контррельсов</t>
  </si>
  <si>
    <t>Укладка контррельсовый уголка в комплекте с башмаками и кремплением</t>
  </si>
  <si>
    <t>Укладка глухого пересечения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</si>
  <si>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</si>
  <si>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комплект</t>
  </si>
  <si>
    <t>Укладка стрелочных переводов</t>
  </si>
  <si>
    <t xml:space="preserve">Укладка нового стрелочного перевода типа Р65 марка 1/9 , с комплектом ж.б. брусьев и креплений </t>
  </si>
  <si>
    <t>Укладка нового стрелочного перевода типа Р65 марка 1/9 правый, с комплектом деревянных брусьев и креплений</t>
  </si>
  <si>
    <t xml:space="preserve">Укладка старогоднего стрелочного перевода типа Р65 марка 1/9 </t>
  </si>
  <si>
    <t>Укладка нового стрелочного перевода типа Р65 марка 1/7 левый, с комплектом деревянных брусьев и креплений</t>
  </si>
  <si>
    <t xml:space="preserve">Укладка сарогоднего стрелочного перевода типа Р65 марка 1/9 </t>
  </si>
  <si>
    <t>Устройство тупиковых упоров</t>
  </si>
  <si>
    <t xml:space="preserve">Установка тупиковых упоров </t>
  </si>
  <si>
    <t>Изготовление и монтаж обрамления призм тупиковых упоров (5 шт.)</t>
  </si>
  <si>
    <t>средняя цена работ цеха 8 по обрамлению уголком и сталью пандусов</t>
  </si>
  <si>
    <t>31.1</t>
  </si>
  <si>
    <t>Лист ст 3мм</t>
  </si>
  <si>
    <t>стоимость цех 8 (лист 4мм)</t>
  </si>
  <si>
    <t>31.2</t>
  </si>
  <si>
    <t>Уголок 50х50х4мм</t>
  </si>
  <si>
    <t>стоимость цех 8</t>
  </si>
  <si>
    <t>Рихтовка, выправка и балластировка путей</t>
  </si>
  <si>
    <t>Рихтовка пути</t>
  </si>
  <si>
    <t>Балластировка пути и стрелочных переводов</t>
  </si>
  <si>
    <t>33.1</t>
  </si>
  <si>
    <t>Устройство  выравнивающего слоя междупутья из щебня</t>
  </si>
  <si>
    <t>34.1</t>
  </si>
  <si>
    <t>Устройство  выравнивающего слоя междупутья из песка</t>
  </si>
  <si>
    <t>35.1</t>
  </si>
  <si>
    <t>Изготовление и устройство закладных конструкций</t>
  </si>
  <si>
    <t>Изготовление в построечных условиях конструкций закладных МС2 (380шт., L=150мм; 4,79кг/м)</t>
  </si>
  <si>
    <t>Сверление рельс для установки МС2 (380 * 2 отверстия)</t>
  </si>
  <si>
    <t xml:space="preserve">Установка МС2 на болтовых соединениях </t>
  </si>
  <si>
    <t>38.1</t>
  </si>
  <si>
    <t>Изделие соединительное МС2 (уголок 75х50х5)</t>
  </si>
  <si>
    <t>38.2</t>
  </si>
  <si>
    <t>Болт М14</t>
  </si>
  <si>
    <t>38.3</t>
  </si>
  <si>
    <t>Гайка М14</t>
  </si>
  <si>
    <t>38.4</t>
  </si>
  <si>
    <t>Шайба М14</t>
  </si>
  <si>
    <t>Установка изделий МС-1</t>
  </si>
  <si>
    <t>39.1</t>
  </si>
  <si>
    <t xml:space="preserve">Изделие соединительное МС1 (уголок 75х75х5)  </t>
  </si>
  <si>
    <t>Подготовительные и демонтажные работы</t>
  </si>
  <si>
    <t>Разборка покрытий асфальтобетонных отбойными молотками</t>
  </si>
  <si>
    <t>ГП2 (предварит. КП)</t>
  </si>
  <si>
    <t>стоимость из ГП</t>
  </si>
  <si>
    <t>Разборка дорожных ж/б плит  (3м*1,75м*0,17м)</t>
  </si>
  <si>
    <t>Разборка бетонного основания отбойными молотками</t>
  </si>
  <si>
    <t>цех 8 (ж/б пол)</t>
  </si>
  <si>
    <t>Разборка бетонных конструкций Путь №30</t>
  </si>
  <si>
    <t>Разборка тупиков ж/б конструкций Путь №31</t>
  </si>
  <si>
    <t>Разборка бетонных блоков отбойными молотками (тупики)</t>
  </si>
  <si>
    <t>Разборка бетонных плит</t>
  </si>
  <si>
    <t>Разборка бетонного основания отбойными молотками (тупики)</t>
  </si>
  <si>
    <t>Демонтаж опор</t>
  </si>
  <si>
    <t>Демонтаж ж/б конструкций опор</t>
  </si>
  <si>
    <t>Разборка монолитного ж/б фундамента</t>
  </si>
  <si>
    <t>Демонтаж ж/б опор (6шт., 19,2м3)</t>
  </si>
  <si>
    <t xml:space="preserve">Демонтаж м/ конструкций </t>
  </si>
  <si>
    <t xml:space="preserve">Демонтаж металлоконструкций опоры (опоры под трубопроводы) </t>
  </si>
  <si>
    <t>Демонтаж металлоконструкций фермы</t>
  </si>
  <si>
    <t>Погрузка металлического лома</t>
  </si>
  <si>
    <t>Разгрузка металлического лома</t>
  </si>
  <si>
    <t>Стыковка с путями 417 цеха</t>
  </si>
  <si>
    <t>66.1</t>
  </si>
  <si>
    <t>Соединение рельсошпальной решетки на деревянных шпалах с рельсовыми путями цеха 417</t>
  </si>
  <si>
    <t>стык</t>
  </si>
  <si>
    <t>Сверление отверстий в рельсах после подрезки под монтаж накладки</t>
  </si>
  <si>
    <t>Демонтаж бетонного основания отбойными молотками</t>
  </si>
  <si>
    <t>131-23-ГП2 Генеральный план</t>
  </si>
  <si>
    <t>Демонтаж (Существующее асфальтовое покрытие проездов)</t>
  </si>
  <si>
    <t>Демонтаж бортовых камней</t>
  </si>
  <si>
    <t xml:space="preserve">Разборка асфальтобетонного покрытия  </t>
  </si>
  <si>
    <t xml:space="preserve">Разборка щебеночного основания </t>
  </si>
  <si>
    <t>Разборка дорожных ж/б плит  гидромолотом</t>
  </si>
  <si>
    <t xml:space="preserve">Демонтаж отмостки цеха 121/18 из ж/бетона h=0,25 отбойными молотками  </t>
  </si>
  <si>
    <t>Доработка грунта вручную</t>
  </si>
  <si>
    <t xml:space="preserve">Уплотнение  </t>
  </si>
  <si>
    <t>Погрузка вытесненного грунта в автосамосвалы</t>
  </si>
  <si>
    <t>Благоустройство (Асфальтовое покрытие проездов)</t>
  </si>
  <si>
    <t xml:space="preserve">Устройство слоя из песка крупного </t>
  </si>
  <si>
    <t>Устройство слоя из щебня  крупного</t>
  </si>
  <si>
    <t>Щебень фракции  М600 (25-60мм), известняк</t>
  </si>
  <si>
    <t>Устройство слоя из щебня  мелкого</t>
  </si>
  <si>
    <t>Щебень фракции  М600 (5-20мм), известняк</t>
  </si>
  <si>
    <t>в КП 417 путь цена -  1083р/м2 за 5 см, учтено 7мм пропорционально</t>
  </si>
  <si>
    <t>17.1</t>
  </si>
  <si>
    <t>417 путь</t>
  </si>
  <si>
    <t>Благоустройство (Резинокордовое покрытие из плит через ж/д путь №33,35,37,39 l=10.45м) – 1 переезд</t>
  </si>
  <si>
    <t>Укладка плиты внутренней резинокордового покрытия</t>
  </si>
  <si>
    <t>Укладка плиты наружней резинокордового покрытия</t>
  </si>
  <si>
    <t xml:space="preserve">Укладка ж/б прижимной балки БПР-3 </t>
  </si>
  <si>
    <t>Укладка ж/б прижимной балки БПР-4</t>
  </si>
  <si>
    <t>23.1</t>
  </si>
  <si>
    <t xml:space="preserve"> Резинокордовое покрытие</t>
  </si>
  <si>
    <t>компл.</t>
  </si>
  <si>
    <t>Установка на переезде через 4 пути дорожных знаков на сборных фундаментных блоках</t>
  </si>
  <si>
    <t>24.1</t>
  </si>
  <si>
    <t xml:space="preserve">Стойка 76 мм, L = 2 м, оцинкованная </t>
  </si>
  <si>
    <t>24.2</t>
  </si>
  <si>
    <t xml:space="preserve">Основание знака ж/б Ф-2 под стойку </t>
  </si>
  <si>
    <t>24.3</t>
  </si>
  <si>
    <t xml:space="preserve">Хомут  (76) мм </t>
  </si>
  <si>
    <t>24.4</t>
  </si>
  <si>
    <t xml:space="preserve">Дорожный знак 2.5  </t>
  </si>
  <si>
    <t>24.5</t>
  </si>
  <si>
    <t>Дорожный знак 1.2</t>
  </si>
  <si>
    <t>24.6</t>
  </si>
  <si>
    <t xml:space="preserve">Дорожный знак 1.3.1 </t>
  </si>
  <si>
    <t>24.7</t>
  </si>
  <si>
    <t>Дорожный знак 1.4.1</t>
  </si>
  <si>
    <t>24.8</t>
  </si>
  <si>
    <t xml:space="preserve">Дорожный знак 1.4.2  2 </t>
  </si>
  <si>
    <t>24.9</t>
  </si>
  <si>
    <t xml:space="preserve">Дорожный знак 1.4.3  2 </t>
  </si>
  <si>
    <t>24.10</t>
  </si>
  <si>
    <t xml:space="preserve">Дорожный знак 1.4.4  2 </t>
  </si>
  <si>
    <t>24.11</t>
  </si>
  <si>
    <t xml:space="preserve">Дорожный знак 1.4.5  2 </t>
  </si>
  <si>
    <t>24.12</t>
  </si>
  <si>
    <t xml:space="preserve">Дорожный знак 1.4.6  2 </t>
  </si>
  <si>
    <t>24.13</t>
  </si>
  <si>
    <t>Дорожный знак 2.5</t>
  </si>
  <si>
    <t>Благоустройство (Резинокордовое покрытие из плит через ж/д путь №31, l=6.0м) – 2 переезда</t>
  </si>
  <si>
    <t>Устройство прокладки наружней резинокордового покрытия</t>
  </si>
  <si>
    <t>Устройство прокладки внутренней резинокордового покрытия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</si>
  <si>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</si>
  <si>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</si>
  <si>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</si>
  <si>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</si>
  <si>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</si>
  <si>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</si>
  <si>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Подготовка почвы для устройства газона  ручным способом с внесением растительной земли слоем 10 см</t>
  </si>
  <si>
    <t>25.1</t>
  </si>
  <si>
    <t>столько не было земли!!! Максимум 5 машин, пересчитано на 100м3</t>
  </si>
  <si>
    <t>26.1</t>
  </si>
  <si>
    <t>26.2</t>
  </si>
  <si>
    <t>26.3</t>
  </si>
  <si>
    <t>Благоустройство (укладка плитки тротуарной на переезде цеха 417)</t>
  </si>
  <si>
    <t xml:space="preserve">Укладка плитки тротуарной </t>
  </si>
  <si>
    <t>27.1</t>
  </si>
  <si>
    <t>Тротуарная плитка "Брусчатка" (200*100*60)мм</t>
  </si>
  <si>
    <t>Благоустройство (Водоотводной лоток)</t>
  </si>
  <si>
    <t>Устройство лотка водоотводного</t>
  </si>
  <si>
    <t>28.1</t>
  </si>
  <si>
    <t>Лоток BetoMax Drive ЛВ-30.36.26-Б 47471</t>
  </si>
  <si>
    <t>Устройство водоприемной решетки</t>
  </si>
  <si>
    <t>29.1</t>
  </si>
  <si>
    <t>Решетка Drive РВ-30.35.50-щель-ВЧ кл.C 273033-D (1012 шт.)</t>
  </si>
  <si>
    <t>29.2</t>
  </si>
  <si>
    <t>Болт М10х25 ГОСТ 7805-70</t>
  </si>
  <si>
    <t>29.3</t>
  </si>
  <si>
    <t>Гайка М 10 DIN 557 квадрат</t>
  </si>
  <si>
    <t xml:space="preserve">Устройство  основания из щебня </t>
  </si>
  <si>
    <t>30.1</t>
  </si>
  <si>
    <t>Щебень фракции 5-20мм М600, известняк</t>
  </si>
  <si>
    <t>Засыпка пазух лотков песком вручную</t>
  </si>
  <si>
    <t xml:space="preserve">Песок крупный </t>
  </si>
  <si>
    <t>Засыпка пазух лотков щебнем вручную</t>
  </si>
  <si>
    <t>Отсыпка территории песком механизированно</t>
  </si>
  <si>
    <t>Отсыпка территории щебнем механизированно</t>
  </si>
  <si>
    <t>36.1</t>
  </si>
  <si>
    <t>Благоустройство (укрепление откосов георешеткой)</t>
  </si>
  <si>
    <t>Подготовка откосов к укладке геотехнической решетки</t>
  </si>
  <si>
    <t xml:space="preserve">Укрепление откосов геотехнической решеткой с креплением анкерами </t>
  </si>
  <si>
    <t>Геотехническая решетка Н=0.15 м</t>
  </si>
  <si>
    <t>Анкер металлический, А12-900 мм</t>
  </si>
  <si>
    <t>Засыпка щебнем с разравниванием</t>
  </si>
  <si>
    <t>Щебень фр. 20-40, известняк</t>
  </si>
  <si>
    <t>Устройствто ограждения вдоль ММ3 ПЖ31 ПК5+50</t>
  </si>
  <si>
    <t>Демонтаж железобетонных оград из панелей</t>
  </si>
  <si>
    <t>цена за монтаж с К=0,8</t>
  </si>
  <si>
    <t>Демонтаж профлиста 2,27*2,53м</t>
  </si>
  <si>
    <t>стоимость по ФЕР *0,7</t>
  </si>
  <si>
    <t>Демонтаж профтрубы 40*40*2мм L=3000мм</t>
  </si>
  <si>
    <t xml:space="preserve">Стоимость АС1 (монтаж опор) *0,7 </t>
  </si>
  <si>
    <t>Демонтаж профтрубы 40*40*2мм L=2270мм</t>
  </si>
  <si>
    <t>Демонтаж профлиста 0,86*2,53м</t>
  </si>
  <si>
    <t>стоимость по ФЕР*0,7</t>
  </si>
  <si>
    <t>Монтаж ограждения</t>
  </si>
  <si>
    <t>Устройство железобетонных оград из панелей (2,5м*4шт.)</t>
  </si>
  <si>
    <t>47.1</t>
  </si>
  <si>
    <t>Фундамент ограждения ФО-2 «Альбом ИЖ 31-77» массой 0,63 т</t>
  </si>
  <si>
    <t>47.2</t>
  </si>
  <si>
    <t>Панель ограждения ПО-2 «Альбом ИЖ 31-77» массой 1420 кг</t>
  </si>
  <si>
    <t xml:space="preserve">Заделка панелей ограждения бетоном </t>
  </si>
  <si>
    <t>48.1</t>
  </si>
  <si>
    <t>Бетон В20</t>
  </si>
  <si>
    <t>Дорожные знаки</t>
  </si>
  <si>
    <t xml:space="preserve">Установка на двух переездах дорожных знаков «Стоп» на металлических стойках h=4м с омоноличиванием фундаментом </t>
  </si>
  <si>
    <t>49.1</t>
  </si>
  <si>
    <t>Стойка 76 мм, L = 4 м, оцинкованная</t>
  </si>
  <si>
    <t>49.2</t>
  </si>
  <si>
    <t>49.3</t>
  </si>
  <si>
    <t xml:space="preserve">Дорожный знак 2.5 "Движение без остановки запрещено" 2 типоразмер, пленка тип "Б" </t>
  </si>
  <si>
    <t>Разметка с двух сторон переезда стоп-линией перпендикулярно дорожному полотну шириной 0,4м</t>
  </si>
  <si>
    <t>50.1</t>
  </si>
  <si>
    <t xml:space="preserve">Краска для разметки дорог Profilux цвет белый </t>
  </si>
  <si>
    <t>Восстановление колодцев действующих инженерных сетей</t>
  </si>
  <si>
    <t>Демонтаж ж/б изделий колодцев:</t>
  </si>
  <si>
    <t>стоимость путь 217 НВК, п.26</t>
  </si>
  <si>
    <t>51.1</t>
  </si>
  <si>
    <t xml:space="preserve"> - Демонтаж плиты перекрытия ПП10</t>
  </si>
  <si>
    <t>51.2</t>
  </si>
  <si>
    <t xml:space="preserve"> - Демонтаж плиты перекрытия ПП15</t>
  </si>
  <si>
    <t>51.3</t>
  </si>
  <si>
    <t xml:space="preserve"> - Демонтаж плиты перекрытия ПП20</t>
  </si>
  <si>
    <t>51.4</t>
  </si>
  <si>
    <t xml:space="preserve"> - Демонтаж  ПН10</t>
  </si>
  <si>
    <t>51.5</t>
  </si>
  <si>
    <t xml:space="preserve"> - Демонтаж  КС10.9</t>
  </si>
  <si>
    <t>51.6</t>
  </si>
  <si>
    <t xml:space="preserve"> - Демонтаж  КС10.6</t>
  </si>
  <si>
    <t>51.7</t>
  </si>
  <si>
    <t xml:space="preserve"> - Демонтаж  плиты ПВК 8</t>
  </si>
  <si>
    <t>51.8</t>
  </si>
  <si>
    <t xml:space="preserve"> - Демонтаж люка чугунного</t>
  </si>
  <si>
    <t>Демонтаж чугунной решетки ДБ2</t>
  </si>
  <si>
    <t>цена за монтаж с К=0,7</t>
  </si>
  <si>
    <t>Демонтаж ж/б трубы Ду. 400мм</t>
  </si>
  <si>
    <t>Демонтаж ПНД трубы Ду.160мм</t>
  </si>
  <si>
    <t>Монтажные работы</t>
  </si>
  <si>
    <t>Устройство круглых сборных железобетонных канализационных колодцев  в мокрых грунтах</t>
  </si>
  <si>
    <t>55.1</t>
  </si>
  <si>
    <t>Плита перекрытия ПП10</t>
  </si>
  <si>
    <t>55.2</t>
  </si>
  <si>
    <t>Плита перекрытия колодца ПП15</t>
  </si>
  <si>
    <t>55.3</t>
  </si>
  <si>
    <t>Плита перекрытия колодца ПП20</t>
  </si>
  <si>
    <t>55.4</t>
  </si>
  <si>
    <t>Плита днища колодца ПН10</t>
  </si>
  <si>
    <t>55.5</t>
  </si>
  <si>
    <t>Плита днища колодца ПН20</t>
  </si>
  <si>
    <t>55.6</t>
  </si>
  <si>
    <t>Кольцо доборное колодезное КС7.6</t>
  </si>
  <si>
    <t>55.7</t>
  </si>
  <si>
    <t>Кольцо доборное колодезное КС7.3</t>
  </si>
  <si>
    <t>55.8</t>
  </si>
  <si>
    <t>Кольцо опорное К06</t>
  </si>
  <si>
    <t>55.9</t>
  </si>
  <si>
    <t>Кольцо опорное К07</t>
  </si>
  <si>
    <t>55.10</t>
  </si>
  <si>
    <t xml:space="preserve">Люк чугунный тяжелый </t>
  </si>
  <si>
    <t xml:space="preserve">Монтаж кольца опорного кольца из кирпича </t>
  </si>
  <si>
    <t>56.1</t>
  </si>
  <si>
    <t>Кирпич КР-р-по 250х120х88/1,4НФ/150/2,0/50</t>
  </si>
  <si>
    <t>Обмазка праймером Технониколь  в один слой</t>
  </si>
  <si>
    <t>57.1</t>
  </si>
  <si>
    <t>Битумная грунтовка ТЕХНОНИКОЛЬ № 01  (20л=16кг)</t>
  </si>
  <si>
    <t>л</t>
  </si>
  <si>
    <t>Обмазка битумной мастикой  в два слоя</t>
  </si>
  <si>
    <t>58.1</t>
  </si>
  <si>
    <t>Битумная мастика Технониколь №24</t>
  </si>
  <si>
    <t>Комм/расценка 8 цеха</t>
  </si>
  <si>
    <t>разница</t>
  </si>
  <si>
    <t>итого</t>
  </si>
  <si>
    <t>131-23-ГСН. Наружные газопроводы. Вынос газопровода среднего давления</t>
  </si>
  <si>
    <t>Газопровод среднего давления</t>
  </si>
  <si>
    <t xml:space="preserve">Демонтаж труб стальных электросварных ø159х6,0 мм </t>
  </si>
  <si>
    <t xml:space="preserve">Разработка грунта вручную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</si>
  <si>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</si>
  <si>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</si>
  <si>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</t>
  </si>
  <si>
    <t>5.1</t>
  </si>
  <si>
    <t>Подсыпка над газопроводом песком толщиной 0,2</t>
  </si>
  <si>
    <t>6.1</t>
  </si>
  <si>
    <t>Обратная засыпка котлована механизированным способом</t>
  </si>
  <si>
    <t>Уплотнение  пневматическими трамбовками</t>
  </si>
  <si>
    <t>Прокладка трубопровода</t>
  </si>
  <si>
    <t>Обрезка труб Ф315мм под футляр</t>
  </si>
  <si>
    <t>рез</t>
  </si>
  <si>
    <t>Выравнивание концов под приварку</t>
  </si>
  <si>
    <t>Установка муфты электросварной со спиралью ПЭ100 ГАЗ SDR 11  100∅315</t>
  </si>
  <si>
    <t>Муфта электросварная со спиралью ПЭ100 100∅315 SDR 11 ГАЗ</t>
  </si>
  <si>
    <t>Установка футляра -  трубы полиэтиленовой ПЭ100 ГАЗ SDR 11  ∅315х28,6</t>
  </si>
  <si>
    <t>пог.м.</t>
  </si>
  <si>
    <t>Труба полиэтиленовая ПЭ100 ГАЗ SDR 11 ∅315х28,6</t>
  </si>
  <si>
    <t>Обрезка труб Ф160мм под футляр</t>
  </si>
  <si>
    <t>Прокладка трубы полиэтиленовой ПЭ100 ГАЗ SDR 11  ∅160х14,6</t>
  </si>
  <si>
    <t>Труба полиэтиленовая ПЭ100 ГАЗ SDR 11 ∅160х14,6</t>
  </si>
  <si>
    <t>Установка муфты электросварной со спиралью ПЭ100 ГАЗ SDR 11  100∅160</t>
  </si>
  <si>
    <t>Муфта электросварная со спиралью ПЭ100 100∅160 SDR 11 ГАЗ</t>
  </si>
  <si>
    <t>Заделка  концов футляра</t>
  </si>
  <si>
    <t>Цементно-песчаный раствор М100</t>
  </si>
  <si>
    <t>Установка седлового отвода ф315х32мм</t>
  </si>
  <si>
    <t xml:space="preserve">Седёлки крановые с эл. спиралью  ПЭ100 315х32 SDR11 ГАЗ </t>
  </si>
  <si>
    <t xml:space="preserve">Установка неразъёмного соединения п/с ПЭ100 ГАЗ 32х3/ст32 </t>
  </si>
  <si>
    <t xml:space="preserve">Неразъёмное соединение п/с ПЭ100 ГАЗ 32х3/ст32 </t>
  </si>
  <si>
    <t>Устройство выхода газопровода из земли по типу цокольного ввода</t>
  </si>
  <si>
    <t>22.1</t>
  </si>
  <si>
    <t>Отвод электросварной ПЭ100 ГАЗ SDR 11 ∅160х14,6  90 грд</t>
  </si>
  <si>
    <t>22.2</t>
  </si>
  <si>
    <t>Труба ∅159х4 сталь</t>
  </si>
  <si>
    <t>22.3</t>
  </si>
  <si>
    <t xml:space="preserve">Отвод стальной приварный крутоизогнутый 90 грд 159х5,0 </t>
  </si>
  <si>
    <t>22.4</t>
  </si>
  <si>
    <t>Кран 11сб7п ф150мм</t>
  </si>
  <si>
    <t>22.5</t>
  </si>
  <si>
    <t>Труба ∅325х5  (футляр)</t>
  </si>
  <si>
    <t>Установка трубок контрольных</t>
  </si>
  <si>
    <t xml:space="preserve">Труба стальная электросварная  ∅42х3.0 </t>
  </si>
  <si>
    <t>23.2</t>
  </si>
  <si>
    <t xml:space="preserve">Скоба - сталь листовая Б-ПН-2.0  </t>
  </si>
  <si>
    <t>23.3</t>
  </si>
  <si>
    <t xml:space="preserve">Оси-2-6-h12х28 Ст3 </t>
  </si>
  <si>
    <t>23.4</t>
  </si>
  <si>
    <t xml:space="preserve">Шайбы 6.01.096 </t>
  </si>
  <si>
    <t>23.5</t>
  </si>
  <si>
    <t>Шплинты 1.6х10.0.05</t>
  </si>
  <si>
    <t>23.6</t>
  </si>
  <si>
    <t>Ковер</t>
  </si>
  <si>
    <t>Устройство футляра из трубы электросварной ф426х7</t>
  </si>
  <si>
    <t>Стоимость ФЕР</t>
  </si>
  <si>
    <t>Труба электросварная ф426х7</t>
  </si>
  <si>
    <t>Протаскивание в футляр полиэтиленовых труб диаметром: 160 мм</t>
  </si>
  <si>
    <t>Монтаж опорной плиты для ковера</t>
  </si>
  <si>
    <t>Опорная плита для ковера ПТ 75.60.8-15</t>
  </si>
  <si>
    <t>Устройство кладки из кирпича</t>
  </si>
  <si>
    <t>Кирпич М75</t>
  </si>
  <si>
    <t>Устройство щебеночной подготовки</t>
  </si>
  <si>
    <t>м³</t>
  </si>
  <si>
    <t>Щебень</t>
  </si>
  <si>
    <t>Засыпка пазух песком</t>
  </si>
  <si>
    <t>Устройство цементной стяжки с разуклонкой</t>
  </si>
  <si>
    <t>Цементная стяжка</t>
  </si>
  <si>
    <t xml:space="preserve">Штукатурка кирпичных стен </t>
  </si>
  <si>
    <t>Штукатурка</t>
  </si>
  <si>
    <t>Обмазка битумной мастикой в два слоя</t>
  </si>
  <si>
    <t>стоимость из ТС1</t>
  </si>
  <si>
    <t>32.1</t>
  </si>
  <si>
    <t>Огрунтовка металлических поверхностей за один раз</t>
  </si>
  <si>
    <t>цена из  трансбордер</t>
  </si>
  <si>
    <t>Грунтовка ГФ-021</t>
  </si>
  <si>
    <t xml:space="preserve">Окраска металлических поверхностей за два слоя </t>
  </si>
  <si>
    <t>Эмаль ПФ-115, серая</t>
  </si>
  <si>
    <t>Установка перехода полиэтилен/сталь ПЭ100 ГАЗ SDR 11  ∅160х14,6</t>
  </si>
  <si>
    <t>Неразъемное соединение полиэтилен/сталь ∅160х14,6/ст.159х4,5</t>
  </si>
  <si>
    <t>Установка отвода электросварного 90° ПЭ100 ГАЗ SDR 11  ∅160х14,6</t>
  </si>
  <si>
    <t xml:space="preserve">Установка ленты сигнальной </t>
  </si>
  <si>
    <t>37.1</t>
  </si>
  <si>
    <t xml:space="preserve">Лента сигнальная </t>
  </si>
  <si>
    <t>Врезка в суш. газопровод Ф159мм</t>
  </si>
  <si>
    <t>Испытания газопровода</t>
  </si>
  <si>
    <t>Испытание газопровода на прочность и плотность</t>
  </si>
  <si>
    <t>не выполнялось, не закрыто</t>
  </si>
  <si>
    <t>Визуальный контроль сварных стыков (пэ/сталь -2/2)</t>
  </si>
  <si>
    <t>41</t>
  </si>
  <si>
    <t>Резка асфальта</t>
  </si>
  <si>
    <t>Комм/расценка из 8цех заменена на 350р/м, верх стоимость примерно 420р/м</t>
  </si>
  <si>
    <t>Завышен объем!!! В ВОР 36,06тн пересчитано</t>
  </si>
  <si>
    <t>Завышен объем!!! В ВОР 47,4тн пересчитано</t>
  </si>
  <si>
    <t>Корр. КиК</t>
  </si>
  <si>
    <t>С учетом корр.</t>
  </si>
  <si>
    <t>Итого</t>
  </si>
  <si>
    <t>Итоги корректировки</t>
  </si>
  <si>
    <t>Объемы</t>
  </si>
  <si>
    <t>расц. ЭЭ</t>
  </si>
  <si>
    <t>расц. КиК</t>
  </si>
  <si>
    <t>корр.</t>
  </si>
  <si>
    <t>131-23-НВК5. Устройство ливневой канализации (кол.26-27)</t>
  </si>
  <si>
    <t>Земляные работы для устройства траншеи</t>
  </si>
  <si>
    <t xml:space="preserve">Разработка влажного грунта механизированным способом </t>
  </si>
  <si>
    <t>Устройство песчаного основания</t>
  </si>
  <si>
    <t>3.1</t>
  </si>
  <si>
    <t>Засыпка песком вручную</t>
  </si>
  <si>
    <t>4.1</t>
  </si>
  <si>
    <t xml:space="preserve">Засыпка песком вручную бульдозером </t>
  </si>
  <si>
    <t>по КС-6 засыпка механизированная, в ИД вручную</t>
  </si>
  <si>
    <t xml:space="preserve">Прокладка труб КОРСИС PRODN/OD 630/535P SN 16 </t>
  </si>
  <si>
    <t xml:space="preserve">Труба КОРСИС PRODN/OD 630/535P SN 16 </t>
  </si>
  <si>
    <t>Прокладка труб стальных электросварных 820х14мм ГОСТ10704-91 (футляр)</t>
  </si>
  <si>
    <t>7.1</t>
  </si>
  <si>
    <t>Труба стальная электросварная 820х14мм (футляр)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</si>
  <si>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</si>
  <si>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работы из КС-6</t>
  </si>
  <si>
    <t>Мастика "Ярославна БПХ-2"</t>
  </si>
  <si>
    <t>ФЕР</t>
  </si>
  <si>
    <t>Протаскивание в футляр трубы КОРСИС PRODN/OD 630/535P SN 16  с установкой колец опорно-направляющего ОНК-630/820</t>
  </si>
  <si>
    <t>8.1</t>
  </si>
  <si>
    <t>8.2</t>
  </si>
  <si>
    <t>Опорно-направляющее кольцо ОНК-630 для трубы Дн=630 мм</t>
  </si>
  <si>
    <t>Заделка концов футляра</t>
  </si>
  <si>
    <t>в ИД нет вручную</t>
  </si>
  <si>
    <t>задвоение с 4.1</t>
  </si>
  <si>
    <t>песок как материал не закупался, там ракопали чистый песок</t>
  </si>
  <si>
    <t>там был песок, работы не выполнялись</t>
  </si>
  <si>
    <t>работы не выполнялись</t>
  </si>
  <si>
    <t>131-23-НВК5. Переустройство канализации. Колодец К16А (дождеприемник)</t>
  </si>
  <si>
    <t xml:space="preserve">Земляные работы для устройства котлована колодцев </t>
  </si>
  <si>
    <t xml:space="preserve">Разработка грунта в котловане под колодцы механизированным способом </t>
  </si>
  <si>
    <t xml:space="preserve">Устройство щебеночного основания под колодец </t>
  </si>
  <si>
    <t xml:space="preserve">Обсыпка из  песка </t>
  </si>
  <si>
    <t xml:space="preserve">Земляные работы для устройства траншеи </t>
  </si>
  <si>
    <t>Устройство песчаного основания h=0,1м под трубы вручную</t>
  </si>
  <si>
    <t>Перемещение до 1км недостающего грунта для обратной засыпки</t>
  </si>
  <si>
    <t>стоимость ТС1</t>
  </si>
  <si>
    <t xml:space="preserve">Пропиливание проемов (6,49м х 0,6м 9,52м х 0,6м  1,99м х 0,6м) в существующей бетонной трубе ф600*60мм для последующей санации </t>
  </si>
  <si>
    <t>сметная стоимость</t>
  </si>
  <si>
    <t>Бетон В10</t>
  </si>
  <si>
    <t>Пробивка отверстий 540*540мм в стенках колодца</t>
  </si>
  <si>
    <t xml:space="preserve">Прокладка труб стальных с полиэтиленовым защитным покрытием ВУС 530х 7мм (футляр) </t>
  </si>
  <si>
    <t>Труба стальная с полиэтиленовым защитным покрытием ВУС 530х8мм</t>
  </si>
  <si>
    <t>Протаскивание трубы двухслойной гофрированной полиэтиленовой «Корсис» PRO DN/OD 315P SN16 с установкой колец опорно-направляющего ОНК-315/530</t>
  </si>
  <si>
    <t>Труба КОРСИС PRODN/OD 315P SN 16</t>
  </si>
  <si>
    <t>21.2</t>
  </si>
  <si>
    <t>Опорно-направляющее кольцо ОНК-315 для трубы Дн=315 мм</t>
  </si>
  <si>
    <t>Прокладка трубы двухслойной гофрированной полиэтиленовой «Корсис» PRO DN/OD 315P SN16 в траншее</t>
  </si>
  <si>
    <t>Заполнение межтрубного пространства цементно-песчаным раствором марки М100</t>
  </si>
  <si>
    <t>Установка муфты защитной полиэтиленовой  для прохода труб сквозь бетонную стену колодца (для труб D=315 мм)</t>
  </si>
  <si>
    <t>Муфта защитная полиэтиленовая   (для труб ø315 мм)</t>
  </si>
  <si>
    <t>Устройство колодца К16 (дождеприемник)</t>
  </si>
  <si>
    <t xml:space="preserve">Плита днища колодца ПН10-1 </t>
  </si>
  <si>
    <t>25.2</t>
  </si>
  <si>
    <t xml:space="preserve">Кольцо колодезное стеновое КС10-9 </t>
  </si>
  <si>
    <t>25.3</t>
  </si>
  <si>
    <t xml:space="preserve">Плита перекрытия колодца ПП10-2 </t>
  </si>
  <si>
    <t>Обмазка праймером Технониколь колодца в один слой</t>
  </si>
  <si>
    <t>Обмазка битумной мастикой колодца в два слоя</t>
  </si>
  <si>
    <t>Реконструкция горловин колодцев К15сущ. К16сущ.</t>
  </si>
  <si>
    <t>К15сущ. (демонтаж)</t>
  </si>
  <si>
    <t>Демонатж люка чугунного</t>
  </si>
  <si>
    <t>Разборка кирпичной кладки</t>
  </si>
  <si>
    <t>стоимость из путь 217, АС1, п. 9 с К=0,8</t>
  </si>
  <si>
    <t>К15сущ. (монтаж)</t>
  </si>
  <si>
    <t>Кольцо опорное КО7</t>
  </si>
  <si>
    <t>Установка люка чугунного (ранее демонтированный)</t>
  </si>
  <si>
    <t>К16сущ. (демонтаж)</t>
  </si>
  <si>
    <t>Кольцо доборное строительное КС 7.6</t>
  </si>
  <si>
    <t>стоимость из 217 пути</t>
  </si>
  <si>
    <t>26-27 песок не закупался, объемы по засыпке дублируются
К16А дождепр на порядок завышены работы по резке трубы</t>
  </si>
  <si>
    <t>131-23-ТС2. Переустройство трубопровода теплоснабжения</t>
  </si>
  <si>
    <t>Земляные работы. Устройство траншей</t>
  </si>
  <si>
    <t>Устройство песчаного основания h=0,15м под трубы вручную</t>
  </si>
  <si>
    <t>Устройство подсыпки из песка  в траншее</t>
  </si>
  <si>
    <t>Обсыпка из песка вручную</t>
  </si>
  <si>
    <t xml:space="preserve">Обратная засыпка грунтом  бульдозером </t>
  </si>
  <si>
    <t>Земляные работы. Устройство котлована</t>
  </si>
  <si>
    <t>Засыпка песком  с последующи уплотнением</t>
  </si>
  <si>
    <t>Устройство ж/б плиты</t>
  </si>
  <si>
    <t xml:space="preserve">Устройство бетонной подготовки </t>
  </si>
  <si>
    <t>Бетон В7,5</t>
  </si>
  <si>
    <t xml:space="preserve">Устройство  ж/б плиты </t>
  </si>
  <si>
    <t xml:space="preserve">Бетон В30, W6, F200 </t>
  </si>
  <si>
    <t>15.2</t>
  </si>
  <si>
    <t xml:space="preserve">Арматура d10-А-III, А400С </t>
  </si>
  <si>
    <t>15.3</t>
  </si>
  <si>
    <t xml:space="preserve">Арматура 8-А-I, А400 </t>
  </si>
  <si>
    <t>Гидроизоляция ж/б плиты</t>
  </si>
  <si>
    <t>Устройство гидроизоляции ж/б колодцев  праймером Технониколь в один слой</t>
  </si>
  <si>
    <t xml:space="preserve">Праймер Технониколь </t>
  </si>
  <si>
    <t>Обмазка битумной мастикой ж/б конструкций в два слоя</t>
  </si>
  <si>
    <t>Устройство сборного канала</t>
  </si>
  <si>
    <t xml:space="preserve">Устройство ж/б лотков Л11-15/2 </t>
  </si>
  <si>
    <t>цена из тс трансбордер</t>
  </si>
  <si>
    <t xml:space="preserve">Лоток Л11-15/2 </t>
  </si>
  <si>
    <t xml:space="preserve">Устройство сборных железобетонных плит П12-15д </t>
  </si>
  <si>
    <t>Плита П12д-15</t>
  </si>
  <si>
    <t>Заделка стыков и швов лотков и плит цементным раствором М100</t>
  </si>
  <si>
    <t>Цементный раствор М100</t>
  </si>
  <si>
    <t>Устройство гидроизоляции сборного канала праймером Технониколь в один слой</t>
  </si>
  <si>
    <t xml:space="preserve">Устройство гидроизоляции сборного канала мастикой битумной Технониколь </t>
  </si>
  <si>
    <t>Мастика битумная Технониколь</t>
  </si>
  <si>
    <t xml:space="preserve">Устройство ж/б колодцев </t>
  </si>
  <si>
    <t xml:space="preserve">Устройство кольца стенового  КС20.18Б </t>
  </si>
  <si>
    <t>Кольцо стеновое  КС20.18Б (1,02м3/шт.)</t>
  </si>
  <si>
    <t xml:space="preserve">Устройство плиты 4ПП 20-2 с отверстием Д700 </t>
  </si>
  <si>
    <t>Плита 4ПП 20-2 с отверстием Д700 (0,51м3/шт.)</t>
  </si>
  <si>
    <t xml:space="preserve">Устройство кольца колодезного К-7-9 </t>
  </si>
  <si>
    <t>Кольцо колодезное К-7-9   (0,14м3/шт.)</t>
  </si>
  <si>
    <t xml:space="preserve">Устройство плиты ПК-15  </t>
  </si>
  <si>
    <t>Плита ПК-15  (0,27м3/шт.)</t>
  </si>
  <si>
    <t>Устройство водоприёмного колодца ВГ-15</t>
  </si>
  <si>
    <t>Водоприёмный колодец ВГ-15</t>
  </si>
  <si>
    <t>Устройство плиты ОП-1</t>
  </si>
  <si>
    <t>Плита ОП-1 (0,62м3/шт.)</t>
  </si>
  <si>
    <t xml:space="preserve">Устройство люков </t>
  </si>
  <si>
    <t>цена из тс2</t>
  </si>
  <si>
    <t>Люк чугунный</t>
  </si>
  <si>
    <t>Устройство лестницы</t>
  </si>
  <si>
    <t>Лестница С1</t>
  </si>
  <si>
    <t xml:space="preserve">Устройство гидроизоляции ж/б колодцев мастикой битумной Технониколь </t>
  </si>
  <si>
    <t>Сверление отверстий в колодцах для устройства футляров</t>
  </si>
  <si>
    <t>Устройство вертикальных футляров ф426х8 (подземная часть)</t>
  </si>
  <si>
    <t>Труба ф426х8</t>
  </si>
  <si>
    <t>Утепление трубы минераловатными матами МП-80</t>
  </si>
  <si>
    <t>Маты минераловатные t=50мм</t>
  </si>
  <si>
    <t>Устройство футляров (гильзы) ф426х8 для ввода труб в здание</t>
  </si>
  <si>
    <t xml:space="preserve">Заделка проемов при проходе футляров (гильзы) Ф 426мм через стену здания </t>
  </si>
  <si>
    <t xml:space="preserve">Заделка сальника при проходе труб через стенки Ф159мм колодца </t>
  </si>
  <si>
    <t>Заделка сальника при проходе труб Ф159мм через стенки колодца ВК</t>
  </si>
  <si>
    <t>Устройство сливной трубы стальной эл. св. 159х5</t>
  </si>
  <si>
    <t>42.1</t>
  </si>
  <si>
    <t>Труба ф159х5-1-ППУ-ПЭ</t>
  </si>
  <si>
    <t>Прокладка труб ф159х5-1-ППУ-ПЭ</t>
  </si>
  <si>
    <t>43.1</t>
  </si>
  <si>
    <t>Установка отвода 90°159х6  ППУ ПЭ</t>
  </si>
  <si>
    <t>44.1</t>
  </si>
  <si>
    <t>Отвод 90°159х6  ППУ ПЭ</t>
  </si>
  <si>
    <t>Изоляция стыков ∅159/250  ППУ ПЭ</t>
  </si>
  <si>
    <t>45.1</t>
  </si>
  <si>
    <t>Комплект изоляции стыка в оцинкованной оболочке мастичный для ∅159/250</t>
  </si>
  <si>
    <t>46.1</t>
  </si>
  <si>
    <t>Утепление трубы подъема минераловатными матами МП-80</t>
  </si>
  <si>
    <t>Кожухи из оц. стали</t>
  </si>
  <si>
    <t>Утепление отводов минераловатными матами МП-80</t>
  </si>
  <si>
    <t>Ультразвуковой контроль сварных соединений ф159</t>
  </si>
  <si>
    <t>Присоединение в существующие сети труба/труба</t>
  </si>
  <si>
    <t>врезка</t>
  </si>
  <si>
    <t>Стоимость ФЕР (патрубком)</t>
  </si>
  <si>
    <t>Установка запорной арматуры</t>
  </si>
  <si>
    <t>Установка крана шарового сварка/сварка «BALLOMAX» DN150, PN25</t>
  </si>
  <si>
    <t>54.1</t>
  </si>
  <si>
    <t>Кран шаровый сварка/сварка «BALLOMAX» DN150, PN25</t>
  </si>
  <si>
    <t>Установка тройникового ответвления Ст159х6/45х5-1-ППУ-ОЦ L=1000мм</t>
  </si>
  <si>
    <t>Тройниковое ответвление Ст159х6/45х5-1-ППУ-ОЦ L=1000мм</t>
  </si>
  <si>
    <t>Установка крана шарового сварка/сварка «BALLOMAX» DN40, PN40</t>
  </si>
  <si>
    <t>Кран шаровый сварка/сварка «BALLOMAX» DN40, PN40</t>
  </si>
  <si>
    <t>Установка тройникового ответвления Ст159х6/89х5-1-ППУ-ПЭ L=1000мм, 90 градусов</t>
  </si>
  <si>
    <t>Тройниковое ответвление Ст159х6/89х5-1-ППУ-ПЭ L=1000мм, 90 градусов</t>
  </si>
  <si>
    <t>Установка крана шарового сварка/сварка «BALLOMAX» DN80, PN25</t>
  </si>
  <si>
    <t>Кран шаровый сварка/сварка «BALLOMAX» DN80, PN25</t>
  </si>
  <si>
    <t>завешена стоимость лестницы и лаборатория ультразвук</t>
  </si>
  <si>
    <t xml:space="preserve">Обратная засыпка щебнем </t>
  </si>
  <si>
    <t>Устройство дорожной плиты</t>
  </si>
  <si>
    <t xml:space="preserve">Устройство дорожной плиты </t>
  </si>
  <si>
    <t>Плита дорожная (3000 х 1750 х 170) 2П -30.18-30</t>
  </si>
  <si>
    <t>Устройство сборного лотка</t>
  </si>
  <si>
    <t>Устройство опорной сборной ж/б подушки</t>
  </si>
  <si>
    <t>Сборная ж.б. опорная подушка ОП-5</t>
  </si>
  <si>
    <t>Устройство ж/б лотков</t>
  </si>
  <si>
    <t>16.2</t>
  </si>
  <si>
    <t>Лоток Л11-д-8</t>
  </si>
  <si>
    <t>Очистка поверхностей сборных ж/б лотков и плит от грязи перед обмазкой</t>
  </si>
  <si>
    <t>стоимость из эстакады</t>
  </si>
  <si>
    <t>Надземная прокладка трубы Ст 108х5-1-ППУ-ОЦ оболочке</t>
  </si>
  <si>
    <t xml:space="preserve">Труба Ст 108х5-1-ППУ-ОЦ оболочке </t>
  </si>
  <si>
    <t>Опора скользящая ж/б С-225</t>
  </si>
  <si>
    <t xml:space="preserve">Прокладка трубы ∅ 45х5,0 ППУ-ОЦ </t>
  </si>
  <si>
    <t xml:space="preserve">Трубы ∅ 45х5,0 ППУ-ОЦ </t>
  </si>
  <si>
    <t xml:space="preserve">Ультразвуковой контроль сварных соединений </t>
  </si>
  <si>
    <t>Установка отводов 90° 108х6 (ППУ ОЦ)</t>
  </si>
  <si>
    <t>Отводы 90° 108х6 (ППУ ОЦ)</t>
  </si>
  <si>
    <t>Резка бетонного лотка</t>
  </si>
  <si>
    <t>аналогично асфальту</t>
  </si>
  <si>
    <t>Утепление трубы и закрытие кожухами из оц. стали (с изготовлением, комплектовкой и установкой конструкций на трубопровод)</t>
  </si>
  <si>
    <t xml:space="preserve">Установка отводов 135° 45х5 </t>
  </si>
  <si>
    <t xml:space="preserve">Отводы 135° 45х5 </t>
  </si>
  <si>
    <t>Устройство  колодца ВК1</t>
  </si>
  <si>
    <t>Установка блока ФБС12.4.6</t>
  </si>
  <si>
    <t>Блок ФБС12.4.6</t>
  </si>
  <si>
    <t>Установка плиты перекрытия КП-12</t>
  </si>
  <si>
    <t>Плита перекрытия КП-12 (0,168м3/шт.)</t>
  </si>
  <si>
    <t>Установка колец горловин колодцев К-7-10</t>
  </si>
  <si>
    <t>Кольцо горловин колодцев К-7-10  (0,17м3/шт.)</t>
  </si>
  <si>
    <t>Установка плиты перекрытия ОП1к</t>
  </si>
  <si>
    <t>Плита перекрытия ОП1к</t>
  </si>
  <si>
    <t>Установка люка чугунного</t>
  </si>
  <si>
    <t>Установка кольца колодезного КС-7-9</t>
  </si>
  <si>
    <t>Кольцо колодезное КС-7-9</t>
  </si>
  <si>
    <t>Установка плиты перекрытия ПП-10-1</t>
  </si>
  <si>
    <t>Плита перекрытия ПП-10-1</t>
  </si>
  <si>
    <t>Набивка лотка и заделка отверстий бетоном</t>
  </si>
  <si>
    <t>Бетон В25</t>
  </si>
  <si>
    <t>Монтаж трубы стальной электросварной ф159х5,0 L=0,72м</t>
  </si>
  <si>
    <t>стоимость  трансбордер</t>
  </si>
  <si>
    <t>Труба стальная электросварная ф159х5,0 L=0,72м</t>
  </si>
  <si>
    <t xml:space="preserve">Установка отводов 90° 45х5 </t>
  </si>
  <si>
    <t xml:space="preserve">Отводы 90° 45х5 </t>
  </si>
  <si>
    <t>Установка шарового крана «Балло макс» Д45, Ст45-1-ППУ-ПЭ, А=1950 мм (длина штока)</t>
  </si>
  <si>
    <t>Шаровый кран «Балломакс» Д45, Ст45-1-ППУ-ПЭ, А=1950 мм (длина штока)</t>
  </si>
  <si>
    <t>Установка кольца с днищем КДЦ-10-9</t>
  </si>
  <si>
    <t>41.1</t>
  </si>
  <si>
    <t>Кольцо с днищем КДЦ-10-9</t>
  </si>
  <si>
    <t>Установка металлического листа ф1м</t>
  </si>
  <si>
    <t>стоимость ФЕР</t>
  </si>
  <si>
    <t>Металлический лист ф1м</t>
  </si>
  <si>
    <t>43.2</t>
  </si>
  <si>
    <t>Заделка прохода труб сквозь стену камеры «Вилатермом» диам. 50 мм</t>
  </si>
  <si>
    <t>Вилатерм, диаметр 50 мм</t>
  </si>
  <si>
    <t>Свепление отверстий ф200мм в колодце</t>
  </si>
  <si>
    <t>Обмазка праймером Технониколь ж/б конструкций в один слой</t>
  </si>
  <si>
    <t>Армирование и бетонирование шахты опуска</t>
  </si>
  <si>
    <t>Устройство шахты опуска из монолитного бетона класса В25, F200, W6 Арматура ϕ8 А-III</t>
  </si>
  <si>
    <t>Бетон В25 W6 F200</t>
  </si>
  <si>
    <t>Арматура ∅8-А400</t>
  </si>
  <si>
    <t>52.1</t>
  </si>
  <si>
    <t>53.1</t>
  </si>
  <si>
    <t>Подъем труб из траншеи до сущ. теплотрассы. Монтаж узла для спуска воздуха</t>
  </si>
  <si>
    <t>Прокладка трубы Ст 2д108х5-1-ППУ-ОЦ в непроходном канале</t>
  </si>
  <si>
    <t>56.2</t>
  </si>
  <si>
    <t xml:space="preserve">Установка отводов 90° 108х6 </t>
  </si>
  <si>
    <t xml:space="preserve">Отводы 90° 108х6 </t>
  </si>
  <si>
    <t xml:space="preserve">Установка крана шарового сварка/сварка «BALLOMAX» DN100, PN25 </t>
  </si>
  <si>
    <t xml:space="preserve">Кран шаровый сварка/сварка «BALLOMAX» DN100, PN25 </t>
  </si>
  <si>
    <t>59.1</t>
  </si>
  <si>
    <t xml:space="preserve">Установка зонта трубопроводов </t>
  </si>
  <si>
    <t>60.1</t>
  </si>
  <si>
    <t xml:space="preserve">Лист ОЦ 0,5 </t>
  </si>
  <si>
    <t>60.2</t>
  </si>
  <si>
    <t>Полоса    4х60xL1</t>
  </si>
  <si>
    <t>60.3</t>
  </si>
  <si>
    <t>Пластина 1Ф-1-АМС-М-6</t>
  </si>
  <si>
    <t>60.4</t>
  </si>
  <si>
    <t>Воротник</t>
  </si>
  <si>
    <t>60.5</t>
  </si>
  <si>
    <t>Труба   пог.м.325х8,0</t>
  </si>
  <si>
    <t>60.6</t>
  </si>
  <si>
    <t>Болт М10х40.36.016 (2 шт.)</t>
  </si>
  <si>
    <t>60.7</t>
  </si>
  <si>
    <t>Гайка М10.5.016 (2 шт.)</t>
  </si>
  <si>
    <t>60.8</t>
  </si>
  <si>
    <t>Шайба 10.65Г (2 шт.)</t>
  </si>
  <si>
    <t>60.9</t>
  </si>
  <si>
    <t>Шайба 10.01.019 (2 шт.)</t>
  </si>
  <si>
    <t>Установка гильзы из трубы стальной D=325</t>
  </si>
  <si>
    <t>62.1</t>
  </si>
  <si>
    <t>Труба стальная D=325 (Гильза)</t>
  </si>
  <si>
    <t>63.1</t>
  </si>
  <si>
    <t>Армирование и бетонирование шахты подъема</t>
  </si>
  <si>
    <t>64.1</t>
  </si>
  <si>
    <t>64.2</t>
  </si>
  <si>
    <t>65.1</t>
  </si>
  <si>
    <t>67.1</t>
  </si>
  <si>
    <t>68.1</t>
  </si>
  <si>
    <t>69.1</t>
  </si>
  <si>
    <t>69.2</t>
  </si>
  <si>
    <t>70.1</t>
  </si>
  <si>
    <t>71.1</t>
  </si>
  <si>
    <t>72.1</t>
  </si>
  <si>
    <t>73.1</t>
  </si>
  <si>
    <t>73.2</t>
  </si>
  <si>
    <t>73.3</t>
  </si>
  <si>
    <t>73.4</t>
  </si>
  <si>
    <t>73.5</t>
  </si>
  <si>
    <t>73.6</t>
  </si>
  <si>
    <t>73.7</t>
  </si>
  <si>
    <t>73.8</t>
  </si>
  <si>
    <t>73.9</t>
  </si>
  <si>
    <t>75.1</t>
  </si>
  <si>
    <t>76.1</t>
  </si>
  <si>
    <t>завешена стоимость лаборатории ультразвук</t>
  </si>
  <si>
    <t>131-23-ТС1. Переустройство трубопровода теплоснабжения</t>
  </si>
  <si>
    <t>Устройство песчаного основания  вручную</t>
  </si>
  <si>
    <t>Устройство щебеночного основания</t>
  </si>
  <si>
    <t>Обсыпка из песка труб  в траншее</t>
  </si>
  <si>
    <t>Устройство бетонной подготовки</t>
  </si>
  <si>
    <t>Бетон B7,5</t>
  </si>
  <si>
    <t xml:space="preserve">Разработка грунта механизированным способом </t>
  </si>
  <si>
    <t>Работы по КС-6</t>
  </si>
  <si>
    <t>172,12+86 -6,61(п.5)</t>
  </si>
  <si>
    <t>172,12+86 -6,61(п.6)</t>
  </si>
  <si>
    <t>(83+8,79)*1,9 -132,72 (п.7)</t>
  </si>
  <si>
    <t>Обратная засыпка  вручную</t>
  </si>
  <si>
    <t>5,63-1,42(п.2)</t>
  </si>
  <si>
    <t>6,475-1,79(п.2.1)</t>
  </si>
  <si>
    <t>Обеспыливание поверхности</t>
  </si>
  <si>
    <t>11-1(п.8)</t>
  </si>
  <si>
    <t>43-1(п.9)</t>
  </si>
  <si>
    <t>Битумная мастика ТЕХНОНИКОЛЬ № 24</t>
  </si>
  <si>
    <t>Устройство сборных железобетонных опорных подушек ОП5</t>
  </si>
  <si>
    <t>Опорная подушка ОП-5</t>
  </si>
  <si>
    <t>Устройство заделки отверстий из монолитного бетона В25 W4 F200 отверстия</t>
  </si>
  <si>
    <t>Бетон В25 W4 F200</t>
  </si>
  <si>
    <t>Прокладка труб стальных электросварных прямошовных, группы В по ГОСТ 10705-80* сталь 20 ø159х6,0 мм</t>
  </si>
  <si>
    <t>Труба стальная  ГОСТ 10705-80 сталь 20 ø159х6,0 мм</t>
  </si>
  <si>
    <t>Устройство отвода 90° 159х10</t>
  </si>
  <si>
    <t>Отвод 90°159х10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</si>
  <si>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</si>
  <si>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Труба стальная  ГОСТ 8732-78 В20 ø89х5,0 мм</t>
  </si>
  <si>
    <t>Устройство отвода 90° 89х6</t>
  </si>
  <si>
    <t>Отвод 90°89х6</t>
  </si>
  <si>
    <t xml:space="preserve">Прокладка труб стальных электросварных прямошовных, группы В по ГОСТ 10705-80* сталь 20 ø45х5,0 </t>
  </si>
  <si>
    <t>Труба стальная  ГОСТ 8731-74 сталь 20 ø45х5,0 мм</t>
  </si>
  <si>
    <t>Устройство отвода 90° 45х6</t>
  </si>
  <si>
    <t>Отвод 90°45х6.0</t>
  </si>
  <si>
    <t>Прокладка по стенам зданий и в каналах трубопроводов из чугунных канализационных труб ф100 мм</t>
  </si>
  <si>
    <t>Труба ЧНР 100 ГОСТ 9583-75</t>
  </si>
  <si>
    <t>Устройство крана шарового сварка/сварка "BALLOMAX" DN150, РN25</t>
  </si>
  <si>
    <t>Кран шаровый сварка/сварка "BALLOMAX" DN150, РN25  КШТ 60.102.150.А.25</t>
  </si>
  <si>
    <t>Устройство крана шарового сварка/сварка "BALLOMAX" DN80, РN25</t>
  </si>
  <si>
    <t>Кран шаровый сварка/сварка "BALLOMAX" DN80, РN25  КШТ 60.102.080.А.25</t>
  </si>
  <si>
    <t>Устройство крана шарового сварка/сварка "BALLOMAX" DN40, РN40</t>
  </si>
  <si>
    <t>Кран шаровый сварка/сварка "BALLOMAX" DN40, РN40 КШТ 60.102.040.А.40</t>
  </si>
  <si>
    <t>Установка задвижки чугунной Ду 100</t>
  </si>
  <si>
    <t>Задвижка чуг. Ду100 30ч6бр.</t>
  </si>
  <si>
    <t>Патрубок ПФГ-100 l=1200 мм</t>
  </si>
  <si>
    <t>Изоляция трубопровода</t>
  </si>
  <si>
    <t>11.2</t>
  </si>
  <si>
    <t>6,25-5,25(п.11)</t>
  </si>
  <si>
    <t>6,75-5,25(п.11.1)</t>
  </si>
  <si>
    <t>Окраска трубопровода</t>
  </si>
  <si>
    <t xml:space="preserve">Огрунтовка металлических поверхностей грунтовкой ГФ-021  </t>
  </si>
  <si>
    <t>Грунтовка ГФ021</t>
  </si>
  <si>
    <t>Окраска металлических поверхностей эмалью ПФ-115 в 2 слоя</t>
  </si>
  <si>
    <t>Эмаль ПФ-15</t>
  </si>
  <si>
    <t xml:space="preserve">Окраска металлических поверхностей эмалью КО-811 </t>
  </si>
  <si>
    <t>Устройство камеры ТК-1</t>
  </si>
  <si>
    <t>Устройство монолитного ж/бетонного опуска и объема из бетона В25 F200 W6</t>
  </si>
  <si>
    <t>Бетон В25 F200 W6</t>
  </si>
  <si>
    <t>Арматура кл. АIII ø 8</t>
  </si>
  <si>
    <t>0,78-0,56(п.16)</t>
  </si>
  <si>
    <t>0,7917-0,56(п.16.1)</t>
  </si>
  <si>
    <t>53-41,7(п.16.2)</t>
  </si>
  <si>
    <t>Арматура кл. АI ø 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</si>
  <si>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</si>
  <si>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</si>
  <si>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Устройство отверстий диам. 430 в ж/б плите перекрытия толщ. 260 мм сверлением</t>
  </si>
  <si>
    <t>Устройство труб ø426х7 (4 шт.)</t>
  </si>
  <si>
    <t>Труба 426х7</t>
  </si>
  <si>
    <t>Заделка пространства прохода труб сквозь стену камеры бетоном</t>
  </si>
  <si>
    <t>Бетон М100 (класс В7,5)</t>
  </si>
  <si>
    <t>«Вилатерм» диам. 50 мм</t>
  </si>
  <si>
    <t>Битум БН 90/10</t>
  </si>
  <si>
    <t xml:space="preserve">Устройство монолитной железобетонной камеры ТК-1 </t>
  </si>
  <si>
    <t>Арматура кл. АIII ø 14</t>
  </si>
  <si>
    <t>Арматура кл. АI ø 8</t>
  </si>
  <si>
    <t>Устройство труб ø426х4 (3 шт.)</t>
  </si>
  <si>
    <t>Труба 426х4</t>
  </si>
  <si>
    <t>Устройство труб ø159х4 (2 шт.)</t>
  </si>
  <si>
    <t>Труба 159х4</t>
  </si>
  <si>
    <t>Устройство труб ø127х2 (1 шт.)</t>
  </si>
  <si>
    <t>Труба 127х2</t>
  </si>
  <si>
    <t>Устройство колец колодезных К-7-9 массой 0,38 т (0,61м3)</t>
  </si>
  <si>
    <t>Кольцо колодезное  К-7-9</t>
  </si>
  <si>
    <t>Устройство люков чугунных тяжелых (тип Т) массой 135,5 кг</t>
  </si>
  <si>
    <t>Люк чугунный тяжелый тип "Т"</t>
  </si>
  <si>
    <t>Устройство плит сборных ж/б ОП- 1к массой 1000,1 кг из бетона В22,5 (0,806м3)</t>
  </si>
  <si>
    <t>Плита ОП-1к</t>
  </si>
  <si>
    <t>Устройство сборных ж/бетонных плит ВП-31-18 с отверстием из бетона В22,5 массой 3,33 т (2,66м3)</t>
  </si>
  <si>
    <t>Плита перекрытия ВП-31-18 (с отверстием)</t>
  </si>
  <si>
    <t>Устройство сборных ж/бетонных плит ВП-31-12 из бетона В22,5 массой 3,33 т (0,99т)</t>
  </si>
  <si>
    <t xml:space="preserve">Плита перекрытия ВП-31-12 </t>
  </si>
  <si>
    <t>Зонт на трубопровод</t>
  </si>
  <si>
    <t>Устройство зонтов трубопроводов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</si>
  <si>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</si>
  <si>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</si>
  <si>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</si>
  <si>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</si>
  <si>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</si>
  <si>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</si>
  <si>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</si>
  <si>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</si>
  <si>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Воодоприёмный колодец ВК-1</t>
  </si>
  <si>
    <t>Устройство водоприемного колодца ВК-1</t>
  </si>
  <si>
    <t>Кольцо колодезное  К-7-10</t>
  </si>
  <si>
    <t>Плита ПК-15</t>
  </si>
  <si>
    <t>Лестница канализационная КЛ-1, Н=1,98 м</t>
  </si>
  <si>
    <t>Водоприёмный колодец ВГ-15 (V=1,16 м³)</t>
  </si>
  <si>
    <t>Пробивка отверствий в стене колодца под проход трубы Ду100</t>
  </si>
  <si>
    <t>Заделка пространства прохода труб бетоном В20</t>
  </si>
  <si>
    <t>Бетон B20, W6, F75</t>
  </si>
  <si>
    <t>Установка блоков ФБС</t>
  </si>
  <si>
    <t>Устройство блоков ФБС 9.3.6-т</t>
  </si>
  <si>
    <t>Блок ФБС 9.3.6-т</t>
  </si>
  <si>
    <t>Устройство лестниц с площадками для обслуживания арматуры</t>
  </si>
  <si>
    <t>Изготовление лестниц с площадками для обслуживания арматуры (по серии 3650.Л-20-000СБ)</t>
  </si>
  <si>
    <t>Металл для изготовления лестниц и площадок (черновой)</t>
  </si>
  <si>
    <t>Монтаж лестниц с площадками на высоту до 6м</t>
  </si>
  <si>
    <t>завышено, цена 3500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</si>
  <si>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</si>
  <si>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</si>
  <si>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</si>
  <si>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</si>
  <si>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</si>
  <si>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</si>
  <si>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</si>
  <si>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</si>
  <si>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</si>
  <si>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</si>
  <si>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</si>
  <si>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</si>
  <si>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</si>
  <si>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>02-01-01</t>
  </si>
  <si>
    <t>Верхнее строение пути</t>
  </si>
  <si>
    <t>07-01-01</t>
  </si>
  <si>
    <t>Генеральный план. Трансбордер. ГП1</t>
  </si>
  <si>
    <t xml:space="preserve">02-03-01 </t>
  </si>
  <si>
    <t>Архитектурно-строительные решения. Часть 1.АС1</t>
  </si>
  <si>
    <t xml:space="preserve"> 01-01-03</t>
  </si>
  <si>
    <t>Демонтаж сетей и систем  инженерного обеспечения.</t>
  </si>
  <si>
    <t>02-03-02</t>
  </si>
  <si>
    <t>Трансбордер. Архитектурно-строительные решения. Часть 2. АС2 .</t>
  </si>
  <si>
    <t>06-02-02</t>
  </si>
  <si>
    <t>Переустройство ливневой канализации.НВК5.</t>
  </si>
  <si>
    <t>07-01-02</t>
  </si>
  <si>
    <t>Генеральный план 131-23 ГП2</t>
  </si>
  <si>
    <t>02-02-01</t>
  </si>
  <si>
    <t>Восстановительные работы цеха №121/18. АС 3.</t>
  </si>
  <si>
    <t>06-02-03</t>
  </si>
  <si>
    <t>Трубопровод ливневых сточных вод от трансбордера. НВК1</t>
  </si>
  <si>
    <t>06-02-01</t>
  </si>
  <si>
    <t>Переустройство хозяйственно-бытовой канализации.НВК4</t>
  </si>
  <si>
    <t>06-03-01</t>
  </si>
  <si>
    <t>Теплоснабжение. Переустройство трубопровода.ТС1</t>
  </si>
  <si>
    <t>06-03-02</t>
  </si>
  <si>
    <t>Архитектурно-строительные решения. Эстакада для ТС1. АС 4</t>
  </si>
  <si>
    <t>ИТОГО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</si>
  <si>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</si>
  <si>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</si>
  <si>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</si>
  <si>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</si>
  <si>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</si>
  <si>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</si>
  <si>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</si>
  <si>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</si>
  <si>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Реестр актов выполненных работ к КС-3 №6 от 02.08.2024 г. (Договор  №МВМ/03-07 от 03 июля 2023г, ДС№11 от 01.08.2024г.)</t>
  </si>
  <si>
    <t>кс3 №6 от 20.08.2024г.</t>
  </si>
  <si>
    <t>остаток</t>
  </si>
  <si>
    <t>02-01-01 изм.1</t>
  </si>
  <si>
    <t>02-03-01 изм.1</t>
  </si>
  <si>
    <t>02-03-02 изм.1</t>
  </si>
  <si>
    <t xml:space="preserve">04-01-01 изм.1 </t>
  </si>
  <si>
    <t>Электроснабжение. ЭС 1.</t>
  </si>
  <si>
    <t>04-01-02 изм.1</t>
  </si>
  <si>
    <t>Переустройство кабельных линий.ЭС2</t>
  </si>
  <si>
    <t>06-01-01  изм.1</t>
  </si>
  <si>
    <t>Переустройство хозпитьевого водопровода.НВК2</t>
  </si>
  <si>
    <t>06-01-02 изм.1</t>
  </si>
  <si>
    <t>Переустройство хозпитьевого водопровода.НВК3</t>
  </si>
  <si>
    <t>06-02-01 изм.1</t>
  </si>
  <si>
    <t>06-02-02 изм.1</t>
  </si>
  <si>
    <t>06-03-01 изм.1</t>
  </si>
  <si>
    <t>Теплоснабжение.ТС1. Переустройство трубопровода</t>
  </si>
  <si>
    <t>06-03-02 изм.1</t>
  </si>
  <si>
    <t>06-03-03 изм.1</t>
  </si>
  <si>
    <t>Теплоснабжение. Переустройство трубопровода.ТС2</t>
  </si>
  <si>
    <t>06-03-04 изм.1</t>
  </si>
  <si>
    <t>Теплоснабжение. Переустройство трубопровода.ТС3</t>
  </si>
  <si>
    <t>06-04-01 изм.1</t>
  </si>
  <si>
    <t>Наружные газопроводы. Вынос газопровода среднего давления.</t>
  </si>
  <si>
    <t xml:space="preserve"> 07-01-01 изм.1</t>
  </si>
  <si>
    <t>07-01-02 изм.1</t>
  </si>
  <si>
    <t>09-01-01</t>
  </si>
  <si>
    <t>Пусконаладочные работы. Электроснабжение. ЭС 1.</t>
  </si>
  <si>
    <t xml:space="preserve">09-01-02 </t>
  </si>
  <si>
    <t>Пусконаладочные работы при переустройстве кабельных линий.ЭС2</t>
  </si>
  <si>
    <t>01-01-01 доп.1</t>
  </si>
  <si>
    <t>01-01-02 доп.1</t>
  </si>
  <si>
    <t>Снятие люминисцентных ламп в демонтируемых зданиях.</t>
  </si>
  <si>
    <t>01-01-02 доп.2</t>
  </si>
  <si>
    <t>Переустройство хозпитьевого водопровода по временной схеме от корпуса 121 до склада</t>
  </si>
  <si>
    <t>02-01-01 доп.1</t>
  </si>
  <si>
    <t>Устройство временного переезда через железнодорожные пути №33,35,37,39. Цех 417</t>
  </si>
  <si>
    <t>02-01-01 доп.2</t>
  </si>
  <si>
    <t>Контактная сеть обкаточных путей.</t>
  </si>
  <si>
    <t>02-03-01 доп.1</t>
  </si>
  <si>
    <t>Смещение закладных М1 на фундаментах ФМ-2. АС1</t>
  </si>
  <si>
    <t>02-03-01 доп.2</t>
  </si>
  <si>
    <t>Трансбордер. Контактная сеть.</t>
  </si>
  <si>
    <t>02-03-01 доп.3</t>
  </si>
  <si>
    <t>Устройство ограждения.АС1</t>
  </si>
  <si>
    <t>05-01-01 доп.1</t>
  </si>
  <si>
    <t>Переустройство кабельной канализации связи. СС</t>
  </si>
  <si>
    <t>Переустройство ливневой канализации. НВК5.</t>
  </si>
  <si>
    <t>07-01-01 доп.1</t>
  </si>
  <si>
    <t>Восстановление а/б покрытия после подъема путей. ГП1</t>
  </si>
  <si>
    <t>Повторная выправка железнодорожных путей №30,31,32,34,36,1,2</t>
  </si>
  <si>
    <t>Первоначальная смета по ПЖ, объемы сняты по ИД</t>
  </si>
  <si>
    <t>Верхняя смета</t>
  </si>
  <si>
    <t>131-23-АС4. Эстакада</t>
  </si>
  <si>
    <t>Разборка дорожных покрытий для устройства котлованов</t>
  </si>
  <si>
    <t>работы по КС-6, в согласованном ВОР их нет</t>
  </si>
  <si>
    <t xml:space="preserve"> т</t>
  </si>
  <si>
    <t>Земляные работы. Устройство котлованов</t>
  </si>
  <si>
    <t>Устройство фундаментов ФМ-1 -4 шт.</t>
  </si>
  <si>
    <t>Устройство монолитных железобетонных фундаментов  (Фм1)</t>
  </si>
  <si>
    <t>Бетонная смесь БСТ В25 П4 F150 W6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</si>
  <si>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</si>
  <si>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</si>
  <si>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</si>
  <si>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</si>
  <si>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</si>
  <si>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Очистка боковых поверхностей фундаментов от грязи и пыли перед обмазкой</t>
  </si>
  <si>
    <t>Металлоконструкции</t>
  </si>
  <si>
    <t>Демонтажные работы пролетных строений</t>
  </si>
  <si>
    <t>Демонтаж пролетных строений горизонтального типа с опорами на высоте 6,3метра при помощи двух автоподъемных механизмов (автокран+автовышка)</t>
  </si>
  <si>
    <t>Стоимость ФЕР на 2 кв-л 2024г * К=0,7 (демонтаж)</t>
  </si>
  <si>
    <t>Не выполнялось</t>
  </si>
  <si>
    <t>Перевозка демонтированных металлоконструкций на расстояние до 1км</t>
  </si>
  <si>
    <t>Монтаж пролетных строений</t>
  </si>
  <si>
    <t>Монтаж пролетных строений горизонтального типа с опорами на высоте 6,3метра при помощи двух автоподъемных механизмов (автокран+автовышка)</t>
  </si>
  <si>
    <t>Стоимость ФЕР на 2 кв-л 2024г</t>
  </si>
  <si>
    <t>Металлоконструкции пролетных строений эстакады, изготовленные по чертежам КМД, сталь С245</t>
  </si>
  <si>
    <t xml:space="preserve">Стоимость закупки + перевозка </t>
  </si>
  <si>
    <t>4.2</t>
  </si>
  <si>
    <t>Металлоконструкции пролетных строений эстакады, изготовленные по чертежам КМД, сталь С345</t>
  </si>
  <si>
    <t>4.3</t>
  </si>
  <si>
    <t>Металлоконструкции опор эстакады, изготовленные по чертежам КМД, сталь С245</t>
  </si>
  <si>
    <t>4.4</t>
  </si>
  <si>
    <t>Металлоконструкции опор эстакады, изготовленные по чертежам КМД, сталь С345</t>
  </si>
  <si>
    <t>Монтаж ригеля на установленные опорные металлоконструкции эстакады на высоте 6,3метра при помощи двух автоподъемных механизмов (автокран+автовышка)</t>
  </si>
  <si>
    <t>Металлоконструкции: швеллер 16П - 90,88кг; труба квадратная 250х250х8 - 159,49кг; лист стальной t=30 мм - 117,75кг; лист стальной t=10 мм - 4,9кг</t>
  </si>
  <si>
    <t>Окраска металлоконструкций</t>
  </si>
  <si>
    <t>Очистка поверхности сущ. металлоконструкций щетками</t>
  </si>
  <si>
    <t>стоиомость АС1</t>
  </si>
  <si>
    <t>Обеспыливание поверхности металлоконструкций (ферм и опор, включая существующие)</t>
  </si>
  <si>
    <t>Обетонирование анкерных групп (подливка бетонной смеси между пяткой опоры и фундаментом)</t>
  </si>
  <si>
    <t>Обмазка праймером Технониколь обетонированных частей опор в один слой</t>
  </si>
  <si>
    <t>Обмазка битумной мастикой обетонированных частей опор в два слоя</t>
  </si>
  <si>
    <t>это откуда?</t>
  </si>
  <si>
    <t>131-23-КС</t>
  </si>
  <si>
    <t>Бурение лидирующей скважины</t>
  </si>
  <si>
    <t>Демонтаж двойного контактного провода</t>
  </si>
  <si>
    <t>км</t>
  </si>
  <si>
    <t xml:space="preserve">Демонтаж несущего троса «поверху» </t>
  </si>
  <si>
    <t xml:space="preserve">Разборка опор металлических раздельных </t>
  </si>
  <si>
    <t>Разборка опор железобетонных одиночных раздельных</t>
  </si>
  <si>
    <t xml:space="preserve">Разборка фундаментов трехлучевых на станции </t>
  </si>
  <si>
    <t>Погрузка строительного мусора вручную</t>
  </si>
  <si>
    <t>Строительно-монтажные работы</t>
  </si>
  <si>
    <t>Разбивка осей опор (5 опор/ 320м)</t>
  </si>
  <si>
    <t>комплекс</t>
  </si>
  <si>
    <t>Гидроизоляция фундаментов</t>
  </si>
  <si>
    <t>Праймер битумный производства «Техно-Николь» (20л=16кг)</t>
  </si>
  <si>
    <t>Установка металл. одиночных раздельных опор и фундаментов трехлучевых с анкерным креплением «с пути» на станции</t>
  </si>
  <si>
    <t>Опора металлическая  МШП-12-150</t>
  </si>
  <si>
    <t>10.2</t>
  </si>
  <si>
    <t>Опора металлическая  МШК1-12-100</t>
  </si>
  <si>
    <t>10.3</t>
  </si>
  <si>
    <t>Фундамент с анкерным креплением ТСА-4,5-120</t>
  </si>
  <si>
    <t>10.4</t>
  </si>
  <si>
    <t>Фундамент с анкерным креплением ТСА-4,5-150</t>
  </si>
  <si>
    <t>Установка изоляции</t>
  </si>
  <si>
    <t>к-т</t>
  </si>
  <si>
    <t>Втулка изолирующая верхняя</t>
  </si>
  <si>
    <t>Втулка изолирующая нижняя</t>
  </si>
  <si>
    <t>11.3</t>
  </si>
  <si>
    <t>Изолирующая пластина</t>
  </si>
  <si>
    <t>11.4</t>
  </si>
  <si>
    <t>Колпачки</t>
  </si>
  <si>
    <t>11.5</t>
  </si>
  <si>
    <t>11.6</t>
  </si>
  <si>
    <t>11.7</t>
  </si>
  <si>
    <t>Гайки</t>
  </si>
  <si>
    <t>11.8</t>
  </si>
  <si>
    <t>Шайбы</t>
  </si>
  <si>
    <t>11.9</t>
  </si>
  <si>
    <t>Выравнивающие пластины  3 мм</t>
  </si>
  <si>
    <t>Установка номерных знаков на опоры</t>
  </si>
  <si>
    <t>Номерные знаки оцинкованные</t>
  </si>
  <si>
    <t>Установка знаков «Высокое напряжение</t>
  </si>
  <si>
    <t>Знак «Высокое напряжение» самоклеящийся</t>
  </si>
  <si>
    <t>Установка консолей неизолированных массой до 75 кг</t>
  </si>
  <si>
    <t>Консоли неизолированные ЦНР-1</t>
  </si>
  <si>
    <t>Установка двухпутной консоли типа ДЦ-VII с одной фиксаторной стойкой</t>
  </si>
  <si>
    <t>Двухпутная консоль типа ДЦ-VII с одной фиксаторной стойкой</t>
  </si>
  <si>
    <t>Установка фиксаторов</t>
  </si>
  <si>
    <t>Фиксатор ФП-1</t>
  </si>
  <si>
    <t>Фиксатор ФПЖ-1</t>
  </si>
  <si>
    <t>16.3</t>
  </si>
  <si>
    <t>Оцинкованный знак нумерации на основных стержнях фиксаторов</t>
  </si>
  <si>
    <t>Установка на опорах хомутов</t>
  </si>
  <si>
    <t>Хомут крепления консоли верхний ХТПК-1</t>
  </si>
  <si>
    <t>17.2</t>
  </si>
  <si>
    <t>Хомут крепления консоли нижний ХТПК-2</t>
  </si>
  <si>
    <t>Вынос контактной подвески из зоны работы строительных машин и возврат в рабочее положение проводов в местах установки и разборки опор контактной сети</t>
  </si>
  <si>
    <t>Раскатка несущего троса «поверху»  М-120</t>
  </si>
  <si>
    <t>Провод медный сечением 120 мм2 М-120</t>
  </si>
  <si>
    <t>Заземление проводов контактной подвески и дополнительных проводов на время производства работ по раскатке  несущего троса и контактного провода</t>
  </si>
  <si>
    <t>Раскатка двойного контактного провода</t>
  </si>
  <si>
    <t>Провод  МФ сечением 100 мм2 МФ-100</t>
  </si>
  <si>
    <t xml:space="preserve">Регулировка контактной подвески цепной полукомпенсированной подвески с применением оцинкованных деталей с двойным контактным проводом </t>
  </si>
  <si>
    <t>Монтаж изолятора подвесного полимерного  птицезащитного ПСПКр 70-3/0,6-П ГП</t>
  </si>
  <si>
    <t>Изолятор подвесной полимерный  птицезащитный  ПСПКр 70-3/0,6-П ГП</t>
  </si>
  <si>
    <t>Монтаж изолятора подвесного полимерного  птицезащитного ФСПКр 120-3/0,6-П</t>
  </si>
  <si>
    <t>Изолятор фиксаторный полимерный  птицезащитный ФСПКр 120-3/0,6-П</t>
  </si>
  <si>
    <t>Анкеровка жесткая односторонняя несущего троса или контактного провода с применением оцинкованных изделий</t>
  </si>
  <si>
    <t>Анкеровка компенсированная односторонняя несущего троса или контактного провода с применением оцинкованных изделий</t>
  </si>
  <si>
    <t>Провод медный сечением 95 мм2  М-95</t>
  </si>
  <si>
    <t>Проволока биметаллическая сталемедная марки БСМ-1 Ø 4 мм</t>
  </si>
  <si>
    <t>Установка грузов</t>
  </si>
  <si>
    <t>Монтаж изолятора натяжного стержневого  НСПК 120-3/0,8-Д</t>
  </si>
  <si>
    <t>Изолятор натяжной стержневой  НСПК 120-3/0,8-Д</t>
  </si>
  <si>
    <t>Установка узла крепления УКС 04911</t>
  </si>
  <si>
    <t>Кронштейн заземления (деталь заземления) УКС 04911</t>
  </si>
  <si>
    <t>Заземление с применением горячей оцинковки деталей и изделий контактной сети с использованием узлов УКЗ опоры металлической, одиночное</t>
  </si>
  <si>
    <t>Узел подключения заземляющих проводников к рельсам УКЗУ-2 для постоянного тока (Р-65)</t>
  </si>
  <si>
    <t>Монтаж газоразрядного прибора типа ГРПЗ-1У УХЛ1</t>
  </si>
  <si>
    <t>Газоразрядный прибор типа ГРПЗ-1У УХЛ1</t>
  </si>
  <si>
    <t>Врезка изоляторов ИТО-3</t>
  </si>
  <si>
    <t>Такелажный изолятор ИТО-3</t>
  </si>
  <si>
    <t>Снятие люминисцентных ламп в демонтируемых зданиях</t>
  </si>
  <si>
    <t>Снятие люминисцентных ламп PHILIPS MASTER TL-D 58W/840 (склад  №75)</t>
  </si>
  <si>
    <t>Снятие люминисцентных ламп PHILIPS MASTER TL-D 58W/840 (склад  №121)</t>
  </si>
  <si>
    <t>Снимал Амархан</t>
  </si>
  <si>
    <t>75 склад снимал Амархан</t>
  </si>
  <si>
    <t>Строительные работы</t>
  </si>
  <si>
    <t>Шурфовка предварительная с откопкой кабеля</t>
  </si>
  <si>
    <t>Засыпка с трамбованием</t>
  </si>
  <si>
    <t>Установка хомутов номерных знаков на опоры</t>
  </si>
  <si>
    <t xml:space="preserve">Очистка поверхностей и обеспыливание перед окраской </t>
  </si>
  <si>
    <t>Окраска фундаментов опор и анкеров в два слоя серой краской</t>
  </si>
  <si>
    <t xml:space="preserve">Окраска метал. опоры в два слоя красной краской (красная полоска на метал. опоре) </t>
  </si>
  <si>
    <t>Монтажные работы   (фиксаторы трубчатые)</t>
  </si>
  <si>
    <t xml:space="preserve">Раскатка несущего троса «поверху» </t>
  </si>
  <si>
    <t xml:space="preserve">Проверка параметров контактной подвески и доведение их до норм после вытяжки проводов </t>
  </si>
  <si>
    <t>Возврат контактного провода в лом (МФ-100)</t>
  </si>
  <si>
    <t>Возврат несущего троса в лом (М-120)</t>
  </si>
  <si>
    <t>Демонтаж анкеровки жесткой односторонней несущего троса или контактного провода с применением оцинкованных изделий</t>
  </si>
  <si>
    <t>Демонтаж анкеровки компенсированной односторонней несущего троса или контактного провода с применением оцинкованных изделий</t>
  </si>
  <si>
    <t>Демонтаж заземления с применением горячей оцинковки деталей и изделий контактной сети с использованием узлов УКЗ опоры металлической, одиночное</t>
  </si>
  <si>
    <t>Оборудование</t>
  </si>
  <si>
    <t>Установка консолей</t>
  </si>
  <si>
    <t>Демонтаж консолей неизолированных массой до 75 кг</t>
  </si>
  <si>
    <t>Демонтаж с опор хомутов</t>
  </si>
  <si>
    <t>Возврат консолей в лом</t>
  </si>
  <si>
    <t>Непредвиденные работы (3%)</t>
  </si>
  <si>
    <t>Итого с непредвиденными</t>
  </si>
  <si>
    <t>Ед изм</t>
  </si>
  <si>
    <t>ООО "ТЕХРЕСУРС"</t>
  </si>
  <si>
    <t>Цена за ед без НДС</t>
  </si>
  <si>
    <t>ВСЕГО без НДС</t>
  </si>
  <si>
    <t>ВСЕГО с НДС</t>
  </si>
  <si>
    <t>Хомуты крепления номерных знаков</t>
  </si>
  <si>
    <t>Грунт</t>
  </si>
  <si>
    <t xml:space="preserve">Краска ПФ-135, RAL7040 </t>
  </si>
  <si>
    <t xml:space="preserve">Краска ПФ-135, RAL3020 </t>
  </si>
  <si>
    <t>Песок для засыпки</t>
  </si>
  <si>
    <t>Смазка высокопроводящая УВС</t>
  </si>
  <si>
    <t>Хомут крепления искрового промежутка</t>
  </si>
  <si>
    <t>пересчитано на 5</t>
  </si>
  <si>
    <t>взята сумма из КП, с учетом корректировки под 5 опор</t>
  </si>
  <si>
    <t>Дельта</t>
  </si>
  <si>
    <t>финалка 6,5 ???</t>
  </si>
  <si>
    <t>удалены работы по привозке грунта (-61 958,4)
скорректированы цены на мотаж/демонтаж МК (-1 830 492,63)</t>
  </si>
  <si>
    <t>с ВЗиС</t>
  </si>
  <si>
    <t>с ЗУ</t>
  </si>
  <si>
    <t>с Дог.Кф</t>
  </si>
  <si>
    <t>НДС</t>
  </si>
  <si>
    <t>Всего с НДС</t>
  </si>
  <si>
    <t>расценка 308,75</t>
  </si>
  <si>
    <t>93р/м2 работа по смете</t>
  </si>
  <si>
    <t>100р/м2 материал</t>
  </si>
  <si>
    <t>в КП 417 путь цена -  1083р/м2 за 5 см, скорректировала пропорционально</t>
  </si>
  <si>
    <t>3шт устанавливалось</t>
  </si>
  <si>
    <t>в ПЖ все механизировано 308,75</t>
  </si>
  <si>
    <t>фермы!</t>
  </si>
  <si>
    <t>завышено! Реальная цена 550р/стык перситано на 1000р/стык</t>
  </si>
  <si>
    <t>уточнить что это, примерно 1,3млн</t>
  </si>
  <si>
    <t>МС выполнено меньше (-816 347,37)
планировка не выполнялась (-4 579 349,56)
повторная выправка не выполнялась (-11 575 527,07)
расценка на разработку некорректна (-3 757 210,80)
Завышен объем погрузки (-186 732)
Скорректированы расценки на демонтаж, геотекстиль, рихтовку</t>
  </si>
  <si>
    <t>Если грунт и мусор по одной цене погрузка</t>
  </si>
  <si>
    <t>Погрузка осуществлялась экскаватором Терруса (-649 197,52)
Завышен объем погрузки (-1 060 671,1)
Скорр стоимость геотекстиля</t>
  </si>
  <si>
    <t>Земли не завозилось указанного объема, скорр геотекстиль</t>
  </si>
  <si>
    <t>Сметная стоимость со всеми накрутками 31 800р / 150 000</t>
  </si>
  <si>
    <t>НВК3 погр мусора</t>
  </si>
  <si>
    <t>НВК4 погр мусора</t>
  </si>
  <si>
    <t>8цех некорректно, по 1421,01р/м3</t>
  </si>
  <si>
    <t>нвк3</t>
  </si>
  <si>
    <t>Асфальтировка</t>
  </si>
  <si>
    <t>объем</t>
  </si>
  <si>
    <t>сумма с их расц</t>
  </si>
  <si>
    <t>наша цена</t>
  </si>
  <si>
    <t>Аренда техники, бытовки</t>
  </si>
  <si>
    <t>30%, грунт не уплотнялся</t>
  </si>
  <si>
    <t>испытания не выполнялись, работы не закрывались, грунт не трамбовался</t>
  </si>
  <si>
    <t>Задержка ИД на 16 недель</t>
  </si>
  <si>
    <t>11.05.2024-05.09.2024 // 16недель</t>
  </si>
  <si>
    <t>Если меняем асфальт на 5520р/т (не трогаем)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</si>
</sst>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00_-;\-* #,##0.000_-;_-* &quot;-&quot;??_-;_-@_-"/>
    <numFmt numFmtId="168" formatCode="_-* #,##0.0000_-;\-* #,##0.0000_-;_-* &quot;-&quot;??_-;_-@_-"/>
    <numFmt numFmtId="169" formatCode="0.000"/>
    <numFmt numFmtId="170" formatCode="0.0"/>
    <numFmt numFmtId="171" formatCode="_-* #,##0.0_-;\-* #,##0.0_-;_-* &quot;-&quot;??_-;_-@_-"/>
    <numFmt numFmtId="172" formatCode="#,##0.0_ ;\-#,##0.0\ "/>
    <numFmt numFmtId="173" formatCode="0.0000"/>
    <numFmt numFmtId="174" formatCode="0.00000"/>
    <numFmt numFmtId="175" formatCode="#,##0.0"/>
    <numFmt numFmtId="176" formatCode="_-* #,##0.000\ _₽_-;\-* #,##0.000\ _₽_-;_-* &quot;-&quot;???\ _₽_-;_-@_-"/>
    <numFmt numFmtId="177" formatCode="#,##0.00_ ;\-#,##0.00\ 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i/>
      <sz val="11"/>
      <color rgb="FF00B0F0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i/>
      <sz val="11"/>
      <name val="Calibri"/>
      <family val="2"/>
      <scheme val="minor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6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C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sz val="11"/>
      <color rgb="FF7030A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b/>
      <sz val="12"/>
      <color rgb="FF7030A0"/>
      <name val="Calibri"/>
      <family val="2"/>
      <charset val="204"/>
      <scheme val="minor"/>
    </font>
    <font>
      <sz val="8"/>
      <name val="Calibri"/>
      <family val="2"/>
      <scheme val="minor"/>
    </font>
    <font>
      <i/>
      <sz val="11"/>
      <color rgb="FF00B0F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2" fillId="0" borderId="0">
      <alignment vertical="top"/>
    </xf>
    <xf numFmtId="0" fontId="12" fillId="0" borderId="0"/>
    <xf numFmtId="0" fontId="1" fillId="0" borderId="0"/>
    <xf numFmtId="43" fontId="1" fillId="0" borderId="0" applyFont="0" applyFill="0" applyBorder="0" applyAlignment="0" applyProtection="0"/>
    <xf numFmtId="0" fontId="32" fillId="0" borderId="0"/>
    <xf numFmtId="0" fontId="33" fillId="0" borderId="0"/>
    <xf numFmtId="0" fontId="1" fillId="0" borderId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0" fontId="32" fillId="0" borderId="0"/>
    <xf numFmtId="0" fontId="33" fillId="0" borderId="0"/>
  </cellStyleXfs>
  <cellXfs count="9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1" fillId="0" borderId="0" xfId="1" applyFont="1"/>
    <xf numFmtId="4" fontId="10" fillId="0" borderId="1" xfId="1" applyNumberFormat="1" applyFont="1" applyBorder="1" applyAlignment="1">
      <alignment horizontal="center" vertical="center" wrapText="1"/>
    </xf>
    <xf numFmtId="165" fontId="10" fillId="0" borderId="1" xfId="2" applyNumberFormat="1" applyFont="1" applyBorder="1" applyAlignment="1">
      <alignment vertical="center"/>
    </xf>
    <xf numFmtId="1" fontId="10" fillId="0" borderId="1" xfId="3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10" fillId="7" borderId="9" xfId="1" applyFont="1" applyFill="1" applyBorder="1" applyAlignment="1">
      <alignment horizontal="center" vertical="center" wrapText="1"/>
    </xf>
    <xf numFmtId="4" fontId="10" fillId="7" borderId="1" xfId="1" applyNumberFormat="1" applyFont="1" applyFill="1" applyBorder="1" applyAlignment="1">
      <alignment horizontal="left" vertical="center" wrapText="1"/>
    </xf>
    <xf numFmtId="166" fontId="10" fillId="7" borderId="1" xfId="1" applyNumberFormat="1" applyFont="1" applyFill="1" applyBorder="1" applyAlignment="1">
      <alignment horizontal="left" vertical="center" wrapText="1"/>
    </xf>
    <xf numFmtId="165" fontId="10" fillId="7" borderId="1" xfId="2" applyNumberFormat="1" applyFont="1" applyFill="1" applyBorder="1" applyAlignment="1">
      <alignment horizontal="left" vertical="center" wrapText="1"/>
    </xf>
    <xf numFmtId="0" fontId="10" fillId="7" borderId="11" xfId="1" applyFont="1" applyFill="1" applyBorder="1" applyAlignment="1">
      <alignment horizontal="center" vertical="center" wrapText="1"/>
    </xf>
    <xf numFmtId="0" fontId="10" fillId="7" borderId="12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4" applyFont="1" applyFill="1" applyBorder="1" applyAlignment="1">
      <alignment horizontal="left" vertical="center" wrapText="1"/>
    </xf>
    <xf numFmtId="1" fontId="13" fillId="2" borderId="1" xfId="1" applyNumberFormat="1" applyFont="1" applyFill="1" applyBorder="1" applyAlignment="1">
      <alignment vertical="center" wrapText="1"/>
    </xf>
    <xf numFmtId="43" fontId="14" fillId="2" borderId="1" xfId="2" applyFont="1" applyFill="1" applyBorder="1" applyAlignment="1">
      <alignment horizontal="center" vertical="center" wrapText="1"/>
    </xf>
    <xf numFmtId="43" fontId="13" fillId="2" borderId="1" xfId="2" applyFont="1" applyFill="1" applyBorder="1" applyAlignment="1">
      <alignment vertical="center"/>
    </xf>
    <xf numFmtId="43" fontId="13" fillId="2" borderId="1" xfId="2" applyFont="1" applyFill="1" applyBorder="1" applyAlignment="1">
      <alignment horizontal="center"/>
    </xf>
    <xf numFmtId="43" fontId="13" fillId="2" borderId="1" xfId="2" applyFont="1" applyFill="1" applyBorder="1" applyAlignment="1">
      <alignment horizontal="center" vertical="center" wrapText="1"/>
    </xf>
    <xf numFmtId="0" fontId="11" fillId="3" borderId="0" xfId="1" applyFont="1" applyFill="1" applyAlignment="1">
      <alignment vertical="center"/>
    </xf>
    <xf numFmtId="49" fontId="13" fillId="8" borderId="1" xfId="1" applyNumberFormat="1" applyFont="1" applyFill="1" applyBorder="1" applyAlignment="1">
      <alignment horizontal="center" vertical="center" wrapText="1"/>
    </xf>
    <xf numFmtId="0" fontId="13" fillId="8" borderId="1" xfId="4" applyFont="1" applyFill="1" applyBorder="1" applyAlignment="1">
      <alignment horizontal="left" vertical="center" wrapText="1"/>
    </xf>
    <xf numFmtId="0" fontId="13" fillId="8" borderId="1" xfId="1" applyFont="1" applyFill="1" applyBorder="1" applyAlignment="1">
      <alignment horizontal="center" vertical="center" wrapText="1"/>
    </xf>
    <xf numFmtId="1" fontId="13" fillId="8" borderId="1" xfId="1" applyNumberFormat="1" applyFont="1" applyFill="1" applyBorder="1" applyAlignment="1">
      <alignment vertical="center" wrapText="1"/>
    </xf>
    <xf numFmtId="43" fontId="14" fillId="8" borderId="1" xfId="2" applyFont="1" applyFill="1" applyBorder="1" applyAlignment="1">
      <alignment horizontal="center" vertical="center" wrapText="1"/>
    </xf>
    <xf numFmtId="43" fontId="13" fillId="8" borderId="1" xfId="2" applyFont="1" applyFill="1" applyBorder="1" applyAlignment="1">
      <alignment vertical="center"/>
    </xf>
    <xf numFmtId="43" fontId="14" fillId="8" borderId="1" xfId="2" applyFont="1" applyFill="1" applyBorder="1" applyAlignment="1">
      <alignment horizontal="center" vertical="center"/>
    </xf>
    <xf numFmtId="43" fontId="13" fillId="8" borderId="1" xfId="2" applyFont="1" applyFill="1" applyBorder="1" applyAlignment="1">
      <alignment horizontal="center" vertical="center" wrapText="1"/>
    </xf>
    <xf numFmtId="2" fontId="13" fillId="2" borderId="1" xfId="1" applyNumberFormat="1" applyFont="1" applyFill="1" applyBorder="1" applyAlignment="1">
      <alignment vertical="center" wrapText="1"/>
    </xf>
    <xf numFmtId="2" fontId="13" fillId="8" borderId="1" xfId="1" applyNumberFormat="1" applyFont="1" applyFill="1" applyBorder="1" applyAlignment="1">
      <alignment vertical="center" wrapText="1"/>
    </xf>
    <xf numFmtId="0" fontId="15" fillId="9" borderId="1" xfId="1" applyFont="1" applyFill="1" applyBorder="1" applyAlignment="1">
      <alignment horizontal="center" vertical="center" wrapText="1"/>
    </xf>
    <xf numFmtId="0" fontId="16" fillId="9" borderId="1" xfId="4" applyFont="1" applyFill="1" applyBorder="1" applyAlignment="1">
      <alignment vertical="center" wrapText="1"/>
    </xf>
    <xf numFmtId="1" fontId="15" fillId="9" borderId="1" xfId="1" applyNumberFormat="1" applyFont="1" applyFill="1" applyBorder="1" applyAlignment="1">
      <alignment horizontal="center" vertical="center" wrapText="1"/>
    </xf>
    <xf numFmtId="43" fontId="13" fillId="9" borderId="1" xfId="2" applyFont="1" applyFill="1" applyBorder="1" applyAlignment="1">
      <alignment horizontal="center" vertical="center" wrapText="1"/>
    </xf>
    <xf numFmtId="43" fontId="15" fillId="9" borderId="1" xfId="2" applyFont="1" applyFill="1" applyBorder="1" applyAlignment="1">
      <alignment vertical="center"/>
    </xf>
    <xf numFmtId="43" fontId="14" fillId="9" borderId="1" xfId="2" applyFont="1" applyFill="1" applyBorder="1" applyAlignment="1">
      <alignment horizontal="center" vertical="center" wrapText="1"/>
    </xf>
    <xf numFmtId="43" fontId="15" fillId="9" borderId="1" xfId="2" applyFont="1" applyFill="1" applyBorder="1" applyAlignment="1">
      <alignment horizontal="center" vertical="center" wrapText="1"/>
    </xf>
    <xf numFmtId="43" fontId="15" fillId="9" borderId="11" xfId="2" applyFont="1" applyFill="1" applyBorder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/>
    <xf numFmtId="0" fontId="17" fillId="2" borderId="1" xfId="1" applyFont="1" applyFill="1" applyBorder="1" applyAlignment="1">
      <alignment horizontal="center" vertical="center" wrapText="1"/>
    </xf>
    <xf numFmtId="0" fontId="17" fillId="2" borderId="1" xfId="4" applyFont="1" applyFill="1" applyBorder="1" applyAlignment="1">
      <alignment horizontal="left" vertical="center" wrapText="1"/>
    </xf>
    <xf numFmtId="2" fontId="17" fillId="2" borderId="1" xfId="1" applyNumberFormat="1" applyFont="1" applyFill="1" applyBorder="1" applyAlignment="1">
      <alignment vertical="center" wrapText="1"/>
    </xf>
    <xf numFmtId="43" fontId="17" fillId="2" borderId="1" xfId="2" applyFont="1" applyFill="1" applyBorder="1" applyAlignment="1">
      <alignment horizontal="center" vertical="center" wrapText="1"/>
    </xf>
    <xf numFmtId="43" fontId="17" fillId="2" borderId="1" xfId="2" applyFont="1" applyFill="1" applyBorder="1" applyAlignment="1">
      <alignment vertical="center"/>
    </xf>
    <xf numFmtId="43" fontId="17" fillId="2" borderId="1" xfId="2" applyFont="1" applyFill="1" applyBorder="1" applyAlignment="1">
      <alignment horizontal="center"/>
    </xf>
    <xf numFmtId="43" fontId="18" fillId="2" borderId="1" xfId="2" applyFont="1" applyFill="1" applyBorder="1" applyAlignment="1">
      <alignment horizontal="center" vertical="center" wrapText="1"/>
    </xf>
    <xf numFmtId="0" fontId="11" fillId="3" borderId="0" xfId="1" applyFont="1" applyFill="1"/>
    <xf numFmtId="0" fontId="2" fillId="3" borderId="0" xfId="1" applyFill="1"/>
    <xf numFmtId="0" fontId="17" fillId="2" borderId="1" xfId="3" applyFont="1" applyFill="1" applyBorder="1" applyAlignment="1">
      <alignment vertical="center" wrapText="1"/>
    </xf>
    <xf numFmtId="0" fontId="17" fillId="2" borderId="1" xfId="3" applyFont="1" applyFill="1" applyBorder="1" applyAlignment="1">
      <alignment horizontal="center" vertical="center" wrapText="1"/>
    </xf>
    <xf numFmtId="43" fontId="17" fillId="2" borderId="1" xfId="2" applyFont="1" applyFill="1" applyBorder="1" applyAlignment="1">
      <alignment horizontal="right" vertical="center"/>
    </xf>
    <xf numFmtId="49" fontId="17" fillId="8" borderId="1" xfId="1" applyNumberFormat="1" applyFont="1" applyFill="1" applyBorder="1" applyAlignment="1">
      <alignment horizontal="center" vertical="center" wrapText="1"/>
    </xf>
    <xf numFmtId="0" fontId="17" fillId="8" borderId="1" xfId="4" applyFont="1" applyFill="1" applyBorder="1" applyAlignment="1">
      <alignment horizontal="left" vertical="center" wrapText="1"/>
    </xf>
    <xf numFmtId="0" fontId="17" fillId="8" borderId="1" xfId="3" applyFont="1" applyFill="1" applyBorder="1" applyAlignment="1">
      <alignment horizontal="center" vertical="center" wrapText="1"/>
    </xf>
    <xf numFmtId="167" fontId="17" fillId="8" borderId="1" xfId="2" applyNumberFormat="1" applyFont="1" applyFill="1" applyBorder="1" applyAlignment="1">
      <alignment vertical="center" wrapText="1"/>
    </xf>
    <xf numFmtId="43" fontId="18" fillId="8" borderId="1" xfId="2" applyFont="1" applyFill="1" applyBorder="1" applyAlignment="1">
      <alignment horizontal="center" vertical="center" wrapText="1"/>
    </xf>
    <xf numFmtId="43" fontId="17" fillId="8" borderId="1" xfId="2" applyFont="1" applyFill="1" applyBorder="1" applyAlignment="1">
      <alignment vertical="center"/>
    </xf>
    <xf numFmtId="43" fontId="17" fillId="8" borderId="1" xfId="2" applyFont="1" applyFill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43" fontId="17" fillId="8" borderId="1" xfId="2" applyFont="1" applyFill="1" applyBorder="1" applyAlignment="1">
      <alignment vertical="center" wrapText="1"/>
    </xf>
    <xf numFmtId="168" fontId="17" fillId="8" borderId="1" xfId="2" applyNumberFormat="1" applyFont="1" applyFill="1" applyBorder="1" applyAlignment="1">
      <alignment vertical="center" wrapText="1"/>
    </xf>
    <xf numFmtId="1" fontId="17" fillId="2" borderId="1" xfId="1" applyNumberFormat="1" applyFont="1" applyFill="1" applyBorder="1" applyAlignment="1">
      <alignment vertical="center" wrapText="1"/>
    </xf>
    <xf numFmtId="0" fontId="7" fillId="3" borderId="0" xfId="1" applyFont="1" applyFill="1" applyAlignment="1">
      <alignment vertical="center"/>
    </xf>
    <xf numFmtId="0" fontId="17" fillId="8" borderId="1" xfId="1" applyFont="1" applyFill="1" applyBorder="1" applyAlignment="1">
      <alignment horizontal="center" vertical="center" wrapText="1"/>
    </xf>
    <xf numFmtId="1" fontId="17" fillId="8" borderId="1" xfId="1" applyNumberFormat="1" applyFont="1" applyFill="1" applyBorder="1" applyAlignment="1">
      <alignment vertical="center" wrapText="1"/>
    </xf>
    <xf numFmtId="43" fontId="18" fillId="8" borderId="1" xfId="2" applyFont="1" applyFill="1" applyBorder="1" applyAlignment="1">
      <alignment horizontal="center" vertical="center"/>
    </xf>
    <xf numFmtId="49" fontId="10" fillId="5" borderId="1" xfId="1" applyNumberFormat="1" applyFont="1" applyFill="1" applyBorder="1" applyAlignment="1">
      <alignment horizontal="center" vertical="top" wrapText="1"/>
    </xf>
    <xf numFmtId="0" fontId="10" fillId="5" borderId="1" xfId="4" applyFont="1" applyFill="1" applyBorder="1" applyAlignment="1">
      <alignment horizontal="left" vertical="top" wrapText="1"/>
    </xf>
    <xf numFmtId="0" fontId="10" fillId="5" borderId="1" xfId="1" applyFont="1" applyFill="1" applyBorder="1" applyAlignment="1">
      <alignment horizontal="center" vertical="top" wrapText="1"/>
    </xf>
    <xf numFmtId="1" fontId="10" fillId="5" borderId="1" xfId="1" applyNumberFormat="1" applyFont="1" applyFill="1" applyBorder="1" applyAlignment="1">
      <alignment vertical="top" wrapText="1"/>
    </xf>
    <xf numFmtId="43" fontId="19" fillId="5" borderId="1" xfId="2" applyFont="1" applyFill="1" applyBorder="1" applyAlignment="1">
      <alignment horizontal="center" vertical="top" wrapText="1"/>
    </xf>
    <xf numFmtId="43" fontId="10" fillId="5" borderId="1" xfId="2" applyFont="1" applyFill="1" applyBorder="1" applyAlignment="1">
      <alignment vertical="top"/>
    </xf>
    <xf numFmtId="43" fontId="19" fillId="5" borderId="1" xfId="2" applyFont="1" applyFill="1" applyBorder="1" applyAlignment="1">
      <alignment horizontal="center" vertical="top"/>
    </xf>
    <xf numFmtId="43" fontId="10" fillId="5" borderId="1" xfId="2" applyFont="1" applyFill="1" applyBorder="1" applyAlignment="1">
      <alignment horizontal="center" vertical="top" wrapText="1"/>
    </xf>
    <xf numFmtId="0" fontId="9" fillId="5" borderId="0" xfId="1" applyFont="1" applyFill="1" applyAlignment="1">
      <alignment vertical="top"/>
    </xf>
    <xf numFmtId="169" fontId="17" fillId="8" borderId="1" xfId="1" applyNumberFormat="1" applyFont="1" applyFill="1" applyBorder="1" applyAlignment="1">
      <alignment vertical="center" wrapText="1"/>
    </xf>
    <xf numFmtId="0" fontId="7" fillId="0" borderId="0" xfId="1" applyFont="1"/>
    <xf numFmtId="43" fontId="19" fillId="0" borderId="1" xfId="2" applyFont="1" applyBorder="1"/>
    <xf numFmtId="165" fontId="21" fillId="0" borderId="0" xfId="2" applyNumberFormat="1" applyFont="1"/>
    <xf numFmtId="0" fontId="21" fillId="0" borderId="0" xfId="1" applyFont="1"/>
    <xf numFmtId="0" fontId="11" fillId="2" borderId="0" xfId="1" applyFont="1" applyFill="1"/>
    <xf numFmtId="165" fontId="11" fillId="0" borderId="0" xfId="2" applyNumberFormat="1" applyFont="1"/>
    <xf numFmtId="0" fontId="11" fillId="4" borderId="0" xfId="1" applyFont="1" applyFill="1"/>
    <xf numFmtId="165" fontId="22" fillId="0" borderId="1" xfId="2" applyNumberFormat="1" applyFont="1" applyBorder="1" applyAlignment="1">
      <alignment vertical="center"/>
    </xf>
    <xf numFmtId="4" fontId="10" fillId="0" borderId="11" xfId="1" applyNumberFormat="1" applyFont="1" applyBorder="1" applyAlignment="1">
      <alignment horizontal="center" vertical="center" wrapText="1"/>
    </xf>
    <xf numFmtId="165" fontId="10" fillId="7" borderId="11" xfId="2" applyNumberFormat="1" applyFont="1" applyFill="1" applyBorder="1" applyAlignment="1">
      <alignment horizontal="left" vertical="center" wrapText="1"/>
    </xf>
    <xf numFmtId="0" fontId="10" fillId="9" borderId="11" xfId="1" applyFont="1" applyFill="1" applyBorder="1" applyAlignment="1">
      <alignment horizontal="left" vertical="center" wrapText="1"/>
    </xf>
    <xf numFmtId="2" fontId="13" fillId="9" borderId="1" xfId="3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/>
    </xf>
    <xf numFmtId="43" fontId="15" fillId="2" borderId="1" xfId="2" applyFont="1" applyFill="1" applyBorder="1" applyAlignment="1">
      <alignment vertical="center"/>
    </xf>
    <xf numFmtId="43" fontId="15" fillId="2" borderId="1" xfId="2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3" fillId="4" borderId="1" xfId="4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vertical="center" wrapText="1"/>
    </xf>
    <xf numFmtId="2" fontId="13" fillId="4" borderId="1" xfId="1" applyNumberFormat="1" applyFont="1" applyFill="1" applyBorder="1" applyAlignment="1">
      <alignment vertical="center" wrapText="1"/>
    </xf>
    <xf numFmtId="43" fontId="23" fillId="4" borderId="1" xfId="2" applyFont="1" applyFill="1" applyBorder="1" applyAlignment="1">
      <alignment vertical="center"/>
    </xf>
    <xf numFmtId="43" fontId="15" fillId="4" borderId="1" xfId="2" applyFont="1" applyFill="1" applyBorder="1" applyAlignment="1">
      <alignment vertical="center"/>
    </xf>
    <xf numFmtId="43" fontId="14" fillId="4" borderId="1" xfId="2" applyFont="1" applyFill="1" applyBorder="1" applyAlignment="1">
      <alignment horizontal="center" vertical="center" wrapText="1"/>
    </xf>
    <xf numFmtId="43" fontId="15" fillId="4" borderId="1" xfId="2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 wrapText="1"/>
    </xf>
    <xf numFmtId="0" fontId="24" fillId="3" borderId="11" xfId="4" applyFont="1" applyFill="1" applyBorder="1" applyAlignment="1">
      <alignment horizontal="left" vertical="center" wrapText="1"/>
    </xf>
    <xf numFmtId="0" fontId="13" fillId="3" borderId="1" xfId="1" applyFont="1" applyFill="1" applyBorder="1" applyAlignment="1">
      <alignment horizontal="center" vertical="center" wrapText="1"/>
    </xf>
    <xf numFmtId="2" fontId="13" fillId="3" borderId="1" xfId="1" applyNumberFormat="1" applyFont="1" applyFill="1" applyBorder="1" applyAlignment="1">
      <alignment vertical="center" wrapText="1"/>
    </xf>
    <xf numFmtId="43" fontId="23" fillId="3" borderId="1" xfId="2" applyFont="1" applyFill="1" applyBorder="1" applyAlignment="1">
      <alignment horizontal="center" vertical="center" wrapText="1"/>
    </xf>
    <xf numFmtId="43" fontId="15" fillId="3" borderId="1" xfId="2" applyFont="1" applyFill="1" applyBorder="1" applyAlignment="1">
      <alignment vertical="center"/>
    </xf>
    <xf numFmtId="43" fontId="15" fillId="3" borderId="1" xfId="2" applyFont="1" applyFill="1" applyBorder="1" applyAlignment="1">
      <alignment horizontal="center" vertical="center" wrapText="1"/>
    </xf>
    <xf numFmtId="0" fontId="13" fillId="2" borderId="11" xfId="4" applyFont="1" applyFill="1" applyBorder="1" applyAlignment="1">
      <alignment horizontal="left" vertical="center" wrapText="1"/>
    </xf>
    <xf numFmtId="43" fontId="25" fillId="2" borderId="1" xfId="2" applyFont="1" applyFill="1" applyBorder="1" applyAlignment="1">
      <alignment horizontal="center"/>
    </xf>
    <xf numFmtId="43" fontId="25" fillId="2" borderId="1" xfId="2" applyFont="1" applyFill="1" applyBorder="1" applyAlignment="1">
      <alignment vertical="center"/>
    </xf>
    <xf numFmtId="0" fontId="13" fillId="0" borderId="1" xfId="1" applyFont="1" applyBorder="1" applyAlignment="1">
      <alignment horizontal="center" vertical="center" wrapText="1"/>
    </xf>
    <xf numFmtId="43" fontId="13" fillId="3" borderId="1" xfId="2" applyFont="1" applyFill="1" applyBorder="1" applyAlignment="1">
      <alignment vertical="center"/>
    </xf>
    <xf numFmtId="43" fontId="15" fillId="0" borderId="1" xfId="2" applyFont="1" applyBorder="1" applyAlignment="1">
      <alignment vertical="center"/>
    </xf>
    <xf numFmtId="43" fontId="14" fillId="3" borderId="1" xfId="2" applyFont="1" applyFill="1" applyBorder="1" applyAlignment="1">
      <alignment horizontal="center" vertical="center" wrapText="1"/>
    </xf>
    <xf numFmtId="43" fontId="15" fillId="3" borderId="11" xfId="2" applyFont="1" applyFill="1" applyBorder="1" applyAlignment="1">
      <alignment vertical="center"/>
    </xf>
    <xf numFmtId="0" fontId="13" fillId="4" borderId="1" xfId="4" applyFont="1" applyFill="1" applyBorder="1" applyAlignment="1">
      <alignment vertical="center" wrapText="1"/>
    </xf>
    <xf numFmtId="0" fontId="15" fillId="4" borderId="1" xfId="1" applyFont="1" applyFill="1" applyBorder="1" applyAlignment="1">
      <alignment horizontal="right" vertical="center" wrapText="1"/>
    </xf>
    <xf numFmtId="43" fontId="13" fillId="4" borderId="1" xfId="2" applyFont="1" applyFill="1" applyBorder="1" applyAlignment="1">
      <alignment horizontal="center" vertical="center" wrapText="1"/>
    </xf>
    <xf numFmtId="43" fontId="15" fillId="4" borderId="11" xfId="2" applyFont="1" applyFill="1" applyBorder="1" applyAlignment="1">
      <alignment vertical="center"/>
    </xf>
    <xf numFmtId="0" fontId="13" fillId="8" borderId="1" xfId="3" applyFont="1" applyFill="1" applyBorder="1" applyAlignment="1">
      <alignment horizontal="center" vertical="center" wrapText="1"/>
    </xf>
    <xf numFmtId="2" fontId="13" fillId="8" borderId="1" xfId="2" applyNumberFormat="1" applyFont="1" applyFill="1" applyBorder="1" applyAlignment="1">
      <alignment horizontal="right" vertical="center"/>
    </xf>
    <xf numFmtId="43" fontId="15" fillId="8" borderId="1" xfId="2" applyFont="1" applyFill="1" applyBorder="1" applyAlignment="1">
      <alignment vertical="center"/>
    </xf>
    <xf numFmtId="43" fontId="23" fillId="8" borderId="1" xfId="2" applyFont="1" applyFill="1" applyBorder="1" applyAlignment="1">
      <alignment vertical="center"/>
    </xf>
    <xf numFmtId="43" fontId="15" fillId="8" borderId="1" xfId="2" applyFont="1" applyFill="1" applyBorder="1" applyAlignment="1">
      <alignment horizontal="center" vertical="center" wrapText="1"/>
    </xf>
    <xf numFmtId="43" fontId="15" fillId="8" borderId="11" xfId="2" applyFont="1" applyFill="1" applyBorder="1" applyAlignment="1">
      <alignment vertical="center"/>
    </xf>
    <xf numFmtId="0" fontId="7" fillId="0" borderId="0" xfId="1" applyFont="1" applyAlignment="1">
      <alignment vertical="center"/>
    </xf>
    <xf numFmtId="0" fontId="13" fillId="2" borderId="1" xfId="4" applyFont="1" applyFill="1" applyBorder="1" applyAlignment="1">
      <alignment vertical="center" wrapText="1"/>
    </xf>
    <xf numFmtId="0" fontId="15" fillId="2" borderId="1" xfId="1" applyFont="1" applyFill="1" applyBorder="1" applyAlignment="1">
      <alignment horizontal="right" vertical="center" wrapText="1"/>
    </xf>
    <xf numFmtId="43" fontId="15" fillId="2" borderId="11" xfId="2" applyFont="1" applyFill="1" applyBorder="1" applyAlignment="1">
      <alignment vertical="center"/>
    </xf>
    <xf numFmtId="2" fontId="15" fillId="2" borderId="1" xfId="1" applyNumberFormat="1" applyFont="1" applyFill="1" applyBorder="1" applyAlignment="1">
      <alignment horizontal="right" vertical="center" wrapText="1"/>
    </xf>
    <xf numFmtId="2" fontId="15" fillId="8" borderId="1" xfId="2" applyNumberFormat="1" applyFont="1" applyFill="1" applyBorder="1" applyAlignment="1">
      <alignment horizontal="right" vertical="center"/>
    </xf>
    <xf numFmtId="43" fontId="23" fillId="2" borderId="1" xfId="2" applyFont="1" applyFill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1" fontId="13" fillId="8" borderId="1" xfId="2" applyNumberFormat="1" applyFont="1" applyFill="1" applyBorder="1" applyAlignment="1">
      <alignment horizontal="right" vertical="center"/>
    </xf>
    <xf numFmtId="0" fontId="10" fillId="9" borderId="1" xfId="4" applyFont="1" applyFill="1" applyBorder="1" applyAlignment="1">
      <alignment vertical="center" wrapText="1"/>
    </xf>
    <xf numFmtId="2" fontId="15" fillId="4" borderId="1" xfId="1" applyNumberFormat="1" applyFont="1" applyFill="1" applyBorder="1" applyAlignment="1">
      <alignment horizontal="right" vertical="center" wrapText="1"/>
    </xf>
    <xf numFmtId="43" fontId="23" fillId="4" borderId="1" xfId="2" applyFont="1" applyFill="1" applyBorder="1" applyAlignment="1">
      <alignment horizontal="center" vertical="center" wrapText="1"/>
    </xf>
    <xf numFmtId="0" fontId="13" fillId="8" borderId="1" xfId="4" applyFont="1" applyFill="1" applyBorder="1" applyAlignment="1">
      <alignment vertical="center" wrapText="1"/>
    </xf>
    <xf numFmtId="0" fontId="15" fillId="8" borderId="1" xfId="1" applyFont="1" applyFill="1" applyBorder="1" applyAlignment="1">
      <alignment horizontal="center" vertical="center" wrapText="1"/>
    </xf>
    <xf numFmtId="2" fontId="15" fillId="8" borderId="1" xfId="1" applyNumberFormat="1" applyFont="1" applyFill="1" applyBorder="1" applyAlignment="1">
      <alignment horizontal="right" vertical="center" wrapText="1"/>
    </xf>
    <xf numFmtId="0" fontId="2" fillId="0" borderId="0" xfId="1" applyAlignment="1">
      <alignment vertical="center"/>
    </xf>
    <xf numFmtId="43" fontId="22" fillId="0" borderId="1" xfId="2" applyFont="1" applyBorder="1" applyAlignment="1">
      <alignment vertical="center"/>
    </xf>
    <xf numFmtId="43" fontId="10" fillId="0" borderId="1" xfId="2" applyFont="1" applyBorder="1" applyAlignment="1">
      <alignment vertical="center"/>
    </xf>
    <xf numFmtId="165" fontId="0" fillId="0" borderId="0" xfId="2" applyNumberFormat="1" applyFont="1" applyAlignment="1">
      <alignment vertical="center"/>
    </xf>
    <xf numFmtId="165" fontId="0" fillId="0" borderId="0" xfId="2" applyNumberFormat="1" applyFont="1"/>
    <xf numFmtId="0" fontId="15" fillId="5" borderId="1" xfId="1" applyFont="1" applyFill="1" applyBorder="1" applyAlignment="1">
      <alignment horizontal="center" vertical="center" wrapText="1"/>
    </xf>
    <xf numFmtId="0" fontId="13" fillId="5" borderId="1" xfId="4" applyFont="1" applyFill="1" applyBorder="1" applyAlignment="1">
      <alignment horizontal="left" vertical="center" wrapText="1"/>
    </xf>
    <xf numFmtId="0" fontId="13" fillId="5" borderId="1" xfId="1" applyFont="1" applyFill="1" applyBorder="1" applyAlignment="1">
      <alignment horizontal="center" vertical="center" wrapText="1"/>
    </xf>
    <xf numFmtId="2" fontId="13" fillId="5" borderId="1" xfId="1" applyNumberFormat="1" applyFont="1" applyFill="1" applyBorder="1" applyAlignment="1">
      <alignment vertical="center" wrapText="1"/>
    </xf>
    <xf numFmtId="43" fontId="14" fillId="5" borderId="1" xfId="2" applyFont="1" applyFill="1" applyBorder="1" applyAlignment="1">
      <alignment horizontal="center" vertical="center" wrapText="1"/>
    </xf>
    <xf numFmtId="43" fontId="15" fillId="5" borderId="1" xfId="2" applyFont="1" applyFill="1" applyBorder="1" applyAlignment="1">
      <alignment vertical="center"/>
    </xf>
    <xf numFmtId="43" fontId="13" fillId="5" borderId="1" xfId="2" applyFont="1" applyFill="1" applyBorder="1" applyAlignment="1">
      <alignment vertical="center"/>
    </xf>
    <xf numFmtId="43" fontId="13" fillId="5" borderId="1" xfId="2" applyFont="1" applyFill="1" applyBorder="1" applyAlignment="1">
      <alignment horizontal="center" vertical="center" wrapText="1"/>
    </xf>
    <xf numFmtId="0" fontId="2" fillId="5" borderId="0" xfId="1" applyFill="1"/>
    <xf numFmtId="0" fontId="7" fillId="5" borderId="0" xfId="1" applyFont="1" applyFill="1" applyAlignment="1">
      <alignment vertical="center"/>
    </xf>
    <xf numFmtId="0" fontId="9" fillId="5" borderId="0" xfId="1" applyFont="1" applyFill="1" applyAlignment="1">
      <alignment vertical="center"/>
    </xf>
    <xf numFmtId="0" fontId="9" fillId="0" borderId="0" xfId="1" applyFont="1"/>
    <xf numFmtId="0" fontId="10" fillId="0" borderId="1" xfId="1" applyFont="1" applyBorder="1" applyAlignment="1">
      <alignment vertical="center"/>
    </xf>
    <xf numFmtId="0" fontId="13" fillId="0" borderId="1" xfId="1" applyFont="1" applyBorder="1"/>
    <xf numFmtId="43" fontId="13" fillId="3" borderId="1" xfId="2" applyFont="1" applyFill="1" applyBorder="1" applyAlignment="1">
      <alignment horizontal="center" vertical="center" wrapText="1"/>
    </xf>
    <xf numFmtId="43" fontId="13" fillId="0" borderId="1" xfId="2" applyFont="1" applyBorder="1" applyAlignment="1">
      <alignment vertical="center"/>
    </xf>
    <xf numFmtId="0" fontId="13" fillId="5" borderId="1" xfId="3" applyFont="1" applyFill="1" applyBorder="1" applyAlignment="1">
      <alignment vertical="center" wrapText="1"/>
    </xf>
    <xf numFmtId="0" fontId="13" fillId="5" borderId="1" xfId="3" applyFont="1" applyFill="1" applyBorder="1" applyAlignment="1">
      <alignment horizontal="center" vertical="center" wrapText="1"/>
    </xf>
    <xf numFmtId="43" fontId="13" fillId="5" borderId="1" xfId="2" applyFont="1" applyFill="1" applyBorder="1" applyAlignment="1">
      <alignment horizontal="right" vertical="center" wrapText="1"/>
    </xf>
    <xf numFmtId="43" fontId="13" fillId="5" borderId="1" xfId="2" applyFont="1" applyFill="1" applyBorder="1" applyAlignment="1">
      <alignment horizontal="center"/>
    </xf>
    <xf numFmtId="0" fontId="7" fillId="5" borderId="0" xfId="1" applyFont="1" applyFill="1"/>
    <xf numFmtId="0" fontId="6" fillId="5" borderId="0" xfId="1" applyFont="1" applyFill="1"/>
    <xf numFmtId="43" fontId="13" fillId="2" borderId="1" xfId="2" applyFont="1" applyFill="1" applyBorder="1" applyAlignment="1">
      <alignment horizontal="right" vertical="center" wrapText="1"/>
    </xf>
    <xf numFmtId="0" fontId="13" fillId="2" borderId="1" xfId="3" applyFont="1" applyFill="1" applyBorder="1" applyAlignment="1">
      <alignment vertical="center" wrapText="1"/>
    </xf>
    <xf numFmtId="0" fontId="13" fillId="2" borderId="1" xfId="3" applyFont="1" applyFill="1" applyBorder="1" applyAlignment="1">
      <alignment horizontal="center" vertical="center" wrapText="1"/>
    </xf>
    <xf numFmtId="43" fontId="13" fillId="2" borderId="1" xfId="2" applyFont="1" applyFill="1" applyBorder="1" applyAlignment="1">
      <alignment horizontal="right" vertical="center"/>
    </xf>
    <xf numFmtId="43" fontId="13" fillId="5" borderId="1" xfId="2" applyFont="1" applyFill="1" applyBorder="1" applyAlignment="1">
      <alignment horizontal="right" vertical="center"/>
    </xf>
    <xf numFmtId="0" fontId="11" fillId="5" borderId="0" xfId="1" applyFont="1" applyFill="1"/>
    <xf numFmtId="0" fontId="13" fillId="0" borderId="1" xfId="3" applyFont="1" applyBorder="1" applyAlignment="1">
      <alignment horizontal="center" vertical="center" wrapText="1"/>
    </xf>
    <xf numFmtId="43" fontId="13" fillId="0" borderId="1" xfId="2" applyFont="1" applyBorder="1" applyAlignment="1">
      <alignment horizontal="right" vertical="center" wrapText="1"/>
    </xf>
    <xf numFmtId="43" fontId="13" fillId="0" borderId="1" xfId="2" applyFont="1" applyFill="1" applyBorder="1" applyAlignment="1">
      <alignment horizontal="right" vertical="center"/>
    </xf>
    <xf numFmtId="43" fontId="13" fillId="3" borderId="1" xfId="2" applyFont="1" applyFill="1" applyBorder="1" applyAlignment="1">
      <alignment horizontal="center"/>
    </xf>
    <xf numFmtId="0" fontId="13" fillId="4" borderId="1" xfId="3" applyFont="1" applyFill="1" applyBorder="1" applyAlignment="1">
      <alignment vertical="center" wrapText="1"/>
    </xf>
    <xf numFmtId="0" fontId="13" fillId="4" borderId="1" xfId="3" applyFont="1" applyFill="1" applyBorder="1" applyAlignment="1">
      <alignment horizontal="center" vertical="center" wrapText="1"/>
    </xf>
    <xf numFmtId="43" fontId="13" fillId="4" borderId="1" xfId="2" applyFont="1" applyFill="1" applyBorder="1" applyAlignment="1">
      <alignment horizontal="right" vertical="center"/>
    </xf>
    <xf numFmtId="43" fontId="13" fillId="4" borderId="1" xfId="2" applyFont="1" applyFill="1" applyBorder="1" applyAlignment="1">
      <alignment vertical="center"/>
    </xf>
    <xf numFmtId="43" fontId="13" fillId="4" borderId="1" xfId="2" applyFont="1" applyFill="1" applyBorder="1" applyAlignment="1">
      <alignment horizontal="center"/>
    </xf>
    <xf numFmtId="49" fontId="13" fillId="3" borderId="1" xfId="1" applyNumberFormat="1" applyFont="1" applyFill="1" applyBorder="1" applyAlignment="1">
      <alignment horizontal="center" vertical="center" wrapText="1"/>
    </xf>
    <xf numFmtId="43" fontId="13" fillId="8" borderId="1" xfId="2" applyFont="1" applyFill="1" applyBorder="1" applyAlignment="1">
      <alignment vertical="center" wrapText="1"/>
    </xf>
    <xf numFmtId="2" fontId="13" fillId="2" borderId="1" xfId="3" applyNumberFormat="1" applyFont="1" applyFill="1" applyBorder="1" applyAlignment="1">
      <alignment horizontal="right" vertical="center"/>
    </xf>
    <xf numFmtId="2" fontId="13" fillId="0" borderId="1" xfId="3" applyNumberFormat="1" applyFont="1" applyBorder="1" applyAlignment="1">
      <alignment horizontal="right" vertical="center"/>
    </xf>
    <xf numFmtId="1" fontId="13" fillId="2" borderId="1" xfId="3" applyNumberFormat="1" applyFont="1" applyFill="1" applyBorder="1" applyAlignment="1">
      <alignment horizontal="right" vertical="center"/>
    </xf>
    <xf numFmtId="0" fontId="10" fillId="0" borderId="1" xfId="3" applyFont="1" applyBorder="1" applyAlignment="1">
      <alignment vertical="center" wrapText="1"/>
    </xf>
    <xf numFmtId="1" fontId="13" fillId="0" borderId="1" xfId="3" applyNumberFormat="1" applyFont="1" applyBorder="1" applyAlignment="1">
      <alignment horizontal="right" vertical="center"/>
    </xf>
    <xf numFmtId="2" fontId="13" fillId="4" borderId="1" xfId="3" applyNumberFormat="1" applyFont="1" applyFill="1" applyBorder="1" applyAlignment="1">
      <alignment horizontal="right" vertical="center"/>
    </xf>
    <xf numFmtId="165" fontId="13" fillId="8" borderId="1" xfId="2" applyNumberFormat="1" applyFont="1" applyFill="1" applyBorder="1" applyAlignment="1">
      <alignment vertical="center" wrapText="1"/>
    </xf>
    <xf numFmtId="170" fontId="13" fillId="2" borderId="1" xfId="3" applyNumberFormat="1" applyFont="1" applyFill="1" applyBorder="1" applyAlignment="1">
      <alignment horizontal="right" vertical="center"/>
    </xf>
    <xf numFmtId="43" fontId="13" fillId="4" borderId="1" xfId="2" applyFont="1" applyFill="1" applyBorder="1" applyAlignment="1">
      <alignment vertical="center" wrapText="1"/>
    </xf>
    <xf numFmtId="171" fontId="13" fillId="8" borderId="1" xfId="2" applyNumberFormat="1" applyFont="1" applyFill="1" applyBorder="1" applyAlignment="1">
      <alignment vertical="center" wrapText="1"/>
    </xf>
    <xf numFmtId="0" fontId="13" fillId="3" borderId="1" xfId="3" applyFont="1" applyFill="1" applyBorder="1" applyAlignment="1">
      <alignment horizontal="center" vertical="center" wrapText="1"/>
    </xf>
    <xf numFmtId="165" fontId="13" fillId="3" borderId="1" xfId="2" applyNumberFormat="1" applyFont="1" applyFill="1" applyBorder="1" applyAlignment="1">
      <alignment vertical="center" wrapText="1"/>
    </xf>
    <xf numFmtId="0" fontId="13" fillId="5" borderId="1" xfId="3" applyFont="1" applyFill="1" applyBorder="1" applyAlignment="1">
      <alignment horizontal="left" vertical="center" wrapText="1"/>
    </xf>
    <xf numFmtId="49" fontId="13" fillId="5" borderId="1" xfId="1" applyNumberFormat="1" applyFont="1" applyFill="1" applyBorder="1" applyAlignment="1">
      <alignment horizontal="center" vertical="center" wrapText="1"/>
    </xf>
    <xf numFmtId="43" fontId="13" fillId="5" borderId="11" xfId="2" applyFont="1" applyFill="1" applyBorder="1" applyAlignment="1">
      <alignment vertical="center"/>
    </xf>
    <xf numFmtId="0" fontId="13" fillId="5" borderId="1" xfId="1" applyFont="1" applyFill="1" applyBorder="1" applyAlignment="1">
      <alignment vertical="center" wrapText="1"/>
    </xf>
    <xf numFmtId="43" fontId="13" fillId="5" borderId="1" xfId="2" applyFont="1" applyFill="1" applyBorder="1" applyAlignment="1">
      <alignment horizontal="center" vertical="center"/>
    </xf>
    <xf numFmtId="0" fontId="19" fillId="0" borderId="1" xfId="3" applyFont="1" applyBorder="1" applyAlignment="1">
      <alignment vertical="center" wrapText="1"/>
    </xf>
    <xf numFmtId="1" fontId="13" fillId="4" borderId="1" xfId="1" applyNumberFormat="1" applyFont="1" applyFill="1" applyBorder="1" applyAlignment="1">
      <alignment vertical="center" wrapText="1"/>
    </xf>
    <xf numFmtId="0" fontId="13" fillId="4" borderId="11" xfId="4" applyFont="1" applyFill="1" applyBorder="1" applyAlignment="1">
      <alignment horizontal="left" vertical="center" wrapText="1"/>
    </xf>
    <xf numFmtId="169" fontId="13" fillId="4" borderId="1" xfId="3" applyNumberFormat="1" applyFont="1" applyFill="1" applyBorder="1" applyAlignment="1">
      <alignment horizontal="right" vertical="center"/>
    </xf>
    <xf numFmtId="43" fontId="19" fillId="0" borderId="1" xfId="2" applyFont="1" applyBorder="1" applyAlignment="1">
      <alignment vertical="center"/>
    </xf>
    <xf numFmtId="165" fontId="21" fillId="0" borderId="0" xfId="2" applyNumberFormat="1" applyFont="1" applyAlignment="1">
      <alignment vertical="center"/>
    </xf>
    <xf numFmtId="43" fontId="11" fillId="0" borderId="0" xfId="2" applyFont="1"/>
    <xf numFmtId="0" fontId="9" fillId="5" borderId="0" xfId="1" applyFont="1" applyFill="1"/>
    <xf numFmtId="0" fontId="2" fillId="0" borderId="0" xfId="1" applyAlignment="1">
      <alignment horizontal="left" vertical="center"/>
    </xf>
    <xf numFmtId="165" fontId="15" fillId="2" borderId="1" xfId="2" applyNumberFormat="1" applyFont="1" applyFill="1" applyBorder="1" applyAlignment="1">
      <alignment horizontal="right" vertical="center" wrapText="1"/>
    </xf>
    <xf numFmtId="43" fontId="15" fillId="2" borderId="1" xfId="2" applyFont="1" applyFill="1" applyBorder="1" applyAlignment="1">
      <alignment horizontal="right" vertical="center" wrapText="1"/>
    </xf>
    <xf numFmtId="43" fontId="15" fillId="4" borderId="1" xfId="2" applyFont="1" applyFill="1" applyBorder="1" applyAlignment="1">
      <alignment horizontal="right" vertical="center" wrapText="1"/>
    </xf>
    <xf numFmtId="0" fontId="15" fillId="0" borderId="1" xfId="1" applyFont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left" vertical="center" wrapText="1"/>
    </xf>
    <xf numFmtId="43" fontId="23" fillId="0" borderId="1" xfId="2" applyFont="1" applyBorder="1" applyAlignment="1">
      <alignment vertical="center"/>
    </xf>
    <xf numFmtId="43" fontId="15" fillId="0" borderId="11" xfId="2" applyFont="1" applyBorder="1" applyAlignment="1">
      <alignment vertical="center"/>
    </xf>
    <xf numFmtId="1" fontId="15" fillId="9" borderId="1" xfId="1" applyNumberFormat="1" applyFont="1" applyFill="1" applyBorder="1" applyAlignment="1">
      <alignment horizontal="right" vertical="center" wrapText="1"/>
    </xf>
    <xf numFmtId="170" fontId="15" fillId="2" borderId="1" xfId="1" applyNumberFormat="1" applyFont="1" applyFill="1" applyBorder="1" applyAlignment="1">
      <alignment horizontal="right" vertical="center" wrapText="1"/>
    </xf>
    <xf numFmtId="0" fontId="11" fillId="0" borderId="0" xfId="1" applyFont="1" applyAlignment="1">
      <alignment vertical="center" wrapText="1"/>
    </xf>
    <xf numFmtId="0" fontId="17" fillId="2" borderId="1" xfId="4" applyFont="1" applyFill="1" applyBorder="1" applyAlignment="1">
      <alignment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3" fontId="15" fillId="2" borderId="1" xfId="1" applyNumberFormat="1" applyFont="1" applyFill="1" applyBorder="1" applyAlignment="1">
      <alignment horizontal="right" vertical="center" wrapText="1"/>
    </xf>
    <xf numFmtId="43" fontId="13" fillId="2" borderId="1" xfId="2" applyFont="1" applyFill="1" applyBorder="1" applyAlignment="1">
      <alignment horizontal="center" vertical="center"/>
    </xf>
    <xf numFmtId="3" fontId="15" fillId="4" borderId="1" xfId="1" applyNumberFormat="1" applyFont="1" applyFill="1" applyBorder="1" applyAlignment="1">
      <alignment horizontal="right" vertical="center" wrapText="1"/>
    </xf>
    <xf numFmtId="43" fontId="13" fillId="4" borderId="1" xfId="2" applyFont="1" applyFill="1" applyBorder="1" applyAlignment="1">
      <alignment horizontal="center" vertical="center"/>
    </xf>
    <xf numFmtId="0" fontId="13" fillId="10" borderId="1" xfId="1" applyFont="1" applyFill="1" applyBorder="1" applyAlignment="1">
      <alignment vertical="center" wrapText="1"/>
    </xf>
    <xf numFmtId="0" fontId="15" fillId="10" borderId="1" xfId="1" applyFont="1" applyFill="1" applyBorder="1" applyAlignment="1">
      <alignment horizontal="center" vertical="center"/>
    </xf>
    <xf numFmtId="3" fontId="13" fillId="8" borderId="1" xfId="2" applyNumberFormat="1" applyFont="1" applyFill="1" applyBorder="1" applyAlignment="1">
      <alignment horizontal="right" vertical="center"/>
    </xf>
    <xf numFmtId="1" fontId="15" fillId="4" borderId="1" xfId="1" applyNumberFormat="1" applyFont="1" applyFill="1" applyBorder="1" applyAlignment="1">
      <alignment horizontal="right" vertical="center" wrapText="1"/>
    </xf>
    <xf numFmtId="1" fontId="15" fillId="8" borderId="1" xfId="1" applyNumberFormat="1" applyFont="1" applyFill="1" applyBorder="1" applyAlignment="1">
      <alignment horizontal="right" vertical="center" wrapText="1"/>
    </xf>
    <xf numFmtId="0" fontId="26" fillId="9" borderId="1" xfId="4" applyFont="1" applyFill="1" applyBorder="1" applyAlignment="1">
      <alignment vertical="center" wrapText="1"/>
    </xf>
    <xf numFmtId="0" fontId="17" fillId="9" borderId="1" xfId="1" applyFont="1" applyFill="1" applyBorder="1" applyAlignment="1">
      <alignment horizontal="center" vertical="center" wrapText="1"/>
    </xf>
    <xf numFmtId="1" fontId="17" fillId="9" borderId="1" xfId="1" applyNumberFormat="1" applyFont="1" applyFill="1" applyBorder="1" applyAlignment="1">
      <alignment horizontal="center" vertical="center" wrapText="1"/>
    </xf>
    <xf numFmtId="43" fontId="17" fillId="9" borderId="1" xfId="2" applyFont="1" applyFill="1" applyBorder="1" applyAlignment="1">
      <alignment horizontal="center" vertical="center" wrapText="1"/>
    </xf>
    <xf numFmtId="43" fontId="17" fillId="9" borderId="1" xfId="2" applyFont="1" applyFill="1" applyBorder="1" applyAlignment="1">
      <alignment vertical="center"/>
    </xf>
    <xf numFmtId="43" fontId="18" fillId="9" borderId="1" xfId="2" applyFont="1" applyFill="1" applyBorder="1" applyAlignment="1">
      <alignment horizontal="center" vertical="center" wrapText="1"/>
    </xf>
    <xf numFmtId="43" fontId="17" fillId="9" borderId="11" xfId="2" applyFont="1" applyFill="1" applyBorder="1" applyAlignment="1">
      <alignment vertical="center"/>
    </xf>
    <xf numFmtId="3" fontId="17" fillId="2" borderId="1" xfId="1" applyNumberFormat="1" applyFont="1" applyFill="1" applyBorder="1" applyAlignment="1">
      <alignment horizontal="right" vertical="center" wrapText="1"/>
    </xf>
    <xf numFmtId="43" fontId="17" fillId="2" borderId="1" xfId="2" applyFont="1" applyFill="1" applyBorder="1" applyAlignment="1">
      <alignment horizontal="center" vertical="center"/>
    </xf>
    <xf numFmtId="0" fontId="17" fillId="10" borderId="1" xfId="1" applyFont="1" applyFill="1" applyBorder="1" applyAlignment="1">
      <alignment vertical="center" wrapText="1"/>
    </xf>
    <xf numFmtId="3" fontId="17" fillId="8" borderId="1" xfId="2" applyNumberFormat="1" applyFont="1" applyFill="1" applyBorder="1" applyAlignment="1">
      <alignment horizontal="right" vertical="center"/>
    </xf>
    <xf numFmtId="0" fontId="13" fillId="5" borderId="1" xfId="4" applyFont="1" applyFill="1" applyBorder="1" applyAlignment="1">
      <alignment vertical="center" wrapText="1"/>
    </xf>
    <xf numFmtId="2" fontId="15" fillId="5" borderId="1" xfId="1" applyNumberFormat="1" applyFont="1" applyFill="1" applyBorder="1" applyAlignment="1">
      <alignment horizontal="right" vertical="center" wrapText="1"/>
    </xf>
    <xf numFmtId="43" fontId="15" fillId="5" borderId="1" xfId="2" applyFont="1" applyFill="1" applyBorder="1" applyAlignment="1">
      <alignment horizontal="center" vertical="center" wrapText="1"/>
    </xf>
    <xf numFmtId="43" fontId="15" fillId="5" borderId="11" xfId="2" applyFont="1" applyFill="1" applyBorder="1" applyAlignment="1">
      <alignment vertical="center"/>
    </xf>
    <xf numFmtId="0" fontId="2" fillId="5" borderId="0" xfId="1" applyFill="1" applyAlignment="1">
      <alignment horizontal="left" vertical="center"/>
    </xf>
    <xf numFmtId="43" fontId="15" fillId="8" borderId="1" xfId="2" applyFont="1" applyFill="1" applyBorder="1" applyAlignment="1">
      <alignment horizontal="right" vertical="center"/>
    </xf>
    <xf numFmtId="165" fontId="15" fillId="8" borderId="1" xfId="2" applyNumberFormat="1" applyFont="1" applyFill="1" applyBorder="1" applyAlignment="1">
      <alignment horizontal="right" vertical="center"/>
    </xf>
    <xf numFmtId="0" fontId="10" fillId="0" borderId="1" xfId="4" applyFont="1" applyBorder="1" applyAlignment="1">
      <alignment vertical="center" wrapText="1"/>
    </xf>
    <xf numFmtId="169" fontId="15" fillId="0" borderId="1" xfId="1" applyNumberFormat="1" applyFont="1" applyBorder="1" applyAlignment="1">
      <alignment horizontal="center" vertical="center" wrapText="1"/>
    </xf>
    <xf numFmtId="43" fontId="13" fillId="0" borderId="1" xfId="2" applyFont="1" applyFill="1" applyBorder="1" applyAlignment="1">
      <alignment horizontal="center" vertical="center" wrapText="1"/>
    </xf>
    <xf numFmtId="43" fontId="15" fillId="0" borderId="1" xfId="2" applyFont="1" applyFill="1" applyBorder="1" applyAlignment="1">
      <alignment vertical="center"/>
    </xf>
    <xf numFmtId="43" fontId="14" fillId="0" borderId="1" xfId="2" applyFont="1" applyFill="1" applyBorder="1" applyAlignment="1">
      <alignment horizontal="center" vertical="center" wrapText="1"/>
    </xf>
    <xf numFmtId="43" fontId="15" fillId="0" borderId="1" xfId="2" applyFont="1" applyFill="1" applyBorder="1" applyAlignment="1">
      <alignment horizontal="center" vertical="center" wrapText="1"/>
    </xf>
    <xf numFmtId="43" fontId="15" fillId="0" borderId="11" xfId="2" applyFont="1" applyFill="1" applyBorder="1" applyAlignment="1">
      <alignment vertical="center"/>
    </xf>
    <xf numFmtId="1" fontId="15" fillId="2" borderId="1" xfId="1" applyNumberFormat="1" applyFont="1" applyFill="1" applyBorder="1" applyAlignment="1">
      <alignment horizontal="right" vertical="center" wrapText="1"/>
    </xf>
    <xf numFmtId="169" fontId="15" fillId="4" borderId="1" xfId="1" applyNumberFormat="1" applyFont="1" applyFill="1" applyBorder="1" applyAlignment="1">
      <alignment horizontal="right" vertical="center" wrapText="1"/>
    </xf>
    <xf numFmtId="170" fontId="15" fillId="4" borderId="1" xfId="1" applyNumberFormat="1" applyFont="1" applyFill="1" applyBorder="1" applyAlignment="1">
      <alignment horizontal="right" vertical="center" wrapText="1"/>
    </xf>
    <xf numFmtId="170" fontId="15" fillId="8" borderId="1" xfId="1" applyNumberFormat="1" applyFont="1" applyFill="1" applyBorder="1" applyAlignment="1">
      <alignment horizontal="right" vertical="center" wrapText="1"/>
    </xf>
    <xf numFmtId="43" fontId="15" fillId="3" borderId="1" xfId="2" applyFont="1" applyFill="1" applyBorder="1" applyAlignment="1">
      <alignment horizontal="center"/>
    </xf>
    <xf numFmtId="2" fontId="13" fillId="4" borderId="1" xfId="1" applyNumberFormat="1" applyFont="1" applyFill="1" applyBorder="1" applyAlignment="1">
      <alignment horizontal="right" vertical="center" wrapText="1"/>
    </xf>
    <xf numFmtId="49" fontId="13" fillId="4" borderId="1" xfId="1" applyNumberFormat="1" applyFont="1" applyFill="1" applyBorder="1" applyAlignment="1">
      <alignment horizontal="center" vertical="center" wrapText="1"/>
    </xf>
    <xf numFmtId="1" fontId="13" fillId="4" borderId="1" xfId="1" applyNumberFormat="1" applyFont="1" applyFill="1" applyBorder="1" applyAlignment="1">
      <alignment horizontal="right" vertical="center" wrapText="1"/>
    </xf>
    <xf numFmtId="1" fontId="13" fillId="2" borderId="1" xfId="1" applyNumberFormat="1" applyFont="1" applyFill="1" applyBorder="1" applyAlignment="1">
      <alignment horizontal="right" vertical="center" wrapText="1"/>
    </xf>
    <xf numFmtId="43" fontId="13" fillId="2" borderId="3" xfId="2" applyFont="1" applyFill="1" applyBorder="1" applyAlignment="1">
      <alignment horizontal="center" vertical="center" wrapText="1"/>
    </xf>
    <xf numFmtId="43" fontId="13" fillId="4" borderId="3" xfId="2" applyFont="1" applyFill="1" applyBorder="1" applyAlignment="1">
      <alignment horizontal="center" vertical="center" wrapText="1"/>
    </xf>
    <xf numFmtId="43" fontId="14" fillId="3" borderId="3" xfId="2" applyFont="1" applyFill="1" applyBorder="1" applyAlignment="1">
      <alignment horizontal="center" vertical="center" wrapText="1"/>
    </xf>
    <xf numFmtId="43" fontId="13" fillId="3" borderId="3" xfId="2" applyFont="1" applyFill="1" applyBorder="1" applyAlignment="1">
      <alignment vertical="center"/>
    </xf>
    <xf numFmtId="43" fontId="13" fillId="3" borderId="3" xfId="2" applyFont="1" applyFill="1" applyBorder="1" applyAlignment="1">
      <alignment horizontal="center" vertical="center" wrapText="1"/>
    </xf>
    <xf numFmtId="43" fontId="15" fillId="2" borderId="1" xfId="2" applyFont="1" applyFill="1" applyBorder="1" applyAlignment="1">
      <alignment horizontal="center"/>
    </xf>
    <xf numFmtId="0" fontId="13" fillId="8" borderId="11" xfId="4" applyFont="1" applyFill="1" applyBorder="1" applyAlignment="1">
      <alignment horizontal="left" vertical="center" wrapText="1"/>
    </xf>
    <xf numFmtId="43" fontId="15" fillId="8" borderId="1" xfId="2" applyFont="1" applyFill="1" applyBorder="1" applyAlignment="1">
      <alignment horizontal="center"/>
    </xf>
    <xf numFmtId="43" fontId="13" fillId="8" borderId="1" xfId="2" applyFont="1" applyFill="1" applyBorder="1" applyAlignment="1">
      <alignment horizontal="center"/>
    </xf>
    <xf numFmtId="169" fontId="15" fillId="2" borderId="1" xfId="1" applyNumberFormat="1" applyFont="1" applyFill="1" applyBorder="1" applyAlignment="1">
      <alignment horizontal="right" vertical="center" wrapText="1"/>
    </xf>
    <xf numFmtId="1" fontId="13" fillId="8" borderId="1" xfId="1" applyNumberFormat="1" applyFont="1" applyFill="1" applyBorder="1" applyAlignment="1">
      <alignment horizontal="right" vertical="center" wrapText="1"/>
    </xf>
    <xf numFmtId="169" fontId="13" fillId="2" borderId="1" xfId="1" applyNumberFormat="1" applyFont="1" applyFill="1" applyBorder="1" applyAlignment="1">
      <alignment horizontal="right" vertical="center" wrapText="1"/>
    </xf>
    <xf numFmtId="2" fontId="13" fillId="8" borderId="1" xfId="1" applyNumberFormat="1" applyFont="1" applyFill="1" applyBorder="1" applyAlignment="1">
      <alignment horizontal="right" vertical="center" wrapText="1"/>
    </xf>
    <xf numFmtId="167" fontId="15" fillId="2" borderId="1" xfId="2" applyNumberFormat="1" applyFont="1" applyFill="1" applyBorder="1" applyAlignment="1">
      <alignment horizontal="center" vertical="center" wrapText="1"/>
    </xf>
    <xf numFmtId="0" fontId="3" fillId="5" borderId="0" xfId="1" applyFont="1" applyFill="1" applyAlignment="1">
      <alignment horizontal="left" vertical="center"/>
    </xf>
    <xf numFmtId="0" fontId="9" fillId="5" borderId="0" xfId="1" applyFont="1" applyFill="1" applyAlignment="1">
      <alignment horizontal="left" vertical="center"/>
    </xf>
    <xf numFmtId="0" fontId="10" fillId="5" borderId="1" xfId="3" applyFont="1" applyFill="1" applyBorder="1" applyAlignment="1">
      <alignment vertical="center" wrapText="1"/>
    </xf>
    <xf numFmtId="1" fontId="13" fillId="5" borderId="1" xfId="3" applyNumberFormat="1" applyFont="1" applyFill="1" applyBorder="1" applyAlignment="1">
      <alignment horizontal="right" vertical="center"/>
    </xf>
    <xf numFmtId="165" fontId="13" fillId="5" borderId="1" xfId="2" applyNumberFormat="1" applyFont="1" applyFill="1" applyBorder="1" applyAlignment="1">
      <alignment horizontal="right" vertical="center"/>
    </xf>
    <xf numFmtId="0" fontId="11" fillId="0" borderId="1" xfId="1" applyFont="1" applyBorder="1"/>
    <xf numFmtId="164" fontId="6" fillId="0" borderId="1" xfId="1" applyNumberFormat="1" applyFont="1" applyBorder="1"/>
    <xf numFmtId="0" fontId="3" fillId="5" borderId="2" xfId="0" applyFont="1" applyFill="1" applyBorder="1" applyAlignment="1">
      <alignment horizontal="centerContinuous" vertical="center"/>
    </xf>
    <xf numFmtId="0" fontId="0" fillId="0" borderId="0" xfId="0" applyAlignment="1">
      <alignment vertical="center"/>
    </xf>
    <xf numFmtId="0" fontId="3" fillId="6" borderId="2" xfId="0" applyFont="1" applyFill="1" applyBorder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3" fontId="5" fillId="0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Fill="1" applyBorder="1" applyAlignment="1">
      <alignment vertical="center"/>
    </xf>
    <xf numFmtId="4" fontId="4" fillId="0" borderId="1" xfId="0" applyNumberFormat="1" applyFont="1" applyFill="1" applyBorder="1" applyAlignment="1">
      <alignment horizontal="right" vertical="center"/>
    </xf>
    <xf numFmtId="4" fontId="0" fillId="0" borderId="1" xfId="0" applyNumberForma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43" fontId="3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3" fontId="3" fillId="0" borderId="0" xfId="0" applyNumberFormat="1" applyFont="1" applyBorder="1" applyAlignment="1">
      <alignment vertical="center"/>
    </xf>
    <xf numFmtId="0" fontId="0" fillId="3" borderId="1" xfId="0" applyFill="1" applyBorder="1" applyAlignment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vertical="center"/>
    </xf>
    <xf numFmtId="165" fontId="13" fillId="0" borderId="1" xfId="2" applyNumberFormat="1" applyFont="1" applyBorder="1" applyAlignment="1">
      <alignment horizontal="right" vertical="center"/>
    </xf>
    <xf numFmtId="2" fontId="13" fillId="2" borderId="1" xfId="3" applyNumberFormat="1" applyFont="1" applyFill="1" applyBorder="1" applyAlignment="1">
      <alignment horizontal="right" vertical="center" wrapText="1"/>
    </xf>
    <xf numFmtId="0" fontId="10" fillId="0" borderId="1" xfId="4" applyFont="1" applyBorder="1" applyAlignment="1">
      <alignment horizontal="left" vertical="center" wrapText="1"/>
    </xf>
    <xf numFmtId="2" fontId="13" fillId="0" borderId="1" xfId="1" applyNumberFormat="1" applyFont="1" applyBorder="1" applyAlignment="1">
      <alignment horizontal="right" vertical="center" wrapText="1"/>
    </xf>
    <xf numFmtId="2" fontId="13" fillId="0" borderId="1" xfId="1" applyNumberFormat="1" applyFont="1" applyBorder="1" applyAlignment="1">
      <alignment vertical="center" wrapText="1"/>
    </xf>
    <xf numFmtId="1" fontId="13" fillId="0" borderId="1" xfId="3" applyNumberFormat="1" applyFont="1" applyBorder="1" applyAlignment="1">
      <alignment horizontal="right" vertical="center" wrapText="1"/>
    </xf>
    <xf numFmtId="1" fontId="13" fillId="4" borderId="1" xfId="3" applyNumberFormat="1" applyFont="1" applyFill="1" applyBorder="1" applyAlignment="1">
      <alignment horizontal="right" vertical="center" wrapText="1"/>
    </xf>
    <xf numFmtId="0" fontId="13" fillId="2" borderId="1" xfId="3" applyFont="1" applyFill="1" applyBorder="1" applyAlignment="1">
      <alignment horizontal="left" vertical="center" wrapText="1"/>
    </xf>
    <xf numFmtId="4" fontId="13" fillId="2" borderId="1" xfId="3" applyNumberFormat="1" applyFont="1" applyFill="1" applyBorder="1" applyAlignment="1">
      <alignment horizontal="right" vertical="center"/>
    </xf>
    <xf numFmtId="4" fontId="13" fillId="8" borderId="1" xfId="2" applyNumberFormat="1" applyFont="1" applyFill="1" applyBorder="1" applyAlignment="1">
      <alignment vertical="center" wrapText="1"/>
    </xf>
    <xf numFmtId="3" fontId="13" fillId="2" borderId="1" xfId="3" applyNumberFormat="1" applyFont="1" applyFill="1" applyBorder="1" applyAlignment="1">
      <alignment horizontal="right" vertical="center"/>
    </xf>
    <xf numFmtId="1" fontId="13" fillId="4" borderId="1" xfId="3" applyNumberFormat="1" applyFont="1" applyFill="1" applyBorder="1" applyAlignment="1">
      <alignment horizontal="right" vertical="center"/>
    </xf>
    <xf numFmtId="43" fontId="13" fillId="2" borderId="1" xfId="2" applyFont="1" applyFill="1" applyBorder="1" applyAlignment="1">
      <alignment vertical="center" wrapText="1"/>
    </xf>
    <xf numFmtId="169" fontId="13" fillId="2" borderId="1" xfId="1" applyNumberFormat="1" applyFont="1" applyFill="1" applyBorder="1" applyAlignment="1">
      <alignment vertical="center" wrapText="1"/>
    </xf>
    <xf numFmtId="169" fontId="13" fillId="8" borderId="1" xfId="1" applyNumberFormat="1" applyFont="1" applyFill="1" applyBorder="1" applyAlignment="1">
      <alignment vertical="center" wrapText="1"/>
    </xf>
    <xf numFmtId="169" fontId="13" fillId="2" borderId="1" xfId="3" applyNumberFormat="1" applyFont="1" applyFill="1" applyBorder="1" applyAlignment="1">
      <alignment horizontal="right" vertical="center"/>
    </xf>
    <xf numFmtId="2" fontId="13" fillId="2" borderId="1" xfId="1" applyNumberFormat="1" applyFont="1" applyFill="1" applyBorder="1" applyAlignment="1">
      <alignment horizontal="right" vertical="center" wrapText="1"/>
    </xf>
    <xf numFmtId="1" fontId="13" fillId="2" borderId="1" xfId="1" applyNumberFormat="1" applyFont="1" applyFill="1" applyBorder="1" applyAlignment="1">
      <alignment horizontal="center" vertical="center" wrapText="1"/>
    </xf>
    <xf numFmtId="164" fontId="7" fillId="0" borderId="0" xfId="1" applyNumberFormat="1" applyFont="1"/>
    <xf numFmtId="2" fontId="13" fillId="5" borderId="1" xfId="3" applyNumberFormat="1" applyFont="1" applyFill="1" applyBorder="1" applyAlignment="1">
      <alignment horizontal="right" vertical="center" wrapText="1"/>
    </xf>
    <xf numFmtId="49" fontId="13" fillId="5" borderId="1" xfId="3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27" fillId="0" borderId="1" xfId="0" applyFont="1" applyBorder="1" applyAlignment="1">
      <alignment horizontal="left" vertical="center"/>
    </xf>
    <xf numFmtId="4" fontId="27" fillId="0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right" vertical="center"/>
    </xf>
    <xf numFmtId="4" fontId="9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4" fontId="28" fillId="0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43" fontId="18" fillId="8" borderId="1" xfId="2" applyFont="1" applyFill="1" applyBorder="1" applyAlignment="1">
      <alignment horizontal="left" vertical="center" wrapText="1"/>
    </xf>
    <xf numFmtId="0" fontId="11" fillId="0" borderId="0" xfId="5" applyFont="1"/>
    <xf numFmtId="4" fontId="10" fillId="0" borderId="1" xfId="5" applyNumberFormat="1" applyFont="1" applyBorder="1" applyAlignment="1">
      <alignment horizontal="center" vertical="center" wrapText="1"/>
    </xf>
    <xf numFmtId="165" fontId="10" fillId="0" borderId="1" xfId="6" applyNumberFormat="1" applyFont="1" applyBorder="1" applyAlignment="1">
      <alignment vertical="center"/>
    </xf>
    <xf numFmtId="0" fontId="10" fillId="7" borderId="9" xfId="5" applyFont="1" applyFill="1" applyBorder="1" applyAlignment="1">
      <alignment horizontal="center" vertical="center" wrapText="1"/>
    </xf>
    <xf numFmtId="4" fontId="10" fillId="7" borderId="1" xfId="5" applyNumberFormat="1" applyFont="1" applyFill="1" applyBorder="1" applyAlignment="1">
      <alignment horizontal="left" vertical="center" wrapText="1"/>
    </xf>
    <xf numFmtId="166" fontId="10" fillId="7" borderId="1" xfId="5" applyNumberFormat="1" applyFont="1" applyFill="1" applyBorder="1" applyAlignment="1">
      <alignment horizontal="left" vertical="center" wrapText="1"/>
    </xf>
    <xf numFmtId="165" fontId="10" fillId="7" borderId="1" xfId="6" applyNumberFormat="1" applyFont="1" applyFill="1" applyBorder="1" applyAlignment="1">
      <alignment horizontal="left" vertical="center" wrapText="1"/>
    </xf>
    <xf numFmtId="49" fontId="13" fillId="3" borderId="1" xfId="5" applyNumberFormat="1" applyFont="1" applyFill="1" applyBorder="1" applyAlignment="1">
      <alignment horizontal="center" vertical="center" wrapText="1"/>
    </xf>
    <xf numFmtId="0" fontId="10" fillId="3" borderId="11" xfId="5" applyFont="1" applyFill="1" applyBorder="1" applyAlignment="1">
      <alignment horizontal="left" vertical="center" wrapText="1"/>
    </xf>
    <xf numFmtId="0" fontId="13" fillId="3" borderId="1" xfId="5" applyFont="1" applyFill="1" applyBorder="1" applyAlignment="1">
      <alignment horizontal="center" vertical="center" wrapText="1"/>
    </xf>
    <xf numFmtId="1" fontId="13" fillId="3" borderId="1" xfId="5" applyNumberFormat="1" applyFont="1" applyFill="1" applyBorder="1" applyAlignment="1">
      <alignment vertical="center" wrapText="1"/>
    </xf>
    <xf numFmtId="3" fontId="13" fillId="3" borderId="1" xfId="5" applyNumberFormat="1" applyFont="1" applyFill="1" applyBorder="1" applyAlignment="1">
      <alignment horizontal="center" vertical="center"/>
    </xf>
    <xf numFmtId="166" fontId="13" fillId="3" borderId="1" xfId="5" applyNumberFormat="1" applyFont="1" applyFill="1" applyBorder="1" applyAlignment="1">
      <alignment vertical="center"/>
    </xf>
    <xf numFmtId="43" fontId="13" fillId="3" borderId="1" xfId="6" applyFont="1" applyFill="1" applyBorder="1" applyAlignment="1">
      <alignment horizontal="center"/>
    </xf>
    <xf numFmtId="43" fontId="13" fillId="3" borderId="1" xfId="6" applyFont="1" applyFill="1" applyBorder="1" applyAlignment="1">
      <alignment vertical="center"/>
    </xf>
    <xf numFmtId="43" fontId="13" fillId="3" borderId="1" xfId="6" applyFont="1" applyFill="1" applyBorder="1" applyAlignment="1">
      <alignment horizontal="center" vertical="center" wrapText="1"/>
    </xf>
    <xf numFmtId="0" fontId="24" fillId="3" borderId="11" xfId="5" applyFont="1" applyFill="1" applyBorder="1" applyAlignment="1">
      <alignment horizontal="left" vertical="center" wrapText="1"/>
    </xf>
    <xf numFmtId="0" fontId="13" fillId="2" borderId="1" xfId="5" applyFont="1" applyFill="1" applyBorder="1" applyAlignment="1">
      <alignment horizontal="center" vertical="center" wrapText="1"/>
    </xf>
    <xf numFmtId="2" fontId="13" fillId="2" borderId="1" xfId="5" applyNumberFormat="1" applyFont="1" applyFill="1" applyBorder="1" applyAlignment="1">
      <alignment vertical="center" wrapText="1"/>
    </xf>
    <xf numFmtId="43" fontId="14" fillId="2" borderId="1" xfId="6" applyFont="1" applyFill="1" applyBorder="1" applyAlignment="1">
      <alignment horizontal="center" vertical="center" wrapText="1"/>
    </xf>
    <xf numFmtId="43" fontId="13" fillId="2" borderId="1" xfId="6" applyFont="1" applyFill="1" applyBorder="1" applyAlignment="1">
      <alignment vertical="center"/>
    </xf>
    <xf numFmtId="43" fontId="13" fillId="2" borderId="1" xfId="6" applyFont="1" applyFill="1" applyBorder="1" applyAlignment="1">
      <alignment horizontal="center"/>
    </xf>
    <xf numFmtId="43" fontId="13" fillId="2" borderId="1" xfId="6" applyFont="1" applyFill="1" applyBorder="1" applyAlignment="1">
      <alignment horizontal="center" vertical="center" wrapText="1"/>
    </xf>
    <xf numFmtId="0" fontId="13" fillId="8" borderId="1" xfId="5" applyFont="1" applyFill="1" applyBorder="1" applyAlignment="1">
      <alignment horizontal="center" vertical="center" wrapText="1"/>
    </xf>
    <xf numFmtId="2" fontId="13" fillId="8" borderId="1" xfId="5" applyNumberFormat="1" applyFont="1" applyFill="1" applyBorder="1" applyAlignment="1">
      <alignment vertical="center" wrapText="1"/>
    </xf>
    <xf numFmtId="43" fontId="14" fillId="8" borderId="1" xfId="6" applyFont="1" applyFill="1" applyBorder="1" applyAlignment="1">
      <alignment horizontal="center" vertical="center" wrapText="1"/>
    </xf>
    <xf numFmtId="43" fontId="13" fillId="8" borderId="1" xfId="6" applyFont="1" applyFill="1" applyBorder="1" applyAlignment="1">
      <alignment vertical="center"/>
    </xf>
    <xf numFmtId="43" fontId="13" fillId="8" borderId="1" xfId="6" applyFont="1" applyFill="1" applyBorder="1" applyAlignment="1">
      <alignment horizontal="center" vertical="center" wrapText="1"/>
    </xf>
    <xf numFmtId="0" fontId="17" fillId="2" borderId="1" xfId="5" applyFont="1" applyFill="1" applyBorder="1" applyAlignment="1">
      <alignment horizontal="center" vertical="center" wrapText="1"/>
    </xf>
    <xf numFmtId="2" fontId="17" fillId="2" borderId="1" xfId="5" applyNumberFormat="1" applyFont="1" applyFill="1" applyBorder="1" applyAlignment="1">
      <alignment vertical="center" wrapText="1"/>
    </xf>
    <xf numFmtId="43" fontId="18" fillId="2" borderId="1" xfId="6" applyFont="1" applyFill="1" applyBorder="1" applyAlignment="1">
      <alignment horizontal="center" vertical="center" wrapText="1"/>
    </xf>
    <xf numFmtId="43" fontId="17" fillId="2" borderId="1" xfId="6" applyFont="1" applyFill="1" applyBorder="1" applyAlignment="1">
      <alignment vertical="center"/>
    </xf>
    <xf numFmtId="43" fontId="17" fillId="2" borderId="1" xfId="6" applyFont="1" applyFill="1" applyBorder="1" applyAlignment="1">
      <alignment horizontal="center" vertical="center" wrapText="1"/>
    </xf>
    <xf numFmtId="0" fontId="17" fillId="8" borderId="1" xfId="5" applyFont="1" applyFill="1" applyBorder="1" applyAlignment="1">
      <alignment horizontal="center" vertical="center" wrapText="1"/>
    </xf>
    <xf numFmtId="2" fontId="17" fillId="8" borderId="1" xfId="5" applyNumberFormat="1" applyFont="1" applyFill="1" applyBorder="1" applyAlignment="1">
      <alignment vertical="center" wrapText="1"/>
    </xf>
    <xf numFmtId="43" fontId="18" fillId="8" borderId="1" xfId="6" applyFont="1" applyFill="1" applyBorder="1" applyAlignment="1">
      <alignment horizontal="center" vertical="center" wrapText="1"/>
    </xf>
    <xf numFmtId="43" fontId="17" fillId="8" borderId="1" xfId="6" applyFont="1" applyFill="1" applyBorder="1" applyAlignment="1">
      <alignment vertical="center"/>
    </xf>
    <xf numFmtId="43" fontId="17" fillId="8" borderId="1" xfId="6" applyFont="1" applyFill="1" applyBorder="1" applyAlignment="1">
      <alignment horizontal="center" vertical="center" wrapText="1"/>
    </xf>
    <xf numFmtId="0" fontId="13" fillId="0" borderId="1" xfId="5" applyFont="1" applyBorder="1" applyAlignment="1">
      <alignment horizontal="center" vertical="center" wrapText="1"/>
    </xf>
    <xf numFmtId="2" fontId="13" fillId="0" borderId="1" xfId="5" applyNumberFormat="1" applyFont="1" applyBorder="1" applyAlignment="1">
      <alignment vertical="center" wrapText="1"/>
    </xf>
    <xf numFmtId="43" fontId="14" fillId="3" borderId="1" xfId="6" applyFont="1" applyFill="1" applyBorder="1" applyAlignment="1">
      <alignment horizontal="center" vertical="center" wrapText="1"/>
    </xf>
    <xf numFmtId="43" fontId="13" fillId="0" borderId="1" xfId="6" applyFont="1" applyBorder="1" applyAlignment="1">
      <alignment vertical="center"/>
    </xf>
    <xf numFmtId="0" fontId="11" fillId="0" borderId="0" xfId="5" applyFont="1" applyAlignment="1">
      <alignment vertical="center"/>
    </xf>
    <xf numFmtId="0" fontId="11" fillId="3" borderId="0" xfId="5" applyFont="1" applyFill="1"/>
    <xf numFmtId="0" fontId="17" fillId="4" borderId="1" xfId="5" applyFont="1" applyFill="1" applyBorder="1" applyAlignment="1">
      <alignment horizontal="center" vertical="center" wrapText="1"/>
    </xf>
    <xf numFmtId="2" fontId="17" fillId="4" borderId="1" xfId="5" applyNumberFormat="1" applyFont="1" applyFill="1" applyBorder="1" applyAlignment="1">
      <alignment vertical="center" wrapText="1"/>
    </xf>
    <xf numFmtId="43" fontId="17" fillId="4" borderId="1" xfId="6" applyFont="1" applyFill="1" applyBorder="1" applyAlignment="1">
      <alignment vertical="center"/>
    </xf>
    <xf numFmtId="43" fontId="17" fillId="4" borderId="1" xfId="6" applyFont="1" applyFill="1" applyBorder="1" applyAlignment="1">
      <alignment horizontal="center" vertical="center" wrapText="1"/>
    </xf>
    <xf numFmtId="0" fontId="6" fillId="0" borderId="0" xfId="5" applyFont="1" applyAlignment="1">
      <alignment vertical="center"/>
    </xf>
    <xf numFmtId="0" fontId="1" fillId="0" borderId="0" xfId="5"/>
    <xf numFmtId="173" fontId="13" fillId="8" borderId="1" xfId="5" applyNumberFormat="1" applyFont="1" applyFill="1" applyBorder="1" applyAlignment="1">
      <alignment vertical="center" wrapText="1"/>
    </xf>
    <xf numFmtId="43" fontId="23" fillId="8" borderId="1" xfId="6" applyFont="1" applyFill="1" applyBorder="1" applyAlignment="1">
      <alignment vertical="center"/>
    </xf>
    <xf numFmtId="0" fontId="13" fillId="4" borderId="1" xfId="5" applyFont="1" applyFill="1" applyBorder="1" applyAlignment="1">
      <alignment horizontal="center" vertical="center" wrapText="1"/>
    </xf>
    <xf numFmtId="2" fontId="13" fillId="4" borderId="1" xfId="5" applyNumberFormat="1" applyFont="1" applyFill="1" applyBorder="1" applyAlignment="1">
      <alignment vertical="center" wrapText="1"/>
    </xf>
    <xf numFmtId="43" fontId="14" fillId="4" borderId="1" xfId="6" applyFont="1" applyFill="1" applyBorder="1" applyAlignment="1">
      <alignment horizontal="center" vertical="center" wrapText="1"/>
    </xf>
    <xf numFmtId="43" fontId="13" fillId="4" borderId="1" xfId="6" applyFont="1" applyFill="1" applyBorder="1" applyAlignment="1">
      <alignment vertical="center"/>
    </xf>
    <xf numFmtId="43" fontId="13" fillId="4" borderId="1" xfId="6" applyFont="1" applyFill="1" applyBorder="1" applyAlignment="1">
      <alignment horizontal="center"/>
    </xf>
    <xf numFmtId="43" fontId="13" fillId="4" borderId="1" xfId="6" applyFont="1" applyFill="1" applyBorder="1" applyAlignment="1">
      <alignment horizontal="center" vertical="center" wrapText="1"/>
    </xf>
    <xf numFmtId="1" fontId="13" fillId="8" borderId="1" xfId="5" applyNumberFormat="1" applyFont="1" applyFill="1" applyBorder="1" applyAlignment="1">
      <alignment vertical="center" wrapText="1"/>
    </xf>
    <xf numFmtId="0" fontId="13" fillId="4" borderId="1" xfId="4" applyFont="1" applyFill="1" applyBorder="1" applyAlignment="1">
      <alignment horizontal="center" vertical="center" wrapText="1"/>
    </xf>
    <xf numFmtId="0" fontId="13" fillId="4" borderId="1" xfId="5" applyFont="1" applyFill="1" applyBorder="1" applyAlignment="1">
      <alignment horizontal="left" vertical="center" wrapText="1"/>
    </xf>
    <xf numFmtId="165" fontId="14" fillId="4" borderId="1" xfId="6" applyNumberFormat="1" applyFont="1" applyFill="1" applyBorder="1" applyAlignment="1">
      <alignment horizontal="center" vertical="center" wrapText="1"/>
    </xf>
    <xf numFmtId="43" fontId="19" fillId="0" borderId="1" xfId="6" applyFont="1" applyBorder="1"/>
    <xf numFmtId="165" fontId="21" fillId="0" borderId="0" xfId="6" applyNumberFormat="1" applyFont="1"/>
    <xf numFmtId="0" fontId="21" fillId="0" borderId="0" xfId="5" applyFont="1"/>
    <xf numFmtId="165" fontId="11" fillId="0" borderId="0" xfId="6" applyNumberFormat="1" applyFont="1"/>
    <xf numFmtId="0" fontId="13" fillId="5" borderId="1" xfId="5" applyFont="1" applyFill="1" applyBorder="1" applyAlignment="1">
      <alignment horizontal="center" vertical="center" wrapText="1"/>
    </xf>
    <xf numFmtId="0" fontId="17" fillId="5" borderId="1" xfId="4" applyFont="1" applyFill="1" applyBorder="1" applyAlignment="1">
      <alignment horizontal="left" vertical="center" wrapText="1"/>
    </xf>
    <xf numFmtId="0" fontId="17" fillId="5" borderId="1" xfId="5" applyFont="1" applyFill="1" applyBorder="1" applyAlignment="1">
      <alignment horizontal="center" vertical="center" wrapText="1"/>
    </xf>
    <xf numFmtId="2" fontId="17" fillId="5" borderId="1" xfId="5" applyNumberFormat="1" applyFont="1" applyFill="1" applyBorder="1" applyAlignment="1">
      <alignment vertical="center" wrapText="1"/>
    </xf>
    <xf numFmtId="43" fontId="18" fillId="5" borderId="1" xfId="6" applyFont="1" applyFill="1" applyBorder="1" applyAlignment="1">
      <alignment horizontal="center" vertical="center" wrapText="1"/>
    </xf>
    <xf numFmtId="43" fontId="17" fillId="5" borderId="1" xfId="6" applyFont="1" applyFill="1" applyBorder="1" applyAlignment="1">
      <alignment vertical="center"/>
    </xf>
    <xf numFmtId="43" fontId="17" fillId="5" borderId="1" xfId="6" applyFont="1" applyFill="1" applyBorder="1" applyAlignment="1">
      <alignment horizontal="center" vertical="center" wrapText="1"/>
    </xf>
    <xf numFmtId="0" fontId="6" fillId="5" borderId="0" xfId="5" applyFont="1" applyFill="1"/>
    <xf numFmtId="0" fontId="11" fillId="5" borderId="0" xfId="5" applyFont="1" applyFill="1"/>
    <xf numFmtId="0" fontId="9" fillId="5" borderId="0" xfId="5" applyFont="1" applyFill="1"/>
    <xf numFmtId="2" fontId="13" fillId="5" borderId="1" xfId="5" applyNumberFormat="1" applyFont="1" applyFill="1" applyBorder="1" applyAlignment="1">
      <alignment vertical="center" wrapText="1"/>
    </xf>
    <xf numFmtId="43" fontId="14" fillId="5" borderId="1" xfId="6" applyFont="1" applyFill="1" applyBorder="1" applyAlignment="1">
      <alignment horizontal="center" vertical="center" wrapText="1"/>
    </xf>
    <xf numFmtId="43" fontId="13" fillId="5" borderId="1" xfId="6" applyFont="1" applyFill="1" applyBorder="1" applyAlignment="1">
      <alignment vertical="center"/>
    </xf>
    <xf numFmtId="43" fontId="13" fillId="5" borderId="1" xfId="6" applyFont="1" applyFill="1" applyBorder="1" applyAlignment="1">
      <alignment horizontal="center" vertical="center" wrapText="1"/>
    </xf>
    <xf numFmtId="49" fontId="13" fillId="5" borderId="1" xfId="5" applyNumberFormat="1" applyFont="1" applyFill="1" applyBorder="1" applyAlignment="1">
      <alignment horizontal="center" vertical="center" wrapText="1"/>
    </xf>
    <xf numFmtId="43" fontId="23" fillId="5" borderId="1" xfId="6" applyFont="1" applyFill="1" applyBorder="1" applyAlignment="1">
      <alignment vertical="center"/>
    </xf>
    <xf numFmtId="43" fontId="16" fillId="5" borderId="1" xfId="6" applyFont="1" applyFill="1" applyBorder="1" applyAlignment="1">
      <alignment vertical="center"/>
    </xf>
    <xf numFmtId="43" fontId="29" fillId="5" borderId="1" xfId="6" applyFont="1" applyFill="1" applyBorder="1" applyAlignment="1">
      <alignment horizontal="center" vertical="center" wrapText="1"/>
    </xf>
    <xf numFmtId="43" fontId="17" fillId="5" borderId="1" xfId="6" applyFont="1" applyFill="1" applyBorder="1" applyAlignment="1">
      <alignment horizontal="center"/>
    </xf>
    <xf numFmtId="0" fontId="6" fillId="5" borderId="0" xfId="5" applyFont="1" applyFill="1" applyAlignment="1">
      <alignment vertical="center"/>
    </xf>
    <xf numFmtId="0" fontId="1" fillId="5" borderId="0" xfId="5" applyFill="1"/>
    <xf numFmtId="173" fontId="13" fillId="5" borderId="1" xfId="5" applyNumberFormat="1" applyFont="1" applyFill="1" applyBorder="1" applyAlignment="1">
      <alignment vertical="center" wrapText="1"/>
    </xf>
    <xf numFmtId="0" fontId="3" fillId="5" borderId="0" xfId="5" applyFont="1" applyFill="1"/>
    <xf numFmtId="0" fontId="10" fillId="0" borderId="1" xfId="5" applyFont="1" applyBorder="1" applyAlignment="1">
      <alignment vertical="center"/>
    </xf>
    <xf numFmtId="0" fontId="13" fillId="0" borderId="1" xfId="5" applyFont="1" applyBorder="1"/>
    <xf numFmtId="0" fontId="11" fillId="3" borderId="0" xfId="5" applyFont="1" applyFill="1" applyAlignment="1">
      <alignment vertical="center"/>
    </xf>
    <xf numFmtId="2" fontId="13" fillId="3" borderId="1" xfId="5" applyNumberFormat="1" applyFont="1" applyFill="1" applyBorder="1" applyAlignment="1">
      <alignment vertical="center" wrapText="1"/>
    </xf>
    <xf numFmtId="49" fontId="13" fillId="2" borderId="1" xfId="5" applyNumberFormat="1" applyFont="1" applyFill="1" applyBorder="1" applyAlignment="1">
      <alignment horizontal="center" vertical="center" wrapText="1"/>
    </xf>
    <xf numFmtId="43" fontId="13" fillId="2" borderId="1" xfId="6" applyFont="1" applyFill="1" applyBorder="1" applyAlignment="1">
      <alignment horizontal="center" vertical="center"/>
    </xf>
    <xf numFmtId="43" fontId="23" fillId="8" borderId="1" xfId="6" applyFont="1" applyFill="1" applyBorder="1" applyAlignment="1">
      <alignment horizontal="center" vertical="center" wrapText="1"/>
    </xf>
    <xf numFmtId="1" fontId="13" fillId="4" borderId="1" xfId="5" applyNumberFormat="1" applyFont="1" applyFill="1" applyBorder="1" applyAlignment="1">
      <alignment vertical="center" wrapText="1"/>
    </xf>
    <xf numFmtId="4" fontId="13" fillId="4" borderId="1" xfId="5" applyNumberFormat="1" applyFont="1" applyFill="1" applyBorder="1" applyAlignment="1">
      <alignment vertical="center" wrapText="1"/>
    </xf>
    <xf numFmtId="1" fontId="13" fillId="2" borderId="1" xfId="5" applyNumberFormat="1" applyFont="1" applyFill="1" applyBorder="1" applyAlignment="1">
      <alignment vertical="center" wrapText="1"/>
    </xf>
    <xf numFmtId="43" fontId="14" fillId="0" borderId="1" xfId="6" applyFont="1" applyFill="1" applyBorder="1" applyAlignment="1">
      <alignment horizontal="center" vertical="center" wrapText="1"/>
    </xf>
    <xf numFmtId="43" fontId="13" fillId="8" borderId="1" xfId="6" applyFont="1" applyFill="1" applyBorder="1" applyAlignment="1">
      <alignment horizontal="center"/>
    </xf>
    <xf numFmtId="2" fontId="13" fillId="2" borderId="1" xfId="5" applyNumberFormat="1" applyFont="1" applyFill="1" applyBorder="1" applyAlignment="1">
      <alignment horizontal="right" vertical="center" wrapText="1"/>
    </xf>
    <xf numFmtId="2" fontId="13" fillId="8" borderId="1" xfId="5" applyNumberFormat="1" applyFont="1" applyFill="1" applyBorder="1" applyAlignment="1">
      <alignment horizontal="right" vertical="center" wrapText="1"/>
    </xf>
    <xf numFmtId="0" fontId="10" fillId="3" borderId="11" xfId="4" applyFont="1" applyFill="1" applyBorder="1" applyAlignment="1">
      <alignment horizontal="left" vertical="center" wrapText="1"/>
    </xf>
    <xf numFmtId="165" fontId="13" fillId="4" borderId="1" xfId="6" applyNumberFormat="1" applyFont="1" applyFill="1" applyBorder="1" applyAlignment="1">
      <alignment vertical="center" wrapText="1"/>
    </xf>
    <xf numFmtId="169" fontId="13" fillId="4" borderId="1" xfId="5" applyNumberFormat="1" applyFont="1" applyFill="1" applyBorder="1" applyAlignment="1">
      <alignment vertical="center" wrapText="1"/>
    </xf>
    <xf numFmtId="169" fontId="13" fillId="2" borderId="1" xfId="5" applyNumberFormat="1" applyFont="1" applyFill="1" applyBorder="1" applyAlignment="1">
      <alignment vertical="center" wrapText="1"/>
    </xf>
    <xf numFmtId="0" fontId="11" fillId="2" borderId="0" xfId="5" applyFont="1" applyFill="1"/>
    <xf numFmtId="0" fontId="11" fillId="4" borderId="0" xfId="5" applyFont="1" applyFill="1"/>
    <xf numFmtId="0" fontId="11" fillId="5" borderId="0" xfId="5" applyFont="1" applyFill="1" applyAlignment="1">
      <alignment vertical="center"/>
    </xf>
    <xf numFmtId="4" fontId="30" fillId="0" borderId="1" xfId="0" applyNumberFormat="1" applyFont="1" applyFill="1" applyBorder="1" applyAlignment="1">
      <alignment horizontal="left" vertical="center"/>
    </xf>
    <xf numFmtId="43" fontId="13" fillId="2" borderId="1" xfId="6" applyFont="1" applyFill="1" applyBorder="1" applyAlignment="1">
      <alignment vertical="center" wrapText="1"/>
    </xf>
    <xf numFmtId="43" fontId="13" fillId="8" borderId="1" xfId="6" applyFont="1" applyFill="1" applyBorder="1" applyAlignment="1">
      <alignment vertical="center" wrapText="1"/>
    </xf>
    <xf numFmtId="165" fontId="13" fillId="3" borderId="1" xfId="6" applyNumberFormat="1" applyFont="1" applyFill="1" applyBorder="1" applyAlignment="1">
      <alignment vertical="center" wrapText="1"/>
    </xf>
    <xf numFmtId="165" fontId="13" fillId="2" borderId="1" xfId="6" applyNumberFormat="1" applyFont="1" applyFill="1" applyBorder="1" applyAlignment="1">
      <alignment vertical="center" wrapText="1"/>
    </xf>
    <xf numFmtId="165" fontId="13" fillId="8" borderId="1" xfId="6" applyNumberFormat="1" applyFont="1" applyFill="1" applyBorder="1" applyAlignment="1">
      <alignment vertical="center" wrapText="1"/>
    </xf>
    <xf numFmtId="167" fontId="13" fillId="2" borderId="1" xfId="6" applyNumberFormat="1" applyFont="1" applyFill="1" applyBorder="1" applyAlignment="1">
      <alignment vertical="center" wrapText="1"/>
    </xf>
    <xf numFmtId="167" fontId="13" fillId="8" borderId="1" xfId="6" applyNumberFormat="1" applyFont="1" applyFill="1" applyBorder="1" applyAlignment="1">
      <alignment vertical="center" wrapText="1"/>
    </xf>
    <xf numFmtId="43" fontId="13" fillId="8" borderId="1" xfId="6" applyFont="1" applyFill="1" applyBorder="1" applyAlignment="1">
      <alignment horizontal="center" vertical="center"/>
    </xf>
    <xf numFmtId="1" fontId="13" fillId="2" borderId="1" xfId="5" applyNumberFormat="1" applyFont="1" applyFill="1" applyBorder="1" applyAlignment="1">
      <alignment horizontal="center" vertical="center" wrapText="1"/>
    </xf>
    <xf numFmtId="171" fontId="13" fillId="8" borderId="1" xfId="6" applyNumberFormat="1" applyFont="1" applyFill="1" applyBorder="1" applyAlignment="1">
      <alignment vertical="center"/>
    </xf>
    <xf numFmtId="165" fontId="13" fillId="3" borderId="1" xfId="6" applyNumberFormat="1" applyFont="1" applyFill="1" applyBorder="1" applyAlignment="1">
      <alignment vertical="center"/>
    </xf>
    <xf numFmtId="0" fontId="7" fillId="0" borderId="0" xfId="5" applyFont="1" applyAlignment="1">
      <alignment vertical="center"/>
    </xf>
    <xf numFmtId="167" fontId="13" fillId="4" borderId="1" xfId="6" applyNumberFormat="1" applyFont="1" applyFill="1" applyBorder="1" applyAlignment="1">
      <alignment vertical="center"/>
    </xf>
    <xf numFmtId="167" fontId="13" fillId="8" borderId="1" xfId="6" applyNumberFormat="1" applyFont="1" applyFill="1" applyBorder="1" applyAlignment="1">
      <alignment vertical="center"/>
    </xf>
    <xf numFmtId="165" fontId="13" fillId="2" borderId="1" xfId="6" applyNumberFormat="1" applyFont="1" applyFill="1" applyBorder="1" applyAlignment="1">
      <alignment vertical="center"/>
    </xf>
    <xf numFmtId="165" fontId="13" fillId="8" borderId="1" xfId="6" applyNumberFormat="1" applyFont="1" applyFill="1" applyBorder="1" applyAlignment="1">
      <alignment vertical="center"/>
    </xf>
    <xf numFmtId="0" fontId="10" fillId="0" borderId="11" xfId="4" applyFont="1" applyBorder="1" applyAlignment="1">
      <alignment horizontal="left" vertical="center" wrapText="1"/>
    </xf>
    <xf numFmtId="165" fontId="13" fillId="4" borderId="1" xfId="6" applyNumberFormat="1" applyFont="1" applyFill="1" applyBorder="1" applyAlignment="1">
      <alignment vertical="center"/>
    </xf>
    <xf numFmtId="43" fontId="10" fillId="0" borderId="1" xfId="6" applyFont="1" applyBorder="1"/>
    <xf numFmtId="0" fontId="13" fillId="5" borderId="11" xfId="4" applyFont="1" applyFill="1" applyBorder="1" applyAlignment="1">
      <alignment horizontal="left" vertical="center" wrapText="1"/>
    </xf>
    <xf numFmtId="171" fontId="13" fillId="5" borderId="1" xfId="6" applyNumberFormat="1" applyFont="1" applyFill="1" applyBorder="1" applyAlignment="1">
      <alignment vertical="center"/>
    </xf>
    <xf numFmtId="43" fontId="13" fillId="5" borderId="1" xfId="6" applyFont="1" applyFill="1" applyBorder="1" applyAlignment="1">
      <alignment horizontal="center" vertical="center"/>
    </xf>
    <xf numFmtId="0" fontId="9" fillId="5" borderId="0" xfId="5" applyFont="1" applyFill="1" applyAlignment="1">
      <alignment vertical="center"/>
    </xf>
    <xf numFmtId="165" fontId="13" fillId="5" borderId="1" xfId="6" applyNumberFormat="1" applyFont="1" applyFill="1" applyBorder="1" applyAlignment="1">
      <alignment vertical="center"/>
    </xf>
    <xf numFmtId="0" fontId="13" fillId="2" borderId="1" xfId="5" applyFont="1" applyFill="1" applyBorder="1" applyAlignment="1">
      <alignment horizontal="center" vertical="center"/>
    </xf>
    <xf numFmtId="49" fontId="13" fillId="8" borderId="1" xfId="5" applyNumberFormat="1" applyFont="1" applyFill="1" applyBorder="1" applyAlignment="1">
      <alignment horizontal="center" vertical="center" wrapText="1"/>
    </xf>
    <xf numFmtId="165" fontId="13" fillId="2" borderId="1" xfId="6" applyNumberFormat="1" applyFont="1" applyFill="1" applyBorder="1" applyAlignment="1">
      <alignment horizontal="center" vertical="center" wrapText="1"/>
    </xf>
    <xf numFmtId="171" fontId="13" fillId="4" borderId="1" xfId="6" applyNumberFormat="1" applyFont="1" applyFill="1" applyBorder="1" applyAlignment="1">
      <alignment vertical="center"/>
    </xf>
    <xf numFmtId="171" fontId="13" fillId="2" borderId="1" xfId="6" applyNumberFormat="1" applyFont="1" applyFill="1" applyBorder="1" applyAlignment="1">
      <alignment vertical="center" wrapText="1"/>
    </xf>
    <xf numFmtId="1" fontId="13" fillId="4" borderId="1" xfId="5" applyNumberFormat="1" applyFont="1" applyFill="1" applyBorder="1" applyAlignment="1">
      <alignment horizontal="center" vertical="center" wrapText="1"/>
    </xf>
    <xf numFmtId="0" fontId="19" fillId="3" borderId="11" xfId="4" applyFont="1" applyFill="1" applyBorder="1" applyAlignment="1">
      <alignment horizontal="left" vertical="center" wrapText="1"/>
    </xf>
    <xf numFmtId="43" fontId="13" fillId="3" borderId="1" xfId="6" applyFont="1" applyFill="1" applyBorder="1" applyAlignment="1">
      <alignment horizontal="center" vertical="center"/>
    </xf>
    <xf numFmtId="171" fontId="13" fillId="2" borderId="1" xfId="6" applyNumberFormat="1" applyFont="1" applyFill="1" applyBorder="1" applyAlignment="1">
      <alignment vertical="center"/>
    </xf>
    <xf numFmtId="43" fontId="31" fillId="8" borderId="1" xfId="6" applyFont="1" applyFill="1" applyBorder="1" applyAlignment="1">
      <alignment horizontal="center" vertical="center" wrapText="1"/>
    </xf>
    <xf numFmtId="43" fontId="13" fillId="4" borderId="1" xfId="6" applyFont="1" applyFill="1" applyBorder="1" applyAlignment="1">
      <alignment vertical="center" wrapText="1"/>
    </xf>
    <xf numFmtId="174" fontId="13" fillId="8" borderId="1" xfId="5" applyNumberFormat="1" applyFont="1" applyFill="1" applyBorder="1" applyAlignment="1">
      <alignment vertical="center" wrapText="1"/>
    </xf>
    <xf numFmtId="164" fontId="11" fillId="0" borderId="0" xfId="5" applyNumberFormat="1" applyFont="1"/>
    <xf numFmtId="169" fontId="13" fillId="8" borderId="1" xfId="5" applyNumberFormat="1" applyFont="1" applyFill="1" applyBorder="1" applyAlignment="1">
      <alignment vertical="center" wrapText="1"/>
    </xf>
    <xf numFmtId="43" fontId="15" fillId="8" borderId="1" xfId="6" applyFont="1" applyFill="1" applyBorder="1" applyAlignment="1">
      <alignment vertical="center"/>
    </xf>
    <xf numFmtId="43" fontId="15" fillId="8" borderId="1" xfId="6" applyFont="1" applyFill="1" applyBorder="1" applyAlignment="1">
      <alignment horizontal="center" vertical="center" wrapText="1"/>
    </xf>
    <xf numFmtId="43" fontId="17" fillId="2" borderId="1" xfId="6" applyFont="1" applyFill="1" applyBorder="1" applyAlignment="1">
      <alignment horizontal="center"/>
    </xf>
    <xf numFmtId="0" fontId="7" fillId="3" borderId="0" xfId="5" applyFont="1" applyFill="1"/>
    <xf numFmtId="0" fontId="17" fillId="2" borderId="11" xfId="4" applyFont="1" applyFill="1" applyBorder="1" applyAlignment="1">
      <alignment horizontal="left" vertical="center" wrapText="1"/>
    </xf>
    <xf numFmtId="165" fontId="17" fillId="2" borderId="1" xfId="6" applyNumberFormat="1" applyFont="1" applyFill="1" applyBorder="1" applyAlignment="1">
      <alignment horizontal="center" vertical="center" wrapText="1"/>
    </xf>
    <xf numFmtId="0" fontId="17" fillId="8" borderId="11" xfId="4" applyFont="1" applyFill="1" applyBorder="1" applyAlignment="1">
      <alignment horizontal="left" vertical="center" wrapText="1"/>
    </xf>
    <xf numFmtId="165" fontId="17" fillId="8" borderId="1" xfId="6" applyNumberFormat="1" applyFont="1" applyFill="1" applyBorder="1" applyAlignment="1">
      <alignment vertical="center" wrapText="1"/>
    </xf>
    <xf numFmtId="43" fontId="17" fillId="8" borderId="1" xfId="6" applyFont="1" applyFill="1" applyBorder="1" applyAlignment="1">
      <alignment horizontal="center"/>
    </xf>
    <xf numFmtId="165" fontId="17" fillId="2" borderId="1" xfId="6" applyNumberFormat="1" applyFont="1" applyFill="1" applyBorder="1" applyAlignment="1">
      <alignment vertical="center" wrapText="1"/>
    </xf>
    <xf numFmtId="43" fontId="17" fillId="8" borderId="1" xfId="6" applyFont="1" applyFill="1" applyBorder="1" applyAlignment="1">
      <alignment vertical="center" wrapText="1"/>
    </xf>
    <xf numFmtId="43" fontId="17" fillId="2" borderId="1" xfId="6" applyFont="1" applyFill="1" applyBorder="1" applyAlignment="1">
      <alignment vertical="center" wrapText="1"/>
    </xf>
    <xf numFmtId="168" fontId="17" fillId="8" borderId="1" xfId="6" applyNumberFormat="1" applyFont="1" applyFill="1" applyBorder="1" applyAlignment="1">
      <alignment vertical="center" wrapText="1"/>
    </xf>
    <xf numFmtId="1" fontId="13" fillId="5" borderId="1" xfId="5" applyNumberFormat="1" applyFont="1" applyFill="1" applyBorder="1" applyAlignment="1">
      <alignment vertical="center" wrapText="1"/>
    </xf>
    <xf numFmtId="1" fontId="17" fillId="2" borderId="1" xfId="5" applyNumberFormat="1" applyFont="1" applyFill="1" applyBorder="1" applyAlignment="1">
      <alignment vertical="center" wrapText="1"/>
    </xf>
    <xf numFmtId="170" fontId="17" fillId="2" borderId="1" xfId="5" applyNumberFormat="1" applyFont="1" applyFill="1" applyBorder="1" applyAlignment="1">
      <alignment vertical="center" wrapText="1"/>
    </xf>
    <xf numFmtId="171" fontId="17" fillId="8" borderId="1" xfId="6" applyNumberFormat="1" applyFont="1" applyFill="1" applyBorder="1" applyAlignment="1">
      <alignment vertical="center" wrapText="1"/>
    </xf>
    <xf numFmtId="43" fontId="17" fillId="8" borderId="1" xfId="6" applyFont="1" applyFill="1" applyBorder="1" applyAlignment="1">
      <alignment horizontal="center" vertical="center"/>
    </xf>
    <xf numFmtId="0" fontId="17" fillId="4" borderId="11" xfId="4" applyFont="1" applyFill="1" applyBorder="1" applyAlignment="1">
      <alignment horizontal="left" vertical="center" wrapText="1"/>
    </xf>
    <xf numFmtId="0" fontId="15" fillId="2" borderId="1" xfId="5" applyFont="1" applyFill="1" applyBorder="1" applyAlignment="1">
      <alignment horizontal="center" vertical="center" wrapText="1"/>
    </xf>
    <xf numFmtId="43" fontId="15" fillId="2" borderId="1" xfId="6" applyFont="1" applyFill="1" applyBorder="1" applyAlignment="1">
      <alignment vertical="center"/>
    </xf>
    <xf numFmtId="0" fontId="15" fillId="8" borderId="1" xfId="5" applyFont="1" applyFill="1" applyBorder="1" applyAlignment="1">
      <alignment horizontal="center" vertical="center" wrapText="1"/>
    </xf>
    <xf numFmtId="43" fontId="13" fillId="8" borderId="1" xfId="6" applyFont="1" applyFill="1" applyBorder="1" applyAlignment="1">
      <alignment horizontal="right" vertical="center"/>
    </xf>
    <xf numFmtId="43" fontId="15" fillId="2" borderId="1" xfId="6" applyFont="1" applyFill="1" applyBorder="1" applyAlignment="1">
      <alignment horizontal="center"/>
    </xf>
    <xf numFmtId="49" fontId="17" fillId="3" borderId="1" xfId="5" applyNumberFormat="1" applyFont="1" applyFill="1" applyBorder="1" applyAlignment="1">
      <alignment horizontal="center" vertical="center" wrapText="1"/>
    </xf>
    <xf numFmtId="43" fontId="17" fillId="8" borderId="1" xfId="6" applyFont="1" applyFill="1" applyBorder="1" applyAlignment="1">
      <alignment horizontal="right" vertical="center"/>
    </xf>
    <xf numFmtId="43" fontId="15" fillId="8" borderId="1" xfId="6" applyFont="1" applyFill="1" applyBorder="1" applyAlignment="1">
      <alignment horizontal="center"/>
    </xf>
    <xf numFmtId="173" fontId="17" fillId="8" borderId="1" xfId="5" applyNumberFormat="1" applyFont="1" applyFill="1" applyBorder="1" applyAlignment="1">
      <alignment horizontal="right" vertical="center" wrapText="1"/>
    </xf>
    <xf numFmtId="169" fontId="17" fillId="2" borderId="1" xfId="5" applyNumberFormat="1" applyFont="1" applyFill="1" applyBorder="1" applyAlignment="1">
      <alignment vertical="center" wrapText="1"/>
    </xf>
    <xf numFmtId="2" fontId="17" fillId="8" borderId="1" xfId="5" applyNumberFormat="1" applyFont="1" applyFill="1" applyBorder="1" applyAlignment="1">
      <alignment horizontal="right" vertical="center" wrapText="1"/>
    </xf>
    <xf numFmtId="1" fontId="17" fillId="8" borderId="1" xfId="5" applyNumberFormat="1" applyFont="1" applyFill="1" applyBorder="1" applyAlignment="1">
      <alignment vertical="center" wrapText="1"/>
    </xf>
    <xf numFmtId="0" fontId="17" fillId="3" borderId="1" xfId="5" applyFont="1" applyFill="1" applyBorder="1" applyAlignment="1">
      <alignment horizontal="center" vertical="center" wrapText="1"/>
    </xf>
    <xf numFmtId="0" fontId="26" fillId="0" borderId="11" xfId="4" applyFont="1" applyBorder="1" applyAlignment="1">
      <alignment horizontal="left" vertical="center" wrapText="1"/>
    </xf>
    <xf numFmtId="0" fontId="17" fillId="0" borderId="1" xfId="5" applyFont="1" applyBorder="1" applyAlignment="1">
      <alignment horizontal="center" vertical="center" wrapText="1"/>
    </xf>
    <xf numFmtId="2" fontId="17" fillId="0" borderId="1" xfId="5" applyNumberFormat="1" applyFont="1" applyBorder="1" applyAlignment="1">
      <alignment vertical="center" wrapText="1"/>
    </xf>
    <xf numFmtId="43" fontId="18" fillId="3" borderId="1" xfId="6" applyFont="1" applyFill="1" applyBorder="1" applyAlignment="1">
      <alignment horizontal="center" vertical="center" wrapText="1"/>
    </xf>
    <xf numFmtId="43" fontId="17" fillId="0" borderId="1" xfId="6" applyFont="1" applyBorder="1" applyAlignment="1">
      <alignment vertical="center"/>
    </xf>
    <xf numFmtId="43" fontId="17" fillId="3" borderId="1" xfId="6" applyFont="1" applyFill="1" applyBorder="1" applyAlignment="1">
      <alignment vertical="center"/>
    </xf>
    <xf numFmtId="43" fontId="17" fillId="3" borderId="1" xfId="6" applyFont="1" applyFill="1" applyBorder="1" applyAlignment="1">
      <alignment horizontal="center" vertical="center" wrapText="1"/>
    </xf>
    <xf numFmtId="167" fontId="17" fillId="8" borderId="1" xfId="6" applyNumberFormat="1" applyFont="1" applyFill="1" applyBorder="1" applyAlignment="1">
      <alignment vertical="center" wrapText="1"/>
    </xf>
    <xf numFmtId="1" fontId="17" fillId="8" borderId="1" xfId="5" applyNumberFormat="1" applyFont="1" applyFill="1" applyBorder="1" applyAlignment="1">
      <alignment horizontal="right" vertical="center" wrapText="1"/>
    </xf>
    <xf numFmtId="170" fontId="13" fillId="2" borderId="1" xfId="5" applyNumberFormat="1" applyFont="1" applyFill="1" applyBorder="1" applyAlignment="1">
      <alignment vertical="center" wrapText="1"/>
    </xf>
    <xf numFmtId="0" fontId="17" fillId="5" borderId="11" xfId="4" applyFont="1" applyFill="1" applyBorder="1" applyAlignment="1">
      <alignment horizontal="left" vertical="center" wrapText="1"/>
    </xf>
    <xf numFmtId="2" fontId="17" fillId="5" borderId="1" xfId="5" applyNumberFormat="1" applyFont="1" applyFill="1" applyBorder="1" applyAlignment="1">
      <alignment horizontal="right" vertical="center" wrapText="1"/>
    </xf>
    <xf numFmtId="0" fontId="6" fillId="5" borderId="0" xfId="5" applyFont="1" applyFill="1" applyAlignment="1">
      <alignment horizontal="left" vertical="center"/>
    </xf>
    <xf numFmtId="0" fontId="15" fillId="0" borderId="0" xfId="7" applyFont="1" applyAlignment="1">
      <alignment horizontal="center"/>
    </xf>
    <xf numFmtId="0" fontId="15" fillId="0" borderId="0" xfId="7" applyFont="1"/>
    <xf numFmtId="0" fontId="15" fillId="0" borderId="1" xfId="9" applyFont="1" applyBorder="1" applyAlignment="1">
      <alignment horizontal="center" vertical="center"/>
    </xf>
    <xf numFmtId="0" fontId="15" fillId="0" borderId="1" xfId="9" applyFont="1" applyBorder="1" applyAlignment="1">
      <alignment horizontal="center" vertical="center" wrapText="1"/>
    </xf>
    <xf numFmtId="0" fontId="13" fillId="0" borderId="1" xfId="9" applyFont="1" applyBorder="1" applyAlignment="1">
      <alignment horizontal="center" vertical="center"/>
    </xf>
    <xf numFmtId="49" fontId="13" fillId="0" borderId="1" xfId="9" applyNumberFormat="1" applyFont="1" applyBorder="1" applyAlignment="1">
      <alignment horizontal="center" vertical="center"/>
    </xf>
    <xf numFmtId="0" fontId="13" fillId="0" borderId="1" xfId="9" applyFont="1" applyBorder="1" applyAlignment="1">
      <alignment horizontal="left" vertical="center" wrapText="1"/>
    </xf>
    <xf numFmtId="43" fontId="23" fillId="3" borderId="1" xfId="10" applyFont="1" applyFill="1" applyBorder="1" applyAlignment="1">
      <alignment horizontal="center" vertical="center"/>
    </xf>
    <xf numFmtId="43" fontId="13" fillId="0" borderId="1" xfId="10" applyFont="1" applyFill="1" applyBorder="1" applyAlignment="1">
      <alignment horizontal="center" vertical="center"/>
    </xf>
    <xf numFmtId="175" fontId="13" fillId="0" borderId="1" xfId="9" applyNumberFormat="1" applyFont="1" applyBorder="1" applyAlignment="1">
      <alignment horizontal="center" vertical="center"/>
    </xf>
    <xf numFmtId="4" fontId="10" fillId="0" borderId="1" xfId="9" applyNumberFormat="1" applyFont="1" applyBorder="1" applyAlignment="1">
      <alignment horizontal="center" vertical="center"/>
    </xf>
    <xf numFmtId="49" fontId="13" fillId="0" borderId="1" xfId="9" applyNumberFormat="1" applyFont="1" applyBorder="1" applyAlignment="1">
      <alignment horizontal="center" vertical="center" wrapText="1"/>
    </xf>
    <xf numFmtId="43" fontId="23" fillId="3" borderId="1" xfId="11" applyFont="1" applyFill="1" applyBorder="1" applyAlignment="1">
      <alignment horizontal="center" vertical="center"/>
    </xf>
    <xf numFmtId="43" fontId="13" fillId="0" borderId="1" xfId="11" applyFont="1" applyFill="1" applyBorder="1" applyAlignment="1">
      <alignment horizontal="center" vertical="center"/>
    </xf>
    <xf numFmtId="0" fontId="33" fillId="0" borderId="0" xfId="12"/>
    <xf numFmtId="4" fontId="33" fillId="0" borderId="0" xfId="12" applyNumberFormat="1"/>
    <xf numFmtId="164" fontId="33" fillId="0" borderId="0" xfId="12" applyNumberFormat="1"/>
    <xf numFmtId="0" fontId="15" fillId="0" borderId="1" xfId="9" applyFont="1" applyBorder="1"/>
    <xf numFmtId="0" fontId="22" fillId="0" borderId="1" xfId="9" applyFont="1" applyBorder="1" applyAlignment="1">
      <alignment horizontal="center" vertical="center"/>
    </xf>
    <xf numFmtId="4" fontId="22" fillId="0" borderId="1" xfId="9" applyNumberFormat="1" applyFont="1" applyBorder="1" applyAlignment="1">
      <alignment horizontal="center" vertical="center"/>
    </xf>
    <xf numFmtId="0" fontId="15" fillId="0" borderId="0" xfId="9" applyFont="1"/>
    <xf numFmtId="0" fontId="10" fillId="0" borderId="0" xfId="13" applyFont="1" applyAlignment="1">
      <alignment vertical="center"/>
    </xf>
    <xf numFmtId="0" fontId="15" fillId="0" borderId="0" xfId="13" applyFont="1" applyAlignment="1">
      <alignment horizontal="left" wrapText="1"/>
    </xf>
    <xf numFmtId="0" fontId="13" fillId="0" borderId="0" xfId="13" applyFont="1" applyAlignment="1">
      <alignment vertical="top"/>
    </xf>
    <xf numFmtId="0" fontId="13" fillId="0" borderId="0" xfId="13" applyFont="1" applyAlignment="1">
      <alignment horizontal="center" vertical="top"/>
    </xf>
    <xf numFmtId="0" fontId="10" fillId="0" borderId="0" xfId="13" applyFont="1" applyAlignment="1">
      <alignment vertical="center" wrapText="1"/>
    </xf>
    <xf numFmtId="0" fontId="15" fillId="0" borderId="0" xfId="13" applyFont="1" applyAlignment="1">
      <alignment horizontal="left" vertical="center" wrapText="1"/>
    </xf>
    <xf numFmtId="0" fontId="10" fillId="0" borderId="0" xfId="13" applyFont="1" applyAlignment="1">
      <alignment horizontal="center" vertical="center"/>
    </xf>
    <xf numFmtId="0" fontId="15" fillId="2" borderId="1" xfId="9" applyFont="1" applyFill="1" applyBorder="1" applyAlignment="1">
      <alignment horizontal="center" vertical="center" wrapText="1"/>
    </xf>
    <xf numFmtId="0" fontId="15" fillId="2" borderId="1" xfId="9" applyFont="1" applyFill="1" applyBorder="1" applyAlignment="1">
      <alignment horizontal="center" vertical="center"/>
    </xf>
    <xf numFmtId="0" fontId="25" fillId="0" borderId="1" xfId="9" applyFont="1" applyBorder="1" applyAlignment="1">
      <alignment horizontal="center" vertical="center"/>
    </xf>
    <xf numFmtId="0" fontId="13" fillId="0" borderId="1" xfId="9" applyFont="1" applyBorder="1" applyAlignment="1">
      <alignment horizontal="left" vertical="center"/>
    </xf>
    <xf numFmtId="4" fontId="13" fillId="0" borderId="1" xfId="9" applyNumberFormat="1" applyFont="1" applyBorder="1" applyAlignment="1">
      <alignment horizontal="center" vertical="center"/>
    </xf>
    <xf numFmtId="4" fontId="13" fillId="0" borderId="1" xfId="9" applyNumberFormat="1" applyFont="1" applyBorder="1" applyAlignment="1">
      <alignment horizontal="center" vertical="center" wrapText="1"/>
    </xf>
    <xf numFmtId="4" fontId="13" fillId="2" borderId="1" xfId="9" applyNumberFormat="1" applyFont="1" applyFill="1" applyBorder="1" applyAlignment="1">
      <alignment horizontal="center" vertical="center" wrapText="1"/>
    </xf>
    <xf numFmtId="175" fontId="13" fillId="2" borderId="1" xfId="9" applyNumberFormat="1" applyFont="1" applyFill="1" applyBorder="1" applyAlignment="1">
      <alignment horizontal="center" vertical="center"/>
    </xf>
    <xf numFmtId="0" fontId="15" fillId="0" borderId="1" xfId="9" applyFont="1" applyBorder="1" applyAlignment="1">
      <alignment horizontal="left" vertical="center"/>
    </xf>
    <xf numFmtId="4" fontId="15" fillId="0" borderId="1" xfId="9" applyNumberFormat="1" applyFont="1" applyBorder="1" applyAlignment="1">
      <alignment horizontal="center" vertical="center"/>
    </xf>
    <xf numFmtId="4" fontId="15" fillId="0" borderId="1" xfId="9" applyNumberFormat="1" applyFont="1" applyBorder="1" applyAlignment="1">
      <alignment horizontal="center" vertical="center" wrapText="1"/>
    </xf>
    <xf numFmtId="175" fontId="15" fillId="0" borderId="1" xfId="9" applyNumberFormat="1" applyFont="1" applyBorder="1" applyAlignment="1">
      <alignment horizontal="center" vertical="center"/>
    </xf>
    <xf numFmtId="175" fontId="15" fillId="2" borderId="1" xfId="9" applyNumberFormat="1" applyFont="1" applyFill="1" applyBorder="1" applyAlignment="1">
      <alignment horizontal="center" vertical="center"/>
    </xf>
    <xf numFmtId="4" fontId="15" fillId="2" borderId="1" xfId="9" applyNumberFormat="1" applyFont="1" applyFill="1" applyBorder="1" applyAlignment="1">
      <alignment horizontal="center" vertical="center" wrapText="1"/>
    </xf>
    <xf numFmtId="0" fontId="34" fillId="0" borderId="0" xfId="12" applyFont="1"/>
    <xf numFmtId="0" fontId="23" fillId="0" borderId="1" xfId="9" applyFont="1" applyBorder="1" applyAlignment="1">
      <alignment horizontal="center" vertical="center"/>
    </xf>
    <xf numFmtId="0" fontId="23" fillId="0" borderId="1" xfId="9" applyFont="1" applyBorder="1" applyAlignment="1">
      <alignment horizontal="left" vertical="center"/>
    </xf>
    <xf numFmtId="4" fontId="23" fillId="0" borderId="1" xfId="9" applyNumberFormat="1" applyFont="1" applyBorder="1" applyAlignment="1">
      <alignment horizontal="center" vertical="center"/>
    </xf>
    <xf numFmtId="4" fontId="23" fillId="0" borderId="1" xfId="9" applyNumberFormat="1" applyFont="1" applyBorder="1" applyAlignment="1">
      <alignment horizontal="center" vertical="center" wrapText="1"/>
    </xf>
    <xf numFmtId="175" fontId="23" fillId="0" borderId="1" xfId="9" applyNumberFormat="1" applyFont="1" applyBorder="1" applyAlignment="1">
      <alignment horizontal="center" vertical="center"/>
    </xf>
    <xf numFmtId="4" fontId="23" fillId="2" borderId="1" xfId="9" applyNumberFormat="1" applyFont="1" applyFill="1" applyBorder="1" applyAlignment="1">
      <alignment horizontal="center" vertical="center" wrapText="1"/>
    </xf>
    <xf numFmtId="175" fontId="23" fillId="2" borderId="1" xfId="9" applyNumberFormat="1" applyFont="1" applyFill="1" applyBorder="1" applyAlignment="1">
      <alignment horizontal="center" vertical="center"/>
    </xf>
    <xf numFmtId="4" fontId="34" fillId="0" borderId="0" xfId="12" applyNumberFormat="1" applyFont="1"/>
    <xf numFmtId="0" fontId="15" fillId="0" borderId="1" xfId="9" applyFont="1" applyBorder="1" applyAlignment="1">
      <alignment vertical="center"/>
    </xf>
    <xf numFmtId="49" fontId="15" fillId="0" borderId="1" xfId="9" applyNumberFormat="1" applyFont="1" applyBorder="1" applyAlignment="1">
      <alignment horizontal="center" vertical="center"/>
    </xf>
    <xf numFmtId="0" fontId="13" fillId="0" borderId="1" xfId="9" applyFont="1" applyBorder="1" applyAlignment="1">
      <alignment vertical="center" wrapText="1"/>
    </xf>
    <xf numFmtId="0" fontId="13" fillId="0" borderId="1" xfId="9" applyFont="1" applyBorder="1" applyAlignment="1">
      <alignment vertical="center"/>
    </xf>
    <xf numFmtId="0" fontId="15" fillId="0" borderId="15" xfId="9" applyFont="1" applyBorder="1" applyAlignment="1">
      <alignment horizontal="center" vertical="center"/>
    </xf>
    <xf numFmtId="0" fontId="13" fillId="0" borderId="16" xfId="9" applyFont="1" applyBorder="1" applyAlignment="1">
      <alignment horizontal="center" vertical="center"/>
    </xf>
    <xf numFmtId="49" fontId="13" fillId="0" borderId="15" xfId="9" applyNumberFormat="1" applyFont="1" applyBorder="1" applyAlignment="1">
      <alignment horizontal="center" vertical="center"/>
    </xf>
    <xf numFmtId="0" fontId="13" fillId="0" borderId="15" xfId="9" applyFont="1" applyBorder="1" applyAlignment="1">
      <alignment horizontal="left" vertical="center" wrapText="1"/>
    </xf>
    <xf numFmtId="43" fontId="13" fillId="0" borderId="15" xfId="11" applyFont="1" applyFill="1" applyBorder="1" applyAlignment="1">
      <alignment horizontal="center" vertical="center"/>
    </xf>
    <xf numFmtId="175" fontId="13" fillId="0" borderId="15" xfId="9" applyNumberFormat="1" applyFont="1" applyBorder="1" applyAlignment="1">
      <alignment horizontal="center" vertical="center"/>
    </xf>
    <xf numFmtId="4" fontId="10" fillId="0" borderId="15" xfId="9" applyNumberFormat="1" applyFont="1" applyBorder="1" applyAlignment="1">
      <alignment horizontal="center" vertical="center"/>
    </xf>
    <xf numFmtId="43" fontId="13" fillId="2" borderId="15" xfId="11" applyFont="1" applyFill="1" applyBorder="1" applyAlignment="1">
      <alignment horizontal="center" vertical="center"/>
    </xf>
    <xf numFmtId="175" fontId="13" fillId="2" borderId="15" xfId="9" applyNumberFormat="1" applyFont="1" applyFill="1" applyBorder="1" applyAlignment="1">
      <alignment horizontal="center" vertical="center"/>
    </xf>
    <xf numFmtId="4" fontId="10" fillId="2" borderId="15" xfId="9" applyNumberFormat="1" applyFont="1" applyFill="1" applyBorder="1" applyAlignment="1">
      <alignment horizontal="center" vertical="center"/>
    </xf>
    <xf numFmtId="0" fontId="15" fillId="0" borderId="9" xfId="9" applyFont="1" applyBorder="1"/>
    <xf numFmtId="0" fontId="22" fillId="0" borderId="9" xfId="9" applyFont="1" applyBorder="1" applyAlignment="1">
      <alignment horizontal="center" vertical="center"/>
    </xf>
    <xf numFmtId="4" fontId="22" fillId="0" borderId="9" xfId="9" applyNumberFormat="1" applyFont="1" applyBorder="1" applyAlignment="1">
      <alignment horizontal="center" vertical="center"/>
    </xf>
    <xf numFmtId="4" fontId="22" fillId="2" borderId="9" xfId="9" applyNumberFormat="1" applyFont="1" applyFill="1" applyBorder="1" applyAlignment="1">
      <alignment horizontal="center" vertical="center"/>
    </xf>
    <xf numFmtId="2" fontId="33" fillId="0" borderId="0" xfId="12" applyNumberFormat="1"/>
    <xf numFmtId="4" fontId="36" fillId="6" borderId="0" xfId="12" applyNumberFormat="1" applyFont="1" applyFill="1"/>
    <xf numFmtId="4" fontId="22" fillId="6" borderId="1" xfId="9" applyNumberFormat="1" applyFont="1" applyFill="1" applyBorder="1" applyAlignment="1">
      <alignment horizontal="center" vertical="center"/>
    </xf>
    <xf numFmtId="4" fontId="35" fillId="6" borderId="9" xfId="9" applyNumberFormat="1" applyFont="1" applyFill="1" applyBorder="1" applyAlignment="1">
      <alignment horizontal="center" vertical="center"/>
    </xf>
    <xf numFmtId="4" fontId="35" fillId="6" borderId="1" xfId="9" applyNumberFormat="1" applyFont="1" applyFill="1" applyBorder="1" applyAlignment="1">
      <alignment horizontal="center" vertical="center"/>
    </xf>
    <xf numFmtId="4" fontId="13" fillId="6" borderId="1" xfId="9" applyNumberFormat="1" applyFont="1" applyFill="1" applyBorder="1" applyAlignment="1">
      <alignment horizontal="center" vertical="center" wrapText="1"/>
    </xf>
    <xf numFmtId="4" fontId="15" fillId="4" borderId="1" xfId="9" applyNumberFormat="1" applyFont="1" applyFill="1" applyBorder="1" applyAlignment="1">
      <alignment horizontal="center" vertical="center" wrapText="1"/>
    </xf>
    <xf numFmtId="4" fontId="10" fillId="2" borderId="1" xfId="9" applyNumberFormat="1" applyFont="1" applyFill="1" applyBorder="1" applyAlignment="1">
      <alignment horizontal="center" vertical="center"/>
    </xf>
    <xf numFmtId="4" fontId="37" fillId="4" borderId="0" xfId="12" applyNumberFormat="1" applyFont="1" applyFill="1"/>
    <xf numFmtId="4" fontId="10" fillId="4" borderId="1" xfId="9" applyNumberFormat="1" applyFont="1" applyFill="1" applyBorder="1" applyAlignment="1">
      <alignment horizontal="center" vertical="center"/>
    </xf>
    <xf numFmtId="4" fontId="13" fillId="4" borderId="1" xfId="9" applyNumberFormat="1" applyFont="1" applyFill="1" applyBorder="1" applyAlignment="1">
      <alignment horizontal="center" vertical="center" wrapText="1"/>
    </xf>
    <xf numFmtId="4" fontId="23" fillId="4" borderId="1" xfId="9" applyNumberFormat="1" applyFont="1" applyFill="1" applyBorder="1" applyAlignment="1">
      <alignment horizontal="center" vertical="center" wrapText="1"/>
    </xf>
    <xf numFmtId="0" fontId="17" fillId="11" borderId="1" xfId="5" applyFont="1" applyFill="1" applyBorder="1" applyAlignment="1">
      <alignment horizontal="center" vertical="center" wrapText="1"/>
    </xf>
    <xf numFmtId="0" fontId="26" fillId="11" borderId="1" xfId="5" applyFont="1" applyFill="1" applyBorder="1" applyAlignment="1">
      <alignment vertical="center"/>
    </xf>
    <xf numFmtId="0" fontId="17" fillId="11" borderId="1" xfId="5" applyFont="1" applyFill="1" applyBorder="1"/>
    <xf numFmtId="43" fontId="17" fillId="11" borderId="1" xfId="6" applyFont="1" applyFill="1" applyBorder="1" applyAlignment="1">
      <alignment horizontal="center" vertical="center" wrapText="1"/>
    </xf>
    <xf numFmtId="43" fontId="17" fillId="11" borderId="1" xfId="6" applyFont="1" applyFill="1" applyBorder="1" applyAlignment="1">
      <alignment vertical="center"/>
    </xf>
    <xf numFmtId="43" fontId="18" fillId="11" borderId="1" xfId="6" applyFont="1" applyFill="1" applyBorder="1" applyAlignment="1">
      <alignment horizontal="center" vertical="center" wrapText="1"/>
    </xf>
    <xf numFmtId="0" fontId="26" fillId="3" borderId="11" xfId="5" applyFont="1" applyFill="1" applyBorder="1" applyAlignment="1">
      <alignment horizontal="left" vertical="center" wrapText="1"/>
    </xf>
    <xf numFmtId="1" fontId="17" fillId="3" borderId="1" xfId="5" applyNumberFormat="1" applyFont="1" applyFill="1" applyBorder="1" applyAlignment="1">
      <alignment vertical="center" wrapText="1"/>
    </xf>
    <xf numFmtId="3" fontId="17" fillId="3" borderId="1" xfId="5" applyNumberFormat="1" applyFont="1" applyFill="1" applyBorder="1" applyAlignment="1">
      <alignment horizontal="center" vertical="center"/>
    </xf>
    <xf numFmtId="166" fontId="17" fillId="3" borderId="1" xfId="5" applyNumberFormat="1" applyFont="1" applyFill="1" applyBorder="1" applyAlignment="1">
      <alignment vertical="center"/>
    </xf>
    <xf numFmtId="43" fontId="17" fillId="3" borderId="1" xfId="6" applyFont="1" applyFill="1" applyBorder="1" applyAlignment="1">
      <alignment horizontal="center"/>
    </xf>
    <xf numFmtId="169" fontId="17" fillId="2" borderId="1" xfId="5" applyNumberFormat="1" applyFont="1" applyFill="1" applyBorder="1" applyAlignment="1">
      <alignment horizontal="right" vertical="center" wrapText="1"/>
    </xf>
    <xf numFmtId="0" fontId="13" fillId="11" borderId="1" xfId="5" applyFont="1" applyFill="1" applyBorder="1" applyAlignment="1">
      <alignment horizontal="center" vertical="center" wrapText="1"/>
    </xf>
    <xf numFmtId="0" fontId="26" fillId="11" borderId="11" xfId="5" applyFont="1" applyFill="1" applyBorder="1" applyAlignment="1">
      <alignment horizontal="left" vertical="center" wrapText="1"/>
    </xf>
    <xf numFmtId="2" fontId="13" fillId="11" borderId="1" xfId="5" applyNumberFormat="1" applyFont="1" applyFill="1" applyBorder="1" applyAlignment="1">
      <alignment vertical="center" wrapText="1"/>
    </xf>
    <xf numFmtId="43" fontId="14" fillId="11" borderId="1" xfId="6" applyFont="1" applyFill="1" applyBorder="1" applyAlignment="1">
      <alignment horizontal="center" vertical="center" wrapText="1"/>
    </xf>
    <xf numFmtId="43" fontId="13" fillId="11" borderId="1" xfId="6" applyFont="1" applyFill="1" applyBorder="1" applyAlignment="1">
      <alignment vertical="center"/>
    </xf>
    <xf numFmtId="43" fontId="13" fillId="11" borderId="1" xfId="6" applyFont="1" applyFill="1" applyBorder="1" applyAlignment="1">
      <alignment horizontal="center" vertical="center" wrapText="1"/>
    </xf>
    <xf numFmtId="49" fontId="13" fillId="11" borderId="1" xfId="5" applyNumberFormat="1" applyFont="1" applyFill="1" applyBorder="1" applyAlignment="1">
      <alignment horizontal="center" vertical="center" wrapText="1"/>
    </xf>
    <xf numFmtId="169" fontId="17" fillId="8" borderId="1" xfId="5" applyNumberFormat="1" applyFont="1" applyFill="1" applyBorder="1" applyAlignment="1">
      <alignment vertical="center" wrapText="1"/>
    </xf>
    <xf numFmtId="2" fontId="17" fillId="2" borderId="1" xfId="5" applyNumberFormat="1" applyFont="1" applyFill="1" applyBorder="1" applyAlignment="1">
      <alignment horizontal="right" vertical="center" wrapText="1"/>
    </xf>
    <xf numFmtId="0" fontId="15" fillId="11" borderId="1" xfId="5" applyFont="1" applyFill="1" applyBorder="1" applyAlignment="1">
      <alignment horizontal="center" vertical="center" wrapText="1"/>
    </xf>
    <xf numFmtId="0" fontId="22" fillId="11" borderId="1" xfId="5" applyFont="1" applyFill="1" applyBorder="1" applyAlignment="1">
      <alignment vertical="center"/>
    </xf>
    <xf numFmtId="0" fontId="15" fillId="11" borderId="1" xfId="5" applyFont="1" applyFill="1" applyBorder="1"/>
    <xf numFmtId="43" fontId="15" fillId="11" borderId="1" xfId="6" applyFont="1" applyFill="1" applyBorder="1" applyAlignment="1">
      <alignment horizontal="center" vertical="center" wrapText="1"/>
    </xf>
    <xf numFmtId="43" fontId="15" fillId="11" borderId="1" xfId="6" applyFont="1" applyFill="1" applyBorder="1" applyAlignment="1">
      <alignment vertical="center"/>
    </xf>
    <xf numFmtId="0" fontId="15" fillId="4" borderId="1" xfId="5" applyFont="1" applyFill="1" applyBorder="1" applyAlignment="1">
      <alignment horizontal="center" vertical="center" wrapText="1"/>
    </xf>
    <xf numFmtId="43" fontId="15" fillId="4" borderId="1" xfId="6" applyFont="1" applyFill="1" applyBorder="1" applyAlignment="1">
      <alignment vertical="center"/>
    </xf>
    <xf numFmtId="43" fontId="15" fillId="4" borderId="1" xfId="6" applyFont="1" applyFill="1" applyBorder="1" applyAlignment="1">
      <alignment horizontal="center" vertical="center" wrapText="1"/>
    </xf>
    <xf numFmtId="169" fontId="13" fillId="2" borderId="1" xfId="5" applyNumberFormat="1" applyFont="1" applyFill="1" applyBorder="1" applyAlignment="1">
      <alignment horizontal="right" vertical="center" wrapText="1"/>
    </xf>
    <xf numFmtId="43" fontId="25" fillId="2" borderId="1" xfId="6" applyFont="1" applyFill="1" applyBorder="1" applyAlignment="1">
      <alignment horizontal="center"/>
    </xf>
    <xf numFmtId="43" fontId="25" fillId="2" borderId="1" xfId="6" applyFont="1" applyFill="1" applyBorder="1" applyAlignment="1">
      <alignment vertical="center"/>
    </xf>
    <xf numFmtId="169" fontId="13" fillId="4" borderId="1" xfId="5" applyNumberFormat="1" applyFont="1" applyFill="1" applyBorder="1" applyAlignment="1">
      <alignment horizontal="right" vertical="center" wrapText="1"/>
    </xf>
    <xf numFmtId="43" fontId="23" fillId="4" borderId="1" xfId="6" applyFont="1" applyFill="1" applyBorder="1" applyAlignment="1">
      <alignment vertical="center"/>
    </xf>
    <xf numFmtId="43" fontId="25" fillId="4" borderId="1" xfId="6" applyFont="1" applyFill="1" applyBorder="1" applyAlignment="1">
      <alignment horizontal="center"/>
    </xf>
    <xf numFmtId="43" fontId="25" fillId="4" borderId="1" xfId="6" applyFont="1" applyFill="1" applyBorder="1" applyAlignment="1">
      <alignment vertical="center"/>
    </xf>
    <xf numFmtId="49" fontId="15" fillId="8" borderId="1" xfId="5" applyNumberFormat="1" applyFont="1" applyFill="1" applyBorder="1" applyAlignment="1">
      <alignment horizontal="center" vertical="center" wrapText="1"/>
    </xf>
    <xf numFmtId="2" fontId="11" fillId="0" borderId="0" xfId="5" applyNumberFormat="1" applyFont="1" applyAlignment="1">
      <alignment vertical="center"/>
    </xf>
    <xf numFmtId="170" fontId="13" fillId="2" borderId="1" xfId="5" applyNumberFormat="1" applyFont="1" applyFill="1" applyBorder="1" applyAlignment="1">
      <alignment horizontal="right" vertical="center" wrapText="1"/>
    </xf>
    <xf numFmtId="169" fontId="13" fillId="8" borderId="1" xfId="5" applyNumberFormat="1" applyFont="1" applyFill="1" applyBorder="1" applyAlignment="1">
      <alignment horizontal="right" vertical="center" wrapText="1"/>
    </xf>
    <xf numFmtId="0" fontId="15" fillId="5" borderId="1" xfId="5" applyFont="1" applyFill="1" applyBorder="1" applyAlignment="1">
      <alignment horizontal="center" vertical="center" wrapText="1"/>
    </xf>
    <xf numFmtId="43" fontId="15" fillId="5" borderId="1" xfId="6" applyFont="1" applyFill="1" applyBorder="1" applyAlignment="1">
      <alignment vertical="center"/>
    </xf>
    <xf numFmtId="43" fontId="15" fillId="5" borderId="1" xfId="6" applyFont="1" applyFill="1" applyBorder="1" applyAlignment="1">
      <alignment horizontal="center" vertical="center" wrapText="1"/>
    </xf>
    <xf numFmtId="2" fontId="7" fillId="5" borderId="0" xfId="5" applyNumberFormat="1" applyFont="1" applyFill="1" applyAlignment="1">
      <alignment vertical="center"/>
    </xf>
    <xf numFmtId="43" fontId="13" fillId="5" borderId="1" xfId="6" applyFont="1" applyFill="1" applyBorder="1" applyAlignment="1">
      <alignment vertical="center" wrapText="1"/>
    </xf>
    <xf numFmtId="43" fontId="25" fillId="5" borderId="1" xfId="6" applyFont="1" applyFill="1" applyBorder="1" applyAlignment="1">
      <alignment horizontal="center"/>
    </xf>
    <xf numFmtId="43" fontId="25" fillId="5" borderId="1" xfId="6" applyFont="1" applyFill="1" applyBorder="1" applyAlignment="1">
      <alignment vertical="center"/>
    </xf>
    <xf numFmtId="0" fontId="1" fillId="0" borderId="0" xfId="5" applyAlignment="1">
      <alignment vertical="center"/>
    </xf>
    <xf numFmtId="0" fontId="1" fillId="5" borderId="0" xfId="5" applyFill="1" applyAlignment="1">
      <alignment vertical="center"/>
    </xf>
    <xf numFmtId="4" fontId="6" fillId="5" borderId="1" xfId="5" applyNumberFormat="1" applyFont="1" applyFill="1" applyBorder="1" applyAlignment="1">
      <alignment vertical="center"/>
    </xf>
    <xf numFmtId="165" fontId="22" fillId="0" borderId="1" xfId="6" applyNumberFormat="1" applyFont="1" applyBorder="1" applyAlignment="1">
      <alignment vertical="center"/>
    </xf>
    <xf numFmtId="0" fontId="38" fillId="0" borderId="0" xfId="5" applyFont="1"/>
    <xf numFmtId="0" fontId="15" fillId="3" borderId="1" xfId="5" applyFont="1" applyFill="1" applyBorder="1" applyAlignment="1">
      <alignment horizontal="center" vertical="center" wrapText="1"/>
    </xf>
    <xf numFmtId="0" fontId="22" fillId="0" borderId="1" xfId="5" applyFont="1" applyBorder="1" applyAlignment="1">
      <alignment vertical="center"/>
    </xf>
    <xf numFmtId="0" fontId="15" fillId="0" borderId="1" xfId="5" applyFont="1" applyBorder="1"/>
    <xf numFmtId="43" fontId="15" fillId="3" borderId="1" xfId="6" applyFont="1" applyFill="1" applyBorder="1" applyAlignment="1">
      <alignment horizontal="center" vertical="center" wrapText="1"/>
    </xf>
    <xf numFmtId="43" fontId="15" fillId="0" borderId="1" xfId="6" applyFont="1" applyBorder="1" applyAlignment="1">
      <alignment vertical="center"/>
    </xf>
    <xf numFmtId="43" fontId="15" fillId="3" borderId="1" xfId="6" applyFont="1" applyFill="1" applyBorder="1" applyAlignment="1">
      <alignment vertical="center"/>
    </xf>
    <xf numFmtId="1" fontId="13" fillId="2" borderId="1" xfId="5" applyNumberFormat="1" applyFont="1" applyFill="1" applyBorder="1" applyAlignment="1">
      <alignment horizontal="right" vertical="center" wrapText="1"/>
    </xf>
    <xf numFmtId="1" fontId="13" fillId="0" borderId="1" xfId="5" applyNumberFormat="1" applyFont="1" applyBorder="1" applyAlignment="1">
      <alignment horizontal="right" vertical="center" wrapText="1"/>
    </xf>
    <xf numFmtId="43" fontId="15" fillId="0" borderId="1" xfId="6" applyFont="1" applyFill="1" applyBorder="1" applyAlignment="1">
      <alignment vertical="center"/>
    </xf>
    <xf numFmtId="43" fontId="25" fillId="3" borderId="1" xfId="6" applyFont="1" applyFill="1" applyBorder="1" applyAlignment="1">
      <alignment horizontal="center"/>
    </xf>
    <xf numFmtId="43" fontId="25" fillId="3" borderId="1" xfId="6" applyFont="1" applyFill="1" applyBorder="1" applyAlignment="1">
      <alignment vertical="center"/>
    </xf>
    <xf numFmtId="2" fontId="13" fillId="4" borderId="1" xfId="5" applyNumberFormat="1" applyFont="1" applyFill="1" applyBorder="1" applyAlignment="1">
      <alignment horizontal="right" vertical="center" wrapText="1"/>
    </xf>
    <xf numFmtId="0" fontId="13" fillId="4" borderId="1" xfId="5" applyFont="1" applyFill="1" applyBorder="1" applyAlignment="1">
      <alignment horizontal="right" vertical="center" wrapText="1"/>
    </xf>
    <xf numFmtId="0" fontId="13" fillId="2" borderId="1" xfId="5" applyFont="1" applyFill="1" applyBorder="1" applyAlignment="1">
      <alignment horizontal="right" vertical="center" wrapText="1"/>
    </xf>
    <xf numFmtId="43" fontId="15" fillId="2" borderId="1" xfId="6" applyFont="1" applyFill="1" applyBorder="1" applyAlignment="1">
      <alignment horizontal="center" vertical="center" wrapText="1"/>
    </xf>
    <xf numFmtId="43" fontId="13" fillId="0" borderId="1" xfId="6" applyFont="1" applyBorder="1" applyAlignment="1">
      <alignment horizontal="right" vertical="center" wrapText="1"/>
    </xf>
    <xf numFmtId="49" fontId="15" fillId="3" borderId="1" xfId="5" applyNumberFormat="1" applyFont="1" applyFill="1" applyBorder="1" applyAlignment="1">
      <alignment horizontal="center" vertical="center" wrapText="1"/>
    </xf>
    <xf numFmtId="0" fontId="13" fillId="8" borderId="11" xfId="5" applyFont="1" applyFill="1" applyBorder="1" applyAlignment="1">
      <alignment horizontal="left" vertical="center" wrapText="1"/>
    </xf>
    <xf numFmtId="49" fontId="13" fillId="4" borderId="1" xfId="5" applyNumberFormat="1" applyFont="1" applyFill="1" applyBorder="1" applyAlignment="1">
      <alignment horizontal="center" vertical="center" wrapText="1"/>
    </xf>
    <xf numFmtId="0" fontId="1" fillId="0" borderId="0" xfId="5" applyAlignment="1">
      <alignment wrapText="1"/>
    </xf>
    <xf numFmtId="0" fontId="11" fillId="0" borderId="0" xfId="5" applyFont="1" applyAlignment="1">
      <alignment horizontal="left" vertical="center"/>
    </xf>
    <xf numFmtId="43" fontId="39" fillId="0" borderId="1" xfId="6" applyFont="1" applyBorder="1" applyAlignment="1">
      <alignment vertical="center"/>
    </xf>
    <xf numFmtId="165" fontId="40" fillId="0" borderId="0" xfId="6" applyNumberFormat="1" applyFont="1" applyAlignment="1">
      <alignment vertical="center"/>
    </xf>
    <xf numFmtId="0" fontId="40" fillId="0" borderId="0" xfId="5" applyFont="1"/>
    <xf numFmtId="165" fontId="0" fillId="0" borderId="0" xfId="6" applyNumberFormat="1" applyFont="1"/>
    <xf numFmtId="43" fontId="0" fillId="0" borderId="0" xfId="6" applyFont="1"/>
    <xf numFmtId="49" fontId="25" fillId="3" borderId="1" xfId="5" applyNumberFormat="1" applyFont="1" applyFill="1" applyBorder="1" applyAlignment="1">
      <alignment horizontal="center" vertical="center" wrapText="1"/>
    </xf>
    <xf numFmtId="3" fontId="15" fillId="3" borderId="1" xfId="5" applyNumberFormat="1" applyFont="1" applyFill="1" applyBorder="1" applyAlignment="1">
      <alignment horizontal="center" vertical="center"/>
    </xf>
    <xf numFmtId="166" fontId="15" fillId="3" borderId="1" xfId="5" applyNumberFormat="1" applyFont="1" applyFill="1" applyBorder="1" applyAlignment="1">
      <alignment vertical="center"/>
    </xf>
    <xf numFmtId="43" fontId="25" fillId="3" borderId="1" xfId="6" applyFont="1" applyFill="1" applyBorder="1" applyAlignment="1">
      <alignment horizontal="center" vertical="center" wrapText="1"/>
    </xf>
    <xf numFmtId="43" fontId="39" fillId="0" borderId="1" xfId="6" applyFont="1" applyBorder="1"/>
    <xf numFmtId="165" fontId="40" fillId="0" borderId="0" xfId="6" applyNumberFormat="1" applyFont="1"/>
    <xf numFmtId="0" fontId="3" fillId="5" borderId="0" xfId="5" applyFont="1" applyFill="1" applyAlignment="1">
      <alignment vertical="center"/>
    </xf>
    <xf numFmtId="0" fontId="22" fillId="7" borderId="9" xfId="5" applyFont="1" applyFill="1" applyBorder="1" applyAlignment="1">
      <alignment horizontal="center" vertical="center"/>
    </xf>
    <xf numFmtId="4" fontId="22" fillId="7" borderId="1" xfId="5" applyNumberFormat="1" applyFont="1" applyFill="1" applyBorder="1" applyAlignment="1">
      <alignment horizontal="left" vertical="center" wrapText="1"/>
    </xf>
    <xf numFmtId="166" fontId="15" fillId="7" borderId="1" xfId="5" applyNumberFormat="1" applyFont="1" applyFill="1" applyBorder="1" applyAlignment="1">
      <alignment horizontal="left" vertical="center"/>
    </xf>
    <xf numFmtId="166" fontId="15" fillId="7" borderId="1" xfId="5" applyNumberFormat="1" applyFont="1" applyFill="1" applyBorder="1" applyAlignment="1">
      <alignment vertical="center"/>
    </xf>
    <xf numFmtId="0" fontId="13" fillId="12" borderId="1" xfId="5" applyFont="1" applyFill="1" applyBorder="1" applyAlignment="1">
      <alignment horizontal="center" vertical="center" wrapText="1"/>
    </xf>
    <xf numFmtId="0" fontId="10" fillId="12" borderId="11" xfId="5" applyFont="1" applyFill="1" applyBorder="1" applyAlignment="1">
      <alignment horizontal="left" vertical="center" wrapText="1"/>
    </xf>
    <xf numFmtId="1" fontId="13" fillId="12" borderId="1" xfId="5" applyNumberFormat="1" applyFont="1" applyFill="1" applyBorder="1" applyAlignment="1">
      <alignment vertical="center" wrapText="1"/>
    </xf>
    <xf numFmtId="43" fontId="14" fillId="12" borderId="1" xfId="6" applyFont="1" applyFill="1" applyBorder="1" applyAlignment="1">
      <alignment horizontal="center" vertical="center" wrapText="1"/>
    </xf>
    <xf numFmtId="43" fontId="15" fillId="12" borderId="1" xfId="6" applyFont="1" applyFill="1" applyBorder="1" applyAlignment="1">
      <alignment vertical="center"/>
    </xf>
    <xf numFmtId="165" fontId="41" fillId="0" borderId="0" xfId="6" applyNumberFormat="1" applyFont="1" applyAlignment="1">
      <alignment vertical="center"/>
    </xf>
    <xf numFmtId="43" fontId="15" fillId="0" borderId="0" xfId="6" applyFont="1" applyFill="1" applyBorder="1" applyAlignment="1">
      <alignment vertical="center"/>
    </xf>
    <xf numFmtId="0" fontId="13" fillId="12" borderId="1" xfId="4" applyFont="1" applyFill="1" applyBorder="1" applyAlignment="1">
      <alignment horizontal="left" vertical="center" wrapText="1"/>
    </xf>
    <xf numFmtId="0" fontId="13" fillId="12" borderId="1" xfId="5" applyFont="1" applyFill="1" applyBorder="1" applyAlignment="1">
      <alignment horizontal="right" vertical="center" wrapText="1"/>
    </xf>
    <xf numFmtId="0" fontId="10" fillId="12" borderId="1" xfId="4" applyFont="1" applyFill="1" applyBorder="1" applyAlignment="1">
      <alignment horizontal="left" vertical="center" wrapText="1"/>
    </xf>
    <xf numFmtId="169" fontId="13" fillId="12" borderId="1" xfId="5" applyNumberFormat="1" applyFont="1" applyFill="1" applyBorder="1" applyAlignment="1">
      <alignment horizontal="right" vertical="center" wrapText="1"/>
    </xf>
    <xf numFmtId="0" fontId="23" fillId="12" borderId="1" xfId="5" applyFont="1" applyFill="1" applyBorder="1" applyAlignment="1">
      <alignment horizontal="right" vertical="center" wrapText="1"/>
    </xf>
    <xf numFmtId="43" fontId="42" fillId="12" borderId="1" xfId="6" applyFont="1" applyFill="1" applyBorder="1" applyAlignment="1">
      <alignment horizontal="center" vertical="center" wrapText="1"/>
    </xf>
    <xf numFmtId="0" fontId="3" fillId="0" borderId="0" xfId="5" applyFont="1" applyAlignment="1">
      <alignment horizontal="center" vertical="center"/>
    </xf>
    <xf numFmtId="43" fontId="22" fillId="0" borderId="0" xfId="6" applyFont="1" applyFill="1" applyBorder="1" applyAlignment="1">
      <alignment vertical="center"/>
    </xf>
    <xf numFmtId="0" fontId="15" fillId="12" borderId="1" xfId="4" applyFont="1" applyFill="1" applyBorder="1" applyAlignment="1">
      <alignment horizontal="left" vertical="center" wrapText="1"/>
    </xf>
    <xf numFmtId="0" fontId="15" fillId="0" borderId="0" xfId="5" applyFont="1" applyAlignment="1">
      <alignment vertical="center"/>
    </xf>
    <xf numFmtId="43" fontId="22" fillId="0" borderId="1" xfId="6" applyFont="1" applyBorder="1"/>
    <xf numFmtId="165" fontId="22" fillId="0" borderId="1" xfId="6" applyNumberFormat="1" applyFont="1" applyBorder="1" applyAlignment="1">
      <alignment horizontal="center" vertical="center" wrapText="1"/>
    </xf>
    <xf numFmtId="0" fontId="22" fillId="0" borderId="1" xfId="5" applyFont="1" applyBorder="1" applyAlignment="1">
      <alignment horizontal="center" vertical="center"/>
    </xf>
    <xf numFmtId="166" fontId="15" fillId="7" borderId="1" xfId="5" applyNumberFormat="1" applyFont="1" applyFill="1" applyBorder="1"/>
    <xf numFmtId="0" fontId="15" fillId="7" borderId="1" xfId="5" applyFont="1" applyFill="1" applyBorder="1"/>
    <xf numFmtId="0" fontId="13" fillId="12" borderId="11" xfId="5" applyFont="1" applyFill="1" applyBorder="1" applyAlignment="1">
      <alignment horizontal="left" vertical="center" wrapText="1"/>
    </xf>
    <xf numFmtId="43" fontId="13" fillId="12" borderId="1" xfId="6" applyFont="1" applyFill="1" applyBorder="1" applyAlignment="1">
      <alignment horizontal="center" vertical="center" wrapText="1"/>
    </xf>
    <xf numFmtId="0" fontId="23" fillId="12" borderId="1" xfId="4" applyFont="1" applyFill="1" applyBorder="1" applyAlignment="1">
      <alignment horizontal="left" vertical="center" wrapText="1"/>
    </xf>
    <xf numFmtId="170" fontId="13" fillId="12" borderId="1" xfId="5" applyNumberFormat="1" applyFont="1" applyFill="1" applyBorder="1" applyAlignment="1">
      <alignment vertical="center" wrapText="1"/>
    </xf>
    <xf numFmtId="43" fontId="29" fillId="12" borderId="1" xfId="6" applyFont="1" applyFill="1" applyBorder="1" applyAlignment="1">
      <alignment horizontal="center" vertical="center" wrapText="1"/>
    </xf>
    <xf numFmtId="0" fontId="13" fillId="12" borderId="1" xfId="5" applyFont="1" applyFill="1" applyBorder="1" applyAlignment="1">
      <alignment horizontal="center" wrapText="1"/>
    </xf>
    <xf numFmtId="2" fontId="13" fillId="12" borderId="1" xfId="5" applyNumberFormat="1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left" wrapText="1"/>
    </xf>
    <xf numFmtId="164" fontId="1" fillId="0" borderId="0" xfId="5" applyNumberFormat="1"/>
    <xf numFmtId="164" fontId="3" fillId="0" borderId="0" xfId="5" applyNumberFormat="1" applyFont="1"/>
    <xf numFmtId="164" fontId="1" fillId="0" borderId="0" xfId="5" applyNumberFormat="1" applyAlignment="1">
      <alignment vertical="center"/>
    </xf>
    <xf numFmtId="43" fontId="7" fillId="0" borderId="0" xfId="6" applyFont="1" applyAlignment="1">
      <alignment vertical="center"/>
    </xf>
    <xf numFmtId="164" fontId="7" fillId="0" borderId="0" xfId="5" applyNumberFormat="1" applyFont="1" applyAlignment="1">
      <alignment vertical="center"/>
    </xf>
    <xf numFmtId="43" fontId="11" fillId="0" borderId="0" xfId="5" applyNumberFormat="1" applyFont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4" fontId="30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11" fillId="0" borderId="0" xfId="1" applyNumberFormat="1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1" applyFont="1"/>
    <xf numFmtId="43" fontId="23" fillId="2" borderId="1" xfId="2" applyFont="1" applyFill="1" applyBorder="1" applyAlignment="1">
      <alignment vertical="center"/>
    </xf>
    <xf numFmtId="43" fontId="23" fillId="2" borderId="11" xfId="2" applyFont="1" applyFill="1" applyBorder="1" applyAlignment="1">
      <alignment vertical="center"/>
    </xf>
    <xf numFmtId="49" fontId="13" fillId="13" borderId="1" xfId="1" applyNumberFormat="1" applyFont="1" applyFill="1" applyBorder="1" applyAlignment="1">
      <alignment horizontal="center" vertical="center" wrapText="1"/>
    </xf>
    <xf numFmtId="43" fontId="13" fillId="13" borderId="1" xfId="2" applyFont="1" applyFill="1" applyBorder="1" applyAlignment="1">
      <alignment vertical="center"/>
    </xf>
    <xf numFmtId="164" fontId="11" fillId="0" borderId="0" xfId="5" applyNumberFormat="1" applyFont="1" applyAlignment="1">
      <alignment vertical="center"/>
    </xf>
    <xf numFmtId="164" fontId="11" fillId="5" borderId="0" xfId="5" applyNumberFormat="1" applyFont="1" applyFill="1"/>
    <xf numFmtId="0" fontId="0" fillId="4" borderId="1" xfId="0" applyFill="1" applyBorder="1" applyAlignment="1">
      <alignment vertical="center"/>
    </xf>
    <xf numFmtId="164" fontId="2" fillId="0" borderId="0" xfId="1" applyNumberFormat="1"/>
    <xf numFmtId="164" fontId="6" fillId="5" borderId="1" xfId="1" applyNumberFormat="1" applyFont="1" applyFill="1" applyBorder="1"/>
    <xf numFmtId="4" fontId="43" fillId="0" borderId="1" xfId="1" applyNumberFormat="1" applyFont="1" applyBorder="1" applyAlignment="1">
      <alignment horizontal="right"/>
    </xf>
    <xf numFmtId="4" fontId="43" fillId="0" borderId="1" xfId="14" applyNumberFormat="1" applyFont="1" applyBorder="1" applyAlignment="1">
      <alignment horizontal="right" vertical="center"/>
    </xf>
    <xf numFmtId="3" fontId="43" fillId="0" borderId="1" xfId="1" applyNumberFormat="1" applyFont="1" applyBorder="1" applyAlignment="1">
      <alignment horizontal="right"/>
    </xf>
    <xf numFmtId="4" fontId="44" fillId="0" borderId="1" xfId="1" applyNumberFormat="1" applyFont="1" applyBorder="1" applyAlignment="1">
      <alignment horizontal="right"/>
    </xf>
    <xf numFmtId="3" fontId="44" fillId="0" borderId="1" xfId="1" applyNumberFormat="1" applyFont="1" applyBorder="1" applyAlignment="1">
      <alignment horizontal="right"/>
    </xf>
    <xf numFmtId="164" fontId="7" fillId="0" borderId="1" xfId="1" applyNumberFormat="1" applyFont="1" applyBorder="1"/>
    <xf numFmtId="0" fontId="7" fillId="0" borderId="1" xfId="1" applyFont="1" applyBorder="1"/>
    <xf numFmtId="0" fontId="6" fillId="0" borderId="1" xfId="1" applyFont="1" applyBorder="1"/>
    <xf numFmtId="164" fontId="2" fillId="5" borderId="0" xfId="1" applyNumberFormat="1" applyFill="1"/>
    <xf numFmtId="0" fontId="6" fillId="5" borderId="0" xfId="1" applyFont="1" applyFill="1" applyAlignment="1">
      <alignment vertical="center"/>
    </xf>
    <xf numFmtId="0" fontId="6" fillId="5" borderId="0" xfId="1" applyFont="1" applyFill="1" applyAlignment="1">
      <alignment horizontal="right" vertical="center"/>
    </xf>
    <xf numFmtId="0" fontId="6" fillId="5" borderId="1" xfId="1" applyFont="1" applyFill="1" applyBorder="1"/>
    <xf numFmtId="164" fontId="45" fillId="5" borderId="1" xfId="1" applyNumberFormat="1" applyFont="1" applyFill="1" applyBorder="1"/>
    <xf numFmtId="0" fontId="21" fillId="5" borderId="0" xfId="1" applyFont="1" applyFill="1"/>
    <xf numFmtId="164" fontId="45" fillId="0" borderId="1" xfId="1" applyNumberFormat="1" applyFont="1" applyBorder="1"/>
    <xf numFmtId="164" fontId="11" fillId="0" borderId="0" xfId="1" applyNumberFormat="1" applyFont="1"/>
    <xf numFmtId="0" fontId="11" fillId="5" borderId="0" xfId="1" applyFont="1" applyFill="1" applyAlignment="1">
      <alignment vertical="center"/>
    </xf>
    <xf numFmtId="176" fontId="6" fillId="5" borderId="1" xfId="1" applyNumberFormat="1" applyFont="1" applyFill="1" applyBorder="1"/>
    <xf numFmtId="43" fontId="13" fillId="5" borderId="1" xfId="2" applyFont="1" applyFill="1" applyBorder="1" applyAlignment="1">
      <alignment vertical="center" wrapText="1"/>
    </xf>
    <xf numFmtId="164" fontId="11" fillId="5" borderId="0" xfId="1" applyNumberFormat="1" applyFont="1" applyFill="1"/>
    <xf numFmtId="0" fontId="6" fillId="5" borderId="0" xfId="1" applyFont="1" applyFill="1" applyAlignment="1">
      <alignment horizontal="left"/>
    </xf>
    <xf numFmtId="43" fontId="23" fillId="5" borderId="1" xfId="2" applyFont="1" applyFill="1" applyBorder="1" applyAlignment="1">
      <alignment vertical="center"/>
    </xf>
    <xf numFmtId="0" fontId="7" fillId="5" borderId="1" xfId="1" applyFont="1" applyFill="1" applyBorder="1" applyAlignment="1">
      <alignment horizontal="right"/>
    </xf>
    <xf numFmtId="43" fontId="16" fillId="5" borderId="1" xfId="2" applyFont="1" applyFill="1" applyBorder="1" applyAlignment="1">
      <alignment vertical="center"/>
    </xf>
    <xf numFmtId="0" fontId="6" fillId="5" borderId="1" xfId="1" applyFont="1" applyFill="1" applyBorder="1" applyAlignment="1">
      <alignment horizontal="right"/>
    </xf>
    <xf numFmtId="0" fontId="16" fillId="5" borderId="1" xfId="1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vertical="center" wrapText="1"/>
    </xf>
    <xf numFmtId="0" fontId="16" fillId="5" borderId="1" xfId="3" applyFont="1" applyFill="1" applyBorder="1" applyAlignment="1">
      <alignment horizontal="center" vertical="center" wrapText="1"/>
    </xf>
    <xf numFmtId="43" fontId="16" fillId="5" borderId="1" xfId="2" applyFont="1" applyFill="1" applyBorder="1" applyAlignment="1">
      <alignment horizontal="right" vertical="center"/>
    </xf>
    <xf numFmtId="43" fontId="16" fillId="5" borderId="1" xfId="2" applyFont="1" applyFill="1" applyBorder="1" applyAlignment="1">
      <alignment horizontal="center" vertical="center" wrapText="1"/>
    </xf>
    <xf numFmtId="43" fontId="16" fillId="5" borderId="1" xfId="2" applyFont="1" applyFill="1" applyBorder="1" applyAlignment="1">
      <alignment horizontal="center"/>
    </xf>
    <xf numFmtId="0" fontId="6" fillId="5" borderId="1" xfId="1" applyFont="1" applyFill="1" applyBorder="1" applyAlignment="1">
      <alignment vertical="center"/>
    </xf>
    <xf numFmtId="4" fontId="6" fillId="0" borderId="0" xfId="0" applyNumberFormat="1" applyFont="1" applyAlignment="1">
      <alignment vertical="center"/>
    </xf>
    <xf numFmtId="0" fontId="15" fillId="5" borderId="1" xfId="1" applyFont="1" applyFill="1" applyBorder="1" applyAlignment="1">
      <alignment horizontal="right" vertical="center" wrapText="1"/>
    </xf>
    <xf numFmtId="2" fontId="2" fillId="5" borderId="0" xfId="1" applyNumberFormat="1" applyFill="1"/>
    <xf numFmtId="2" fontId="13" fillId="5" borderId="1" xfId="2" applyNumberFormat="1" applyFont="1" applyFill="1" applyBorder="1" applyAlignment="1">
      <alignment horizontal="right" vertical="center"/>
    </xf>
    <xf numFmtId="0" fontId="6" fillId="5" borderId="0" xfId="1" applyFont="1" applyFill="1" applyAlignment="1">
      <alignment horizontal="right"/>
    </xf>
    <xf numFmtId="0" fontId="17" fillId="5" borderId="1" xfId="4" applyFont="1" applyFill="1" applyBorder="1" applyAlignment="1">
      <alignment vertical="center" wrapText="1"/>
    </xf>
    <xf numFmtId="0" fontId="17" fillId="5" borderId="1" xfId="1" applyFont="1" applyFill="1" applyBorder="1" applyAlignment="1">
      <alignment horizontal="center" vertical="center" wrapText="1"/>
    </xf>
    <xf numFmtId="167" fontId="17" fillId="5" borderId="1" xfId="2" applyNumberFormat="1" applyFont="1" applyFill="1" applyBorder="1" applyAlignment="1">
      <alignment horizontal="center" vertical="center" wrapText="1"/>
    </xf>
    <xf numFmtId="43" fontId="17" fillId="5" borderId="1" xfId="2" applyFont="1" applyFill="1" applyBorder="1" applyAlignment="1">
      <alignment horizontal="center" vertical="center" wrapText="1"/>
    </xf>
    <xf numFmtId="43" fontId="17" fillId="5" borderId="1" xfId="2" applyFont="1" applyFill="1" applyBorder="1" applyAlignment="1">
      <alignment vertical="center"/>
    </xf>
    <xf numFmtId="43" fontId="18" fillId="5" borderId="1" xfId="2" applyFont="1" applyFill="1" applyBorder="1" applyAlignment="1">
      <alignment horizontal="center" vertical="center" wrapText="1"/>
    </xf>
    <xf numFmtId="43" fontId="17" fillId="5" borderId="11" xfId="2" applyFont="1" applyFill="1" applyBorder="1" applyAlignment="1">
      <alignment vertical="center"/>
    </xf>
    <xf numFmtId="0" fontId="7" fillId="5" borderId="0" xfId="1" applyFont="1" applyFill="1" applyAlignment="1">
      <alignment vertical="center" wrapText="1"/>
    </xf>
    <xf numFmtId="0" fontId="10" fillId="5" borderId="11" xfId="1" applyFont="1" applyFill="1" applyBorder="1" applyAlignment="1">
      <alignment horizontal="left" vertical="center" wrapText="1"/>
    </xf>
    <xf numFmtId="0" fontId="6" fillId="5" borderId="0" xfId="1" applyFont="1" applyFill="1" applyAlignment="1">
      <alignment horizontal="left" vertical="center"/>
    </xf>
    <xf numFmtId="164" fontId="7" fillId="5" borderId="1" xfId="5" applyNumberFormat="1" applyFont="1" applyFill="1" applyBorder="1"/>
    <xf numFmtId="164" fontId="6" fillId="0" borderId="1" xfId="5" applyNumberFormat="1" applyFont="1" applyBorder="1"/>
    <xf numFmtId="164" fontId="6" fillId="5" borderId="1" xfId="5" applyNumberFormat="1" applyFont="1" applyFill="1" applyBorder="1"/>
    <xf numFmtId="0" fontId="6" fillId="5" borderId="0" xfId="5" applyFont="1" applyFill="1" applyAlignment="1">
      <alignment horizontal="right" vertical="center"/>
    </xf>
    <xf numFmtId="4" fontId="45" fillId="5" borderId="1" xfId="1" applyNumberFormat="1" applyFont="1" applyFill="1" applyBorder="1"/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4" fontId="6" fillId="0" borderId="1" xfId="5" applyNumberFormat="1" applyFont="1" applyBorder="1" applyAlignment="1">
      <alignment vertical="center"/>
    </xf>
    <xf numFmtId="177" fontId="6" fillId="5" borderId="1" xfId="1" applyNumberFormat="1" applyFont="1" applyFill="1" applyBorder="1"/>
    <xf numFmtId="176" fontId="6" fillId="5" borderId="0" xfId="1" applyNumberFormat="1" applyFont="1" applyFill="1" applyAlignment="1">
      <alignment horizontal="right" vertical="center"/>
    </xf>
    <xf numFmtId="43" fontId="23" fillId="2" borderId="1" xfId="6" applyFon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165" fontId="46" fillId="5" borderId="1" xfId="2" applyNumberFormat="1" applyFont="1" applyFill="1" applyBorder="1" applyAlignment="1">
      <alignment horizontal="right" vertical="center"/>
    </xf>
    <xf numFmtId="165" fontId="47" fillId="5" borderId="1" xfId="2" applyNumberFormat="1" applyFont="1" applyFill="1" applyBorder="1" applyAlignment="1">
      <alignment horizontal="right" vertical="center"/>
    </xf>
    <xf numFmtId="172" fontId="46" fillId="5" borderId="1" xfId="2" applyNumberFormat="1" applyFont="1" applyFill="1" applyBorder="1" applyAlignment="1">
      <alignment horizontal="right" vertical="center"/>
    </xf>
    <xf numFmtId="172" fontId="47" fillId="5" borderId="1" xfId="2" applyNumberFormat="1" applyFont="1" applyFill="1" applyBorder="1" applyAlignment="1">
      <alignment horizontal="right" vertical="center"/>
    </xf>
    <xf numFmtId="165" fontId="47" fillId="5" borderId="3" xfId="2" applyNumberFormat="1" applyFont="1" applyFill="1" applyBorder="1" applyAlignment="1">
      <alignment horizontal="right" vertical="center"/>
    </xf>
    <xf numFmtId="0" fontId="48" fillId="0" borderId="0" xfId="1" applyFont="1"/>
    <xf numFmtId="165" fontId="49" fillId="0" borderId="1" xfId="1" applyNumberFormat="1" applyFont="1" applyBorder="1"/>
    <xf numFmtId="0" fontId="5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4" fontId="0" fillId="4" borderId="1" xfId="0" applyNumberForma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43" fontId="13" fillId="6" borderId="1" xfId="6" applyFont="1" applyFill="1" applyBorder="1" applyAlignment="1">
      <alignment horizontal="center" vertical="center" wrapText="1"/>
    </xf>
    <xf numFmtId="43" fontId="13" fillId="6" borderId="1" xfId="6" applyFont="1" applyFill="1" applyBorder="1" applyAlignment="1">
      <alignment vertical="center"/>
    </xf>
    <xf numFmtId="0" fontId="27" fillId="6" borderId="1" xfId="0" applyFont="1" applyFill="1" applyBorder="1" applyAlignment="1">
      <alignment horizontal="left" vertical="center"/>
    </xf>
    <xf numFmtId="43" fontId="13" fillId="6" borderId="1" xfId="2" applyFont="1" applyFill="1" applyBorder="1" applyAlignment="1">
      <alignment horizontal="center" vertical="center" wrapText="1"/>
    </xf>
    <xf numFmtId="0" fontId="7" fillId="5" borderId="0" xfId="1" applyFont="1" applyFill="1" applyAlignment="1">
      <alignment horizontal="left"/>
    </xf>
    <xf numFmtId="14" fontId="6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4" fontId="11" fillId="0" borderId="0" xfId="0" applyNumberFormat="1" applyFont="1" applyAlignment="1">
      <alignment vertical="center"/>
    </xf>
    <xf numFmtId="0" fontId="51" fillId="0" borderId="1" xfId="0" applyFont="1" applyFill="1" applyBorder="1" applyAlignment="1">
      <alignment horizontal="left" vertical="center"/>
    </xf>
    <xf numFmtId="4" fontId="52" fillId="0" borderId="1" xfId="0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center" vertical="center"/>
    </xf>
    <xf numFmtId="0" fontId="10" fillId="0" borderId="0" xfId="13" applyFont="1" applyAlignment="1">
      <alignment horizontal="center" vertical="center"/>
    </xf>
    <xf numFmtId="0" fontId="22" fillId="0" borderId="2" xfId="7" applyFont="1" applyBorder="1" applyAlignment="1">
      <alignment horizontal="center"/>
    </xf>
    <xf numFmtId="0" fontId="15" fillId="0" borderId="2" xfId="13" applyFont="1" applyBorder="1" applyAlignment="1">
      <alignment horizontal="left" wrapText="1"/>
    </xf>
    <xf numFmtId="0" fontId="13" fillId="0" borderId="14" xfId="13" applyFont="1" applyBorder="1" applyAlignment="1">
      <alignment horizontal="center" vertical="top"/>
    </xf>
    <xf numFmtId="0" fontId="15" fillId="0" borderId="2" xfId="13" applyFont="1" applyBorder="1" applyAlignment="1">
      <alignment horizontal="left" vertical="center" wrapText="1"/>
    </xf>
    <xf numFmtId="0" fontId="10" fillId="7" borderId="11" xfId="5" applyFont="1" applyFill="1" applyBorder="1" applyAlignment="1">
      <alignment horizontal="center" vertical="center" wrapText="1"/>
    </xf>
    <xf numFmtId="0" fontId="10" fillId="7" borderId="12" xfId="5" applyFont="1" applyFill="1" applyBorder="1" applyAlignment="1">
      <alignment horizontal="center" vertical="center" wrapText="1"/>
    </xf>
    <xf numFmtId="0" fontId="10" fillId="0" borderId="11" xfId="4" applyFont="1" applyBorder="1" applyAlignment="1">
      <alignment horizontal="right" vertical="center" wrapText="1"/>
    </xf>
    <xf numFmtId="0" fontId="10" fillId="0" borderId="12" xfId="4" applyFont="1" applyBorder="1" applyAlignment="1">
      <alignment horizontal="right" vertical="center" wrapText="1"/>
    </xf>
    <xf numFmtId="0" fontId="10" fillId="0" borderId="13" xfId="4" applyFont="1" applyBorder="1" applyAlignment="1">
      <alignment horizontal="right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6" xfId="5" applyFont="1" applyBorder="1" applyAlignment="1">
      <alignment horizontal="center" vertical="center" wrapText="1"/>
    </xf>
    <xf numFmtId="0" fontId="10" fillId="0" borderId="9" xfId="5" applyFont="1" applyBorder="1" applyAlignment="1">
      <alignment horizontal="center" vertical="center" wrapText="1"/>
    </xf>
    <xf numFmtId="4" fontId="10" fillId="0" borderId="4" xfId="5" applyNumberFormat="1" applyFont="1" applyBorder="1" applyAlignment="1">
      <alignment horizontal="center" vertical="center" wrapText="1"/>
    </xf>
    <xf numFmtId="4" fontId="10" fillId="0" borderId="7" xfId="5" applyNumberFormat="1" applyFont="1" applyBorder="1" applyAlignment="1">
      <alignment horizontal="center" vertical="center" wrapText="1"/>
    </xf>
    <xf numFmtId="4" fontId="10" fillId="0" borderId="10" xfId="5" applyNumberFormat="1" applyFont="1" applyBorder="1" applyAlignment="1">
      <alignment horizontal="center" vertical="center" wrapText="1"/>
    </xf>
    <xf numFmtId="4" fontId="10" fillId="0" borderId="1" xfId="5" applyNumberFormat="1" applyFont="1" applyBorder="1" applyAlignment="1">
      <alignment horizontal="center" vertical="center" wrapText="1"/>
    </xf>
    <xf numFmtId="4" fontId="10" fillId="0" borderId="5" xfId="5" applyNumberFormat="1" applyFont="1" applyBorder="1" applyAlignment="1">
      <alignment horizontal="center" vertical="center" wrapText="1"/>
    </xf>
    <xf numFmtId="4" fontId="10" fillId="0" borderId="0" xfId="5" applyNumberFormat="1" applyFont="1" applyAlignment="1">
      <alignment horizontal="center" vertical="center" wrapText="1"/>
    </xf>
    <xf numFmtId="4" fontId="10" fillId="0" borderId="8" xfId="5" applyNumberFormat="1" applyFont="1" applyBorder="1" applyAlignment="1">
      <alignment horizontal="center" vertical="center" wrapText="1"/>
    </xf>
    <xf numFmtId="4" fontId="10" fillId="0" borderId="2" xfId="5" applyNumberFormat="1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/>
    </xf>
    <xf numFmtId="0" fontId="20" fillId="0" borderId="11" xfId="4" applyFont="1" applyBorder="1" applyAlignment="1">
      <alignment horizontal="right" wrapText="1"/>
    </xf>
    <xf numFmtId="0" fontId="20" fillId="0" borderId="12" xfId="4" applyFont="1" applyBorder="1" applyAlignment="1">
      <alignment horizontal="right" wrapText="1"/>
    </xf>
    <xf numFmtId="0" fontId="20" fillId="0" borderId="13" xfId="4" applyFont="1" applyBorder="1" applyAlignment="1">
      <alignment horizontal="right" wrapText="1"/>
    </xf>
    <xf numFmtId="0" fontId="10" fillId="7" borderId="11" xfId="1" applyFont="1" applyFill="1" applyBorder="1" applyAlignment="1">
      <alignment horizontal="center" vertical="center" wrapText="1"/>
    </xf>
    <xf numFmtId="0" fontId="10" fillId="7" borderId="12" xfId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4" fontId="10" fillId="0" borderId="4" xfId="1" applyNumberFormat="1" applyFont="1" applyBorder="1" applyAlignment="1">
      <alignment horizontal="center" vertical="center" wrapText="1"/>
    </xf>
    <xf numFmtId="4" fontId="10" fillId="0" borderId="7" xfId="1" applyNumberFormat="1" applyFont="1" applyBorder="1" applyAlignment="1">
      <alignment horizontal="center" vertical="center" wrapText="1"/>
    </xf>
    <xf numFmtId="4" fontId="10" fillId="0" borderId="10" xfId="1" applyNumberFormat="1" applyFont="1" applyBorder="1" applyAlignment="1">
      <alignment horizontal="center" vertical="center" wrapText="1"/>
    </xf>
    <xf numFmtId="4" fontId="10" fillId="0" borderId="1" xfId="1" applyNumberFormat="1" applyFont="1" applyBorder="1" applyAlignment="1">
      <alignment horizontal="center" vertical="center" wrapText="1"/>
    </xf>
    <xf numFmtId="4" fontId="10" fillId="0" borderId="5" xfId="1" applyNumberFormat="1" applyFont="1" applyBorder="1" applyAlignment="1">
      <alignment horizontal="center" vertical="center" wrapText="1"/>
    </xf>
    <xf numFmtId="4" fontId="10" fillId="0" borderId="0" xfId="1" applyNumberFormat="1" applyFont="1" applyAlignment="1">
      <alignment horizontal="center" vertical="center" wrapText="1"/>
    </xf>
    <xf numFmtId="4" fontId="10" fillId="0" borderId="8" xfId="1" applyNumberFormat="1" applyFont="1" applyBorder="1" applyAlignment="1">
      <alignment horizontal="center" vertical="center" wrapText="1"/>
    </xf>
    <xf numFmtId="4" fontId="10" fillId="0" borderId="2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43" fontId="13" fillId="5" borderId="3" xfId="2" applyFont="1" applyFill="1" applyBorder="1" applyAlignment="1">
      <alignment horizontal="center" vertical="center" wrapText="1"/>
    </xf>
    <xf numFmtId="43" fontId="13" fillId="5" borderId="6" xfId="2" applyFont="1" applyFill="1" applyBorder="1" applyAlignment="1">
      <alignment horizontal="center" vertical="center" wrapText="1"/>
    </xf>
    <xf numFmtId="43" fontId="13" fillId="5" borderId="9" xfId="2" applyFont="1" applyFill="1" applyBorder="1" applyAlignment="1">
      <alignment horizontal="center" vertical="center" wrapText="1"/>
    </xf>
    <xf numFmtId="0" fontId="13" fillId="5" borderId="3" xfId="1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center" wrapText="1"/>
    </xf>
    <xf numFmtId="0" fontId="13" fillId="5" borderId="9" xfId="1" applyFont="1" applyFill="1" applyBorder="1" applyAlignment="1">
      <alignment horizontal="center" vertical="center" wrapText="1"/>
    </xf>
    <xf numFmtId="165" fontId="13" fillId="5" borderId="3" xfId="2" applyNumberFormat="1" applyFont="1" applyFill="1" applyBorder="1" applyAlignment="1">
      <alignment horizontal="center" vertical="center"/>
    </xf>
    <xf numFmtId="165" fontId="13" fillId="5" borderId="6" xfId="2" applyNumberFormat="1" applyFont="1" applyFill="1" applyBorder="1" applyAlignment="1">
      <alignment horizontal="center" vertical="center"/>
    </xf>
    <xf numFmtId="165" fontId="13" fillId="5" borderId="9" xfId="2" applyNumberFormat="1" applyFont="1" applyFill="1" applyBorder="1" applyAlignment="1">
      <alignment horizontal="center" vertical="center"/>
    </xf>
    <xf numFmtId="165" fontId="46" fillId="5" borderId="3" xfId="2" applyNumberFormat="1" applyFont="1" applyFill="1" applyBorder="1" applyAlignment="1">
      <alignment horizontal="center" vertical="center"/>
    </xf>
    <xf numFmtId="165" fontId="46" fillId="5" borderId="6" xfId="2" applyNumberFormat="1" applyFont="1" applyFill="1" applyBorder="1" applyAlignment="1">
      <alignment horizontal="center" vertical="center"/>
    </xf>
    <xf numFmtId="165" fontId="46" fillId="5" borderId="9" xfId="2" applyNumberFormat="1" applyFont="1" applyFill="1" applyBorder="1" applyAlignment="1">
      <alignment horizontal="center" vertical="center"/>
    </xf>
    <xf numFmtId="165" fontId="47" fillId="5" borderId="3" xfId="2" applyNumberFormat="1" applyFont="1" applyFill="1" applyBorder="1" applyAlignment="1">
      <alignment horizontal="center" vertical="center"/>
    </xf>
    <xf numFmtId="165" fontId="47" fillId="5" borderId="6" xfId="2" applyNumberFormat="1" applyFont="1" applyFill="1" applyBorder="1" applyAlignment="1">
      <alignment horizontal="center" vertical="center"/>
    </xf>
    <xf numFmtId="165" fontId="47" fillId="5" borderId="9" xfId="2" applyNumberFormat="1" applyFont="1" applyFill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43" fontId="13" fillId="4" borderId="3" xfId="2" applyFont="1" applyFill="1" applyBorder="1" applyAlignment="1">
      <alignment horizontal="center" vertical="center" wrapText="1"/>
    </xf>
    <xf numFmtId="43" fontId="13" fillId="4" borderId="6" xfId="2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left" vertical="center"/>
    </xf>
    <xf numFmtId="0" fontId="22" fillId="0" borderId="1" xfId="5" applyFont="1" applyBorder="1" applyAlignment="1">
      <alignment horizontal="center" vertical="center"/>
    </xf>
    <xf numFmtId="0" fontId="10" fillId="3" borderId="11" xfId="5" applyFont="1" applyFill="1" applyBorder="1" applyAlignment="1">
      <alignment horizontal="right" vertical="center" wrapText="1"/>
    </xf>
    <xf numFmtId="0" fontId="10" fillId="3" borderId="12" xfId="5" applyFont="1" applyFill="1" applyBorder="1" applyAlignment="1">
      <alignment horizontal="right" vertical="center" wrapText="1"/>
    </xf>
    <xf numFmtId="0" fontId="10" fillId="3" borderId="13" xfId="5" applyFont="1" applyFill="1" applyBorder="1" applyAlignment="1">
      <alignment horizontal="right" vertical="center" wrapText="1"/>
    </xf>
    <xf numFmtId="0" fontId="10" fillId="0" borderId="17" xfId="4" applyFont="1" applyBorder="1" applyAlignment="1">
      <alignment horizontal="right" vertical="center" wrapText="1"/>
    </xf>
    <xf numFmtId="0" fontId="10" fillId="0" borderId="14" xfId="4" applyFont="1" applyBorder="1" applyAlignment="1">
      <alignment horizontal="right" vertical="center" wrapText="1"/>
    </xf>
    <xf numFmtId="0" fontId="10" fillId="0" borderId="4" xfId="4" applyFont="1" applyBorder="1" applyAlignment="1">
      <alignment horizontal="right" vertical="center" wrapText="1"/>
    </xf>
    <xf numFmtId="0" fontId="22" fillId="0" borderId="1" xfId="5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/>
    </xf>
    <xf numFmtId="0" fontId="10" fillId="0" borderId="1" xfId="5" applyFont="1" applyBorder="1" applyAlignment="1">
      <alignment horizontal="center" vertical="center" wrapText="1"/>
    </xf>
  </cellXfs>
  <cellStyles count="15">
    <cellStyle name="ЛокСмМТСН" xfId="3" xr:uid="{18A53E4D-D925-4342-9FEB-96CFF4FF8D42}"/>
    <cellStyle name="Обычный" xfId="0" builtinId="0"/>
    <cellStyle name="Обычный 12 2" xfId="14" xr:uid="{4D668D7A-4D43-430A-9361-C4EF5C49DB41}"/>
    <cellStyle name="Обычный 2" xfId="1" xr:uid="{070DE083-52CA-4DCF-95B1-724CC05466F6}"/>
    <cellStyle name="Обычный 2 2" xfId="4" xr:uid="{924626F5-EA90-47B1-BC3E-39E7CC7A3A4F}"/>
    <cellStyle name="Обычный 2 2 2" xfId="13" xr:uid="{86C94D44-9905-452B-96FA-CB1F764C86B8}"/>
    <cellStyle name="Обычный 2 4" xfId="12" xr:uid="{A22B8363-FFFC-46BF-BCB2-B4F277FC3427}"/>
    <cellStyle name="Обычный 3" xfId="5" xr:uid="{E22F19DE-4025-4E83-AC2C-3F0D004D59A4}"/>
    <cellStyle name="Обычный 3 2" xfId="7" xr:uid="{E379182F-D3DD-4D91-9E62-7435D27694BD}"/>
    <cellStyle name="Обычный 3 3" xfId="8" xr:uid="{EFCD8D64-7987-4D80-A92B-66BA8A127D79}"/>
    <cellStyle name="Обычный 3 3 2" xfId="9" xr:uid="{FA58FF97-9554-4888-84E8-85E6BDAB90D8}"/>
    <cellStyle name="Финансовый 2" xfId="2" xr:uid="{C18C2722-95A9-40D4-A1C7-B1440AD21141}"/>
    <cellStyle name="Финансовый 2 2 2" xfId="11" xr:uid="{B74FBB35-2473-463C-A409-462935A06857}"/>
    <cellStyle name="Финансовый 3" xfId="6" xr:uid="{12601A44-F6E5-4D9C-BA97-96F5A0BF2B4C}"/>
    <cellStyle name="Финансовый 3 2" xfId="10" xr:uid="{7B9F677C-0B2A-479E-9501-3D8EABCFEC89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6</xdr:col>
      <xdr:colOff>1125192</xdr:colOff>
      <xdr:row>93</xdr:row>
      <xdr:rowOff>96912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DD3C643-8809-4B61-BBF5-8A01DBAC2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8924925"/>
          <a:ext cx="8897592" cy="119079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98</xdr:row>
      <xdr:rowOff>0</xdr:rowOff>
    </xdr:from>
    <xdr:to>
      <xdr:col>9</xdr:col>
      <xdr:colOff>618157</xdr:colOff>
      <xdr:row>160</xdr:row>
      <xdr:rowOff>154070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1517704-EA70-4E71-BAD3-DCF4134A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1714" y="22655893"/>
          <a:ext cx="6716062" cy="119650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733425</xdr:colOff>
      <xdr:row>86</xdr:row>
      <xdr:rowOff>257175</xdr:rowOff>
    </xdr:from>
    <xdr:to>
      <xdr:col>31</xdr:col>
      <xdr:colOff>175276</xdr:colOff>
      <xdr:row>99</xdr:row>
      <xdr:rowOff>267257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FCA9A80-85A7-4BC5-AD2F-AFED5FA21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88600" y="27641550"/>
          <a:ext cx="9859751" cy="39915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1680618</xdr:colOff>
      <xdr:row>115</xdr:row>
      <xdr:rowOff>72116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2EE8957-8839-4330-84C5-D409A14D7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839950"/>
          <a:ext cx="16575813" cy="116888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&#1082;&#1089;-2,3%20&#1089;%20&#1058;&#1053;,&#1059;&#1055;&#1044;/08.24_&#1082;&#1089;-2,3_&#1055;&#1086;&#1089;&#1083;&#1077;&#1086;&#1089;&#1072;&#1076;&#1086;&#1095;&#1085;&#1099;&#1081;%20&#1088;&#1077;&#1084;&#1086;&#1085;&#1090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+%20&#1050;&#1086;&#1087;&#1080;&#1103;%20&#1042;&#1044;&#1062;_&#1053;&#1042;&#1050;3%20&#1087;&#1086;%20&#1089;&#1086;&#1075;&#1083;%20&#1042;&#1054;&#1056;_417%20&#1087;&#1091;&#1090;&#1100;%20&#1052;&#1099;&#1090;&#1080;&#1097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кс-2 послеосадоч.ремонт"/>
      <sheetName val="кс-2 корр объемы"/>
    </sheetNames>
    <sheetDataSet>
      <sheetData sheetId="0" refreshError="1"/>
      <sheetData sheetId="1">
        <row r="78">
          <cell r="O78">
            <v>1705481.22</v>
          </cell>
        </row>
        <row r="89">
          <cell r="O89">
            <v>139849.46</v>
          </cell>
        </row>
        <row r="91">
          <cell r="O91">
            <v>44287.94</v>
          </cell>
        </row>
        <row r="92">
          <cell r="O92">
            <v>1889618.62</v>
          </cell>
        </row>
        <row r="94">
          <cell r="O94">
            <v>1986745.02</v>
          </cell>
        </row>
      </sheetData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3"/>
      <sheetName val="В1-3А, В1-4"/>
      <sheetName val="В1-4-до Уг.1"/>
      <sheetName val="Уг.1-до Уг.2"/>
      <sheetName val="Уг.2-до В1нов"/>
      <sheetName val="В1-30-В1-31"/>
      <sheetName val="В1-1-В1-1А"/>
      <sheetName val="В1-2-В1-2А"/>
      <sheetName val="В1нов1-В15"/>
      <sheetName val="В1нов1-цех121"/>
      <sheetName val="В1нов1-В17"/>
      <sheetName val="В1-7-В1-8"/>
    </sheetNames>
    <sheetDataSet>
      <sheetData sheetId="0" refreshError="1"/>
      <sheetData sheetId="1">
        <row r="13">
          <cell r="D13">
            <v>62.1</v>
          </cell>
          <cell r="L13">
            <v>23008.06</v>
          </cell>
        </row>
        <row r="39">
          <cell r="D39">
            <v>9.6199999999999992</v>
          </cell>
          <cell r="L39">
            <v>3564.22</v>
          </cell>
        </row>
      </sheetData>
      <sheetData sheetId="2">
        <row r="15">
          <cell r="D15">
            <v>128.97999999999999</v>
          </cell>
          <cell r="L15">
            <v>47787.1</v>
          </cell>
        </row>
      </sheetData>
      <sheetData sheetId="3">
        <row r="13">
          <cell r="D13">
            <v>18.23</v>
          </cell>
          <cell r="L13">
            <v>6754.21</v>
          </cell>
        </row>
      </sheetData>
      <sheetData sheetId="4">
        <row r="13">
          <cell r="D13">
            <v>62.25</v>
          </cell>
          <cell r="L13">
            <v>23063.63</v>
          </cell>
        </row>
      </sheetData>
      <sheetData sheetId="5">
        <row r="12">
          <cell r="D12">
            <v>110.98</v>
          </cell>
          <cell r="L12">
            <v>41118.1</v>
          </cell>
        </row>
      </sheetData>
      <sheetData sheetId="6">
        <row r="11">
          <cell r="D11">
            <v>221.13</v>
          </cell>
          <cell r="L11">
            <v>81928.67</v>
          </cell>
        </row>
      </sheetData>
      <sheetData sheetId="7">
        <row r="9">
          <cell r="D9">
            <v>30.8</v>
          </cell>
          <cell r="L9">
            <v>11411.4</v>
          </cell>
        </row>
      </sheetData>
      <sheetData sheetId="8">
        <row r="13">
          <cell r="D13">
            <v>34.04</v>
          </cell>
          <cell r="L13">
            <v>12611.82</v>
          </cell>
        </row>
      </sheetData>
      <sheetData sheetId="9" refreshError="1"/>
      <sheetData sheetId="10">
        <row r="13">
          <cell r="D13">
            <v>122.44</v>
          </cell>
          <cell r="L13">
            <v>45364.02</v>
          </cell>
        </row>
      </sheetData>
      <sheetData sheetId="11">
        <row r="11">
          <cell r="D11">
            <v>26.79</v>
          </cell>
          <cell r="L11">
            <v>9925.69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F59F-9A4E-4B54-9750-68ACA4A3E22B}">
  <dimension ref="A1:N98"/>
  <sheetViews>
    <sheetView topLeftCell="A31" zoomScaleNormal="100" zoomScaleSheetLayoutView="100" workbookViewId="0">
      <selection activeCell="M77" sqref="M77"/>
    </sheetView>
  </sheetViews>
  <sheetFormatPr defaultColWidth="9.140625" defaultRowHeight="15" x14ac:dyDescent="0.25"/>
  <cols>
    <col min="1" max="1" width="17" style="560" customWidth="1"/>
    <col min="2" max="2" width="20.85546875" style="560" customWidth="1"/>
    <col min="3" max="3" width="63.28515625" style="560" customWidth="1"/>
    <col min="4" max="4" width="15.7109375" style="560" customWidth="1"/>
    <col min="5" max="5" width="18.28515625" style="560" customWidth="1"/>
    <col min="6" max="6" width="15.85546875" style="560" customWidth="1"/>
    <col min="7" max="7" width="15.7109375" style="560" customWidth="1"/>
    <col min="8" max="8" width="20.5703125" style="560" customWidth="1"/>
    <col min="9" max="9" width="12.85546875" style="560" customWidth="1"/>
    <col min="10" max="10" width="26.5703125" style="560" bestFit="1" customWidth="1"/>
    <col min="11" max="11" width="20.5703125" style="560" customWidth="1"/>
    <col min="12" max="12" width="12.85546875" style="560" customWidth="1"/>
    <col min="13" max="13" width="26.5703125" style="560" bestFit="1" customWidth="1"/>
    <col min="14" max="16384" width="9.140625" style="560"/>
  </cols>
  <sheetData>
    <row r="1" spans="1:13" x14ac:dyDescent="0.25">
      <c r="A1" s="566"/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</row>
    <row r="2" spans="1:13" x14ac:dyDescent="0.25">
      <c r="A2" s="567" t="s">
        <v>1010</v>
      </c>
      <c r="B2" s="857" t="s">
        <v>1011</v>
      </c>
      <c r="C2" s="857"/>
      <c r="D2" s="857"/>
      <c r="E2" s="857"/>
      <c r="F2" s="857"/>
      <c r="G2" s="857"/>
      <c r="H2" s="857"/>
      <c r="I2" s="857"/>
      <c r="J2" s="857"/>
      <c r="K2" s="568"/>
      <c r="L2" s="568"/>
      <c r="M2" s="568"/>
    </row>
    <row r="3" spans="1:13" x14ac:dyDescent="0.25">
      <c r="A3" s="569"/>
      <c r="B3" s="858" t="s">
        <v>1012</v>
      </c>
      <c r="C3" s="858"/>
      <c r="D3" s="858"/>
      <c r="E3" s="858"/>
      <c r="F3" s="858"/>
      <c r="G3" s="858"/>
      <c r="H3" s="858"/>
      <c r="I3" s="858"/>
      <c r="J3" s="858"/>
      <c r="K3" s="570"/>
      <c r="L3" s="570"/>
      <c r="M3" s="570"/>
    </row>
    <row r="4" spans="1:13" x14ac:dyDescent="0.25">
      <c r="A4" s="571" t="s">
        <v>1013</v>
      </c>
      <c r="B4" s="859" t="s">
        <v>1014</v>
      </c>
      <c r="C4" s="859"/>
      <c r="D4" s="859"/>
      <c r="E4" s="859"/>
      <c r="F4" s="859"/>
      <c r="G4" s="859"/>
      <c r="H4" s="859"/>
      <c r="I4" s="859"/>
      <c r="J4" s="859"/>
      <c r="K4" s="572"/>
      <c r="L4" s="572"/>
      <c r="M4" s="572"/>
    </row>
    <row r="5" spans="1:13" x14ac:dyDescent="0.25">
      <c r="A5" s="547"/>
      <c r="B5" s="858" t="s">
        <v>1012</v>
      </c>
      <c r="C5" s="858"/>
      <c r="D5" s="858"/>
      <c r="E5" s="858"/>
      <c r="F5" s="858"/>
      <c r="G5" s="858"/>
      <c r="H5" s="858"/>
      <c r="I5" s="858"/>
      <c r="J5" s="858"/>
      <c r="K5" s="570"/>
      <c r="L5" s="570"/>
      <c r="M5" s="570"/>
    </row>
    <row r="6" spans="1:13" x14ac:dyDescent="0.25">
      <c r="A6" s="571" t="s">
        <v>1015</v>
      </c>
      <c r="B6" s="859" t="s">
        <v>1016</v>
      </c>
      <c r="C6" s="859"/>
      <c r="D6" s="859"/>
      <c r="E6" s="859"/>
      <c r="F6" s="859"/>
      <c r="G6" s="859"/>
      <c r="H6" s="859"/>
      <c r="I6" s="859"/>
      <c r="J6" s="859"/>
      <c r="K6" s="572"/>
      <c r="L6" s="572"/>
      <c r="M6" s="572"/>
    </row>
    <row r="7" spans="1:13" x14ac:dyDescent="0.25">
      <c r="A7" s="547"/>
      <c r="B7" s="858" t="s">
        <v>1017</v>
      </c>
      <c r="C7" s="858"/>
      <c r="D7" s="858"/>
      <c r="E7" s="858"/>
      <c r="F7" s="858"/>
      <c r="G7" s="858"/>
      <c r="H7" s="858"/>
      <c r="I7" s="858"/>
      <c r="J7" s="858"/>
      <c r="K7" s="570"/>
      <c r="L7" s="570"/>
      <c r="M7" s="570"/>
    </row>
    <row r="8" spans="1:13" x14ac:dyDescent="0.25">
      <c r="A8" s="855" t="s">
        <v>1018</v>
      </c>
      <c r="B8" s="855"/>
      <c r="C8" s="855"/>
      <c r="D8" s="855"/>
      <c r="E8" s="855"/>
      <c r="F8" s="855"/>
      <c r="G8" s="855"/>
      <c r="H8" s="855"/>
      <c r="I8" s="855"/>
      <c r="J8" s="855"/>
      <c r="K8" s="573"/>
      <c r="L8" s="573"/>
      <c r="M8" s="573"/>
    </row>
    <row r="9" spans="1:13" ht="7.5" customHeight="1" x14ac:dyDescent="0.25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</row>
    <row r="10" spans="1:13" x14ac:dyDescent="0.25">
      <c r="A10" s="546"/>
      <c r="B10" s="546"/>
      <c r="C10" s="546"/>
      <c r="D10" s="546"/>
      <c r="E10" s="546"/>
      <c r="F10" s="546"/>
      <c r="G10" s="546"/>
      <c r="H10" s="856" t="s">
        <v>1019</v>
      </c>
      <c r="I10" s="856"/>
      <c r="J10" s="856"/>
      <c r="K10" s="856" t="s">
        <v>1020</v>
      </c>
      <c r="L10" s="856"/>
      <c r="M10" s="856"/>
    </row>
    <row r="11" spans="1:13" ht="60" x14ac:dyDescent="0.25">
      <c r="A11" s="548" t="s">
        <v>55</v>
      </c>
      <c r="B11" s="548" t="s">
        <v>972</v>
      </c>
      <c r="C11" s="548" t="s">
        <v>973</v>
      </c>
      <c r="D11" s="548" t="s">
        <v>974</v>
      </c>
      <c r="E11" s="548" t="s">
        <v>975</v>
      </c>
      <c r="F11" s="548" t="s">
        <v>976</v>
      </c>
      <c r="G11" s="548" t="s">
        <v>977</v>
      </c>
      <c r="H11" s="549" t="s">
        <v>978</v>
      </c>
      <c r="I11" s="548" t="s">
        <v>979</v>
      </c>
      <c r="J11" s="549" t="s">
        <v>980</v>
      </c>
      <c r="K11" s="574" t="s">
        <v>978</v>
      </c>
      <c r="L11" s="575" t="s">
        <v>979</v>
      </c>
      <c r="M11" s="574" t="s">
        <v>980</v>
      </c>
    </row>
    <row r="12" spans="1:13" ht="30" customHeight="1" x14ac:dyDescent="0.25">
      <c r="A12" s="576">
        <v>1</v>
      </c>
      <c r="B12" s="550" t="s">
        <v>1021</v>
      </c>
      <c r="C12" s="577" t="s">
        <v>986</v>
      </c>
      <c r="D12" s="578">
        <v>27216587.620000001</v>
      </c>
      <c r="E12" s="578">
        <v>2231760.1800000002</v>
      </c>
      <c r="F12" s="578">
        <v>706760.35</v>
      </c>
      <c r="G12" s="578">
        <v>30155108.149999999</v>
      </c>
      <c r="H12" s="579">
        <v>31705080.710000001</v>
      </c>
      <c r="I12" s="555">
        <v>1.2</v>
      </c>
      <c r="J12" s="625">
        <f>ROUND(H12*I12,2)</f>
        <v>38046096.850000001</v>
      </c>
      <c r="K12" s="580">
        <v>0</v>
      </c>
      <c r="L12" s="581">
        <v>1.2</v>
      </c>
      <c r="M12" s="580">
        <f>ROUND(K12*L12,2)</f>
        <v>0</v>
      </c>
    </row>
    <row r="13" spans="1:13" ht="30" customHeight="1" x14ac:dyDescent="0.25">
      <c r="A13" s="548">
        <v>2</v>
      </c>
      <c r="B13" s="548" t="s">
        <v>1022</v>
      </c>
      <c r="C13" s="582" t="s">
        <v>990</v>
      </c>
      <c r="D13" s="583">
        <v>2580741.9900000002</v>
      </c>
      <c r="E13" s="583">
        <v>211620.84</v>
      </c>
      <c r="F13" s="583">
        <v>67016.710000000006</v>
      </c>
      <c r="G13" s="583">
        <v>2859379.54</v>
      </c>
      <c r="H13" s="584">
        <v>3006351.65</v>
      </c>
      <c r="I13" s="585">
        <v>1.2</v>
      </c>
      <c r="J13" s="621">
        <f t="shared" ref="J13:J40" si="0">ROUND(H13*I13,2)</f>
        <v>3607621.98</v>
      </c>
      <c r="K13" s="580">
        <v>0</v>
      </c>
      <c r="L13" s="586">
        <v>1.2</v>
      </c>
      <c r="M13" s="587">
        <f t="shared" ref="M13:M29" si="1">ROUND(K13*L13,2)</f>
        <v>0</v>
      </c>
    </row>
    <row r="14" spans="1:13" ht="30" customHeight="1" x14ac:dyDescent="0.25">
      <c r="A14" s="548">
        <v>3</v>
      </c>
      <c r="B14" s="548" t="s">
        <v>1023</v>
      </c>
      <c r="C14" s="582" t="s">
        <v>994</v>
      </c>
      <c r="D14" s="583">
        <v>286922.48</v>
      </c>
      <c r="E14" s="583">
        <v>23527.64</v>
      </c>
      <c r="F14" s="583">
        <v>7450.8</v>
      </c>
      <c r="G14" s="583">
        <v>317900.92</v>
      </c>
      <c r="H14" s="584">
        <v>334241.03000000003</v>
      </c>
      <c r="I14" s="585">
        <v>1.2</v>
      </c>
      <c r="J14" s="621">
        <f t="shared" si="0"/>
        <v>401089.24</v>
      </c>
      <c r="K14" s="580">
        <v>0</v>
      </c>
      <c r="L14" s="586">
        <v>1.2</v>
      </c>
      <c r="M14" s="587">
        <f t="shared" si="1"/>
        <v>0</v>
      </c>
    </row>
    <row r="15" spans="1:13" ht="30" customHeight="1" x14ac:dyDescent="0.25">
      <c r="A15" s="548">
        <v>4</v>
      </c>
      <c r="B15" s="548" t="s">
        <v>1024</v>
      </c>
      <c r="C15" s="582" t="s">
        <v>1025</v>
      </c>
      <c r="D15" s="583">
        <v>247380.85</v>
      </c>
      <c r="E15" s="583">
        <v>20285.23</v>
      </c>
      <c r="F15" s="583">
        <v>6423.99</v>
      </c>
      <c r="G15" s="583">
        <v>274090.07</v>
      </c>
      <c r="H15" s="584">
        <v>288178.3</v>
      </c>
      <c r="I15" s="585">
        <v>1.2</v>
      </c>
      <c r="J15" s="621">
        <f t="shared" si="0"/>
        <v>345813.96</v>
      </c>
      <c r="K15" s="580">
        <v>0</v>
      </c>
      <c r="L15" s="586">
        <v>1.2</v>
      </c>
      <c r="M15" s="587">
        <f t="shared" si="1"/>
        <v>0</v>
      </c>
    </row>
    <row r="16" spans="1:13" ht="30" customHeight="1" x14ac:dyDescent="0.25">
      <c r="A16" s="548">
        <v>5</v>
      </c>
      <c r="B16" s="548" t="s">
        <v>1026</v>
      </c>
      <c r="C16" s="582" t="s">
        <v>1027</v>
      </c>
      <c r="D16" s="583">
        <v>3236877.75</v>
      </c>
      <c r="E16" s="583">
        <v>265423.98</v>
      </c>
      <c r="F16" s="583">
        <v>84055.24</v>
      </c>
      <c r="G16" s="583">
        <v>3586356.97</v>
      </c>
      <c r="H16" s="584">
        <v>3770695.72</v>
      </c>
      <c r="I16" s="585">
        <v>1.2</v>
      </c>
      <c r="J16" s="621">
        <f t="shared" si="0"/>
        <v>4524834.8600000003</v>
      </c>
      <c r="K16" s="580">
        <v>0</v>
      </c>
      <c r="L16" s="586">
        <v>1.2</v>
      </c>
      <c r="M16" s="587">
        <f t="shared" si="1"/>
        <v>0</v>
      </c>
    </row>
    <row r="17" spans="1:14" ht="30" customHeight="1" x14ac:dyDescent="0.25">
      <c r="A17" s="548">
        <v>6</v>
      </c>
      <c r="B17" s="548" t="s">
        <v>1028</v>
      </c>
      <c r="C17" s="582" t="s">
        <v>1029</v>
      </c>
      <c r="D17" s="583">
        <v>1091766.23</v>
      </c>
      <c r="E17" s="583">
        <v>89524.83</v>
      </c>
      <c r="F17" s="583">
        <v>28350.99</v>
      </c>
      <c r="G17" s="583">
        <v>1209642.05</v>
      </c>
      <c r="H17" s="584">
        <v>1271817.6499999999</v>
      </c>
      <c r="I17" s="585">
        <v>1.2</v>
      </c>
      <c r="J17" s="621">
        <f t="shared" si="0"/>
        <v>1526181.18</v>
      </c>
      <c r="K17" s="580">
        <v>0</v>
      </c>
      <c r="L17" s="586">
        <v>1.2</v>
      </c>
      <c r="M17" s="587">
        <f t="shared" si="1"/>
        <v>0</v>
      </c>
    </row>
    <row r="18" spans="1:14" s="588" customFormat="1" ht="30" customHeight="1" x14ac:dyDescent="0.25">
      <c r="A18" s="550">
        <v>7</v>
      </c>
      <c r="B18" s="550" t="s">
        <v>1030</v>
      </c>
      <c r="C18" s="577" t="s">
        <v>1031</v>
      </c>
      <c r="D18" s="578">
        <v>14058995.09</v>
      </c>
      <c r="E18" s="578">
        <v>1152837.6000000001</v>
      </c>
      <c r="F18" s="578">
        <v>365083.98</v>
      </c>
      <c r="G18" s="578">
        <v>15576916.67</v>
      </c>
      <c r="H18" s="579">
        <v>16377570.189999999</v>
      </c>
      <c r="I18" s="555">
        <v>1.2</v>
      </c>
      <c r="J18" s="625">
        <f t="shared" si="0"/>
        <v>19653084.23</v>
      </c>
      <c r="K18" s="580">
        <v>0</v>
      </c>
      <c r="L18" s="581">
        <v>1.2</v>
      </c>
      <c r="M18" s="580">
        <f t="shared" si="1"/>
        <v>0</v>
      </c>
    </row>
    <row r="19" spans="1:14" ht="30" customHeight="1" x14ac:dyDescent="0.25">
      <c r="A19" s="548">
        <v>8</v>
      </c>
      <c r="B19" s="548" t="s">
        <v>1032</v>
      </c>
      <c r="C19" s="582" t="s">
        <v>1004</v>
      </c>
      <c r="D19" s="583">
        <v>1570798.31</v>
      </c>
      <c r="E19" s="583">
        <v>128805.46</v>
      </c>
      <c r="F19" s="583">
        <v>40790.49</v>
      </c>
      <c r="G19" s="583">
        <v>1740394.26</v>
      </c>
      <c r="H19" s="584">
        <v>1829850.52</v>
      </c>
      <c r="I19" s="585">
        <v>1.2</v>
      </c>
      <c r="J19" s="621">
        <f t="shared" si="0"/>
        <v>2195820.62</v>
      </c>
      <c r="K19" s="580">
        <v>0</v>
      </c>
      <c r="L19" s="586">
        <v>1.2</v>
      </c>
      <c r="M19" s="587">
        <f t="shared" si="1"/>
        <v>0</v>
      </c>
    </row>
    <row r="20" spans="1:14" ht="30" customHeight="1" x14ac:dyDescent="0.25">
      <c r="A20" s="548">
        <v>9</v>
      </c>
      <c r="B20" s="548" t="s">
        <v>1033</v>
      </c>
      <c r="C20" s="582" t="s">
        <v>996</v>
      </c>
      <c r="D20" s="583">
        <v>2149017.2799999998</v>
      </c>
      <c r="E20" s="583">
        <v>176219.42</v>
      </c>
      <c r="F20" s="583">
        <v>55805.68</v>
      </c>
      <c r="G20" s="583">
        <v>2381042.38</v>
      </c>
      <c r="H20" s="584">
        <v>2503427.96</v>
      </c>
      <c r="I20" s="585">
        <v>1.2</v>
      </c>
      <c r="J20" s="621">
        <f t="shared" si="0"/>
        <v>3004113.55</v>
      </c>
      <c r="K20" s="580">
        <v>0</v>
      </c>
      <c r="L20" s="586">
        <v>1.2</v>
      </c>
      <c r="M20" s="587">
        <f t="shared" si="1"/>
        <v>0</v>
      </c>
    </row>
    <row r="21" spans="1:14" ht="30" customHeight="1" x14ac:dyDescent="0.25">
      <c r="A21" s="548">
        <v>10</v>
      </c>
      <c r="B21" s="548" t="s">
        <v>1034</v>
      </c>
      <c r="C21" s="582" t="s">
        <v>1035</v>
      </c>
      <c r="D21" s="583">
        <v>760525.99</v>
      </c>
      <c r="E21" s="583">
        <v>62363.13</v>
      </c>
      <c r="F21" s="583">
        <v>19749.34</v>
      </c>
      <c r="G21" s="583">
        <v>842638.46</v>
      </c>
      <c r="H21" s="584">
        <v>885950.08</v>
      </c>
      <c r="I21" s="585">
        <v>1.2</v>
      </c>
      <c r="J21" s="621">
        <f t="shared" si="0"/>
        <v>1063140.1000000001</v>
      </c>
      <c r="K21" s="580">
        <v>0</v>
      </c>
      <c r="L21" s="586">
        <v>1.2</v>
      </c>
      <c r="M21" s="587">
        <f t="shared" si="1"/>
        <v>0</v>
      </c>
    </row>
    <row r="22" spans="1:14" ht="30" customHeight="1" x14ac:dyDescent="0.25">
      <c r="A22" s="548">
        <v>11</v>
      </c>
      <c r="B22" s="548" t="s">
        <v>1036</v>
      </c>
      <c r="C22" s="582" t="s">
        <v>1008</v>
      </c>
      <c r="D22" s="583">
        <v>2453763.13</v>
      </c>
      <c r="E22" s="583">
        <v>201208.58</v>
      </c>
      <c r="F22" s="583">
        <v>63719.32</v>
      </c>
      <c r="G22" s="583">
        <v>2718691.03</v>
      </c>
      <c r="H22" s="584">
        <v>2858431.75</v>
      </c>
      <c r="I22" s="585">
        <v>1.2</v>
      </c>
      <c r="J22" s="621">
        <f t="shared" si="0"/>
        <v>3430118.1</v>
      </c>
      <c r="K22" s="580">
        <v>0</v>
      </c>
      <c r="L22" s="586">
        <v>1.2</v>
      </c>
      <c r="M22" s="587">
        <f t="shared" si="1"/>
        <v>0</v>
      </c>
    </row>
    <row r="23" spans="1:14" ht="30" customHeight="1" x14ac:dyDescent="0.25">
      <c r="A23" s="548">
        <v>12</v>
      </c>
      <c r="B23" s="548" t="s">
        <v>1037</v>
      </c>
      <c r="C23" s="582" t="s">
        <v>1038</v>
      </c>
      <c r="D23" s="583">
        <v>1767115.46</v>
      </c>
      <c r="E23" s="583">
        <v>144903.47</v>
      </c>
      <c r="F23" s="583">
        <v>45888.45</v>
      </c>
      <c r="G23" s="583">
        <v>1957907.38</v>
      </c>
      <c r="H23" s="584">
        <v>2058543.82</v>
      </c>
      <c r="I23" s="585">
        <v>1.2</v>
      </c>
      <c r="J23" s="621">
        <f t="shared" si="0"/>
        <v>2470252.58</v>
      </c>
      <c r="K23" s="580">
        <v>0</v>
      </c>
      <c r="L23" s="586">
        <v>1.2</v>
      </c>
      <c r="M23" s="587">
        <f t="shared" si="1"/>
        <v>0</v>
      </c>
    </row>
    <row r="24" spans="1:14" ht="30" customHeight="1" x14ac:dyDescent="0.25">
      <c r="A24" s="548">
        <v>13</v>
      </c>
      <c r="B24" s="548" t="s">
        <v>1039</v>
      </c>
      <c r="C24" s="582" t="s">
        <v>1040</v>
      </c>
      <c r="D24" s="583">
        <v>3363402.63</v>
      </c>
      <c r="E24" s="583">
        <v>275799.02</v>
      </c>
      <c r="F24" s="583">
        <v>87340.84</v>
      </c>
      <c r="G24" s="583">
        <v>3726542.49</v>
      </c>
      <c r="H24" s="584">
        <v>3918086.77</v>
      </c>
      <c r="I24" s="585">
        <v>1.2</v>
      </c>
      <c r="J24" s="621">
        <f t="shared" si="0"/>
        <v>4701704.12</v>
      </c>
      <c r="K24" s="580">
        <v>0</v>
      </c>
      <c r="L24" s="586">
        <v>1.2</v>
      </c>
      <c r="M24" s="587">
        <f t="shared" si="1"/>
        <v>0</v>
      </c>
    </row>
    <row r="25" spans="1:14" s="588" customFormat="1" ht="30" customHeight="1" x14ac:dyDescent="0.25">
      <c r="A25" s="589">
        <v>14</v>
      </c>
      <c r="B25" s="589" t="s">
        <v>1041</v>
      </c>
      <c r="C25" s="590" t="s">
        <v>1042</v>
      </c>
      <c r="D25" s="591">
        <v>4484122.8</v>
      </c>
      <c r="E25" s="591">
        <v>367698.07</v>
      </c>
      <c r="F25" s="591">
        <v>116443.7</v>
      </c>
      <c r="G25" s="591">
        <v>4968264.57</v>
      </c>
      <c r="H25" s="592">
        <v>5223633.37</v>
      </c>
      <c r="I25" s="593">
        <v>1.2</v>
      </c>
      <c r="J25" s="626">
        <f t="shared" si="0"/>
        <v>6268360.04</v>
      </c>
      <c r="K25" s="594">
        <f>119476.61*1.0514</f>
        <v>125617.70775399999</v>
      </c>
      <c r="L25" s="595">
        <v>1.2</v>
      </c>
      <c r="M25" s="594">
        <f t="shared" si="1"/>
        <v>150741.25</v>
      </c>
      <c r="N25" s="596"/>
    </row>
    <row r="26" spans="1:14" ht="30" customHeight="1" x14ac:dyDescent="0.25">
      <c r="A26" s="548">
        <v>15</v>
      </c>
      <c r="B26" s="548" t="s">
        <v>1043</v>
      </c>
      <c r="C26" s="582" t="s">
        <v>988</v>
      </c>
      <c r="D26" s="583">
        <v>13629091.9</v>
      </c>
      <c r="E26" s="583">
        <v>1117585.54</v>
      </c>
      <c r="F26" s="583">
        <v>353920.26</v>
      </c>
      <c r="G26" s="583">
        <v>15100597.699999999</v>
      </c>
      <c r="H26" s="584">
        <v>15876768.42</v>
      </c>
      <c r="I26" s="585">
        <v>1.2</v>
      </c>
      <c r="J26" s="621">
        <f t="shared" si="0"/>
        <v>19052122.100000001</v>
      </c>
      <c r="K26" s="580">
        <v>0</v>
      </c>
      <c r="L26" s="586">
        <v>1.2</v>
      </c>
      <c r="M26" s="587">
        <f t="shared" si="1"/>
        <v>0</v>
      </c>
    </row>
    <row r="27" spans="1:14" ht="30" customHeight="1" x14ac:dyDescent="0.25">
      <c r="A27" s="548">
        <v>16</v>
      </c>
      <c r="B27" s="548" t="s">
        <v>1044</v>
      </c>
      <c r="C27" s="597" t="s">
        <v>998</v>
      </c>
      <c r="D27" s="583">
        <v>49450959.759999998</v>
      </c>
      <c r="E27" s="583">
        <v>4054978.7</v>
      </c>
      <c r="F27" s="583">
        <v>1284142.52</v>
      </c>
      <c r="G27" s="583">
        <v>54790080.979999997</v>
      </c>
      <c r="H27" s="584">
        <v>57606291.140000001</v>
      </c>
      <c r="I27" s="585">
        <v>1.2</v>
      </c>
      <c r="J27" s="621">
        <f t="shared" si="0"/>
        <v>69127549.370000005</v>
      </c>
      <c r="K27" s="580">
        <v>0</v>
      </c>
      <c r="L27" s="586">
        <v>1.2</v>
      </c>
      <c r="M27" s="587">
        <f t="shared" si="1"/>
        <v>0</v>
      </c>
    </row>
    <row r="28" spans="1:14" ht="30" customHeight="1" x14ac:dyDescent="0.25">
      <c r="A28" s="548">
        <v>17</v>
      </c>
      <c r="B28" s="598" t="s">
        <v>1045</v>
      </c>
      <c r="C28" s="597" t="s">
        <v>1046</v>
      </c>
      <c r="D28" s="583">
        <v>62852.24</v>
      </c>
      <c r="E28" s="548">
        <v>0</v>
      </c>
      <c r="F28" s="548">
        <v>0</v>
      </c>
      <c r="G28" s="583">
        <v>62852.24</v>
      </c>
      <c r="H28" s="584">
        <v>66082.850000000006</v>
      </c>
      <c r="I28" s="585">
        <v>1.2</v>
      </c>
      <c r="J28" s="621">
        <f t="shared" si="0"/>
        <v>79299.42</v>
      </c>
      <c r="K28" s="580">
        <v>0</v>
      </c>
      <c r="L28" s="586">
        <v>1.2</v>
      </c>
      <c r="M28" s="587">
        <f t="shared" si="1"/>
        <v>0</v>
      </c>
    </row>
    <row r="29" spans="1:14" ht="30" customHeight="1" x14ac:dyDescent="0.25">
      <c r="A29" s="548">
        <v>18</v>
      </c>
      <c r="B29" s="598" t="s">
        <v>1047</v>
      </c>
      <c r="C29" s="597" t="s">
        <v>1048</v>
      </c>
      <c r="D29" s="583">
        <v>193794.44</v>
      </c>
      <c r="E29" s="548">
        <v>0</v>
      </c>
      <c r="F29" s="548">
        <v>0</v>
      </c>
      <c r="G29" s="583">
        <v>193794.44</v>
      </c>
      <c r="H29" s="584">
        <v>203755.47</v>
      </c>
      <c r="I29" s="585">
        <v>1.2</v>
      </c>
      <c r="J29" s="621">
        <f t="shared" si="0"/>
        <v>244506.56</v>
      </c>
      <c r="K29" s="580">
        <v>0</v>
      </c>
      <c r="L29" s="586">
        <v>1.2</v>
      </c>
      <c r="M29" s="587">
        <f t="shared" si="1"/>
        <v>0</v>
      </c>
    </row>
    <row r="30" spans="1:14" ht="30" customHeight="1" x14ac:dyDescent="0.25">
      <c r="A30" s="548">
        <v>19</v>
      </c>
      <c r="B30" s="550" t="s">
        <v>1049</v>
      </c>
      <c r="C30" s="599" t="s">
        <v>982</v>
      </c>
      <c r="D30" s="578">
        <v>149447.34</v>
      </c>
      <c r="E30" s="578">
        <v>12254.68</v>
      </c>
      <c r="F30" s="578">
        <v>3880.85</v>
      </c>
      <c r="G30" s="578">
        <v>165582.87</v>
      </c>
      <c r="H30" s="579">
        <v>174093.83</v>
      </c>
      <c r="I30" s="555">
        <v>1.2</v>
      </c>
      <c r="J30" s="625">
        <f>ROUND(H30*I30,2)</f>
        <v>208912.6</v>
      </c>
      <c r="K30" s="580">
        <v>0</v>
      </c>
      <c r="L30" s="581">
        <v>1.2</v>
      </c>
      <c r="M30" s="580">
        <f>ROUND(K30*L30,2)</f>
        <v>0</v>
      </c>
    </row>
    <row r="31" spans="1:14" ht="30" customHeight="1" x14ac:dyDescent="0.25">
      <c r="A31" s="548">
        <v>20</v>
      </c>
      <c r="B31" s="550" t="s">
        <v>1050</v>
      </c>
      <c r="C31" s="600" t="s">
        <v>1051</v>
      </c>
      <c r="D31" s="578">
        <v>19791.849999999999</v>
      </c>
      <c r="E31" s="578">
        <v>1622.93</v>
      </c>
      <c r="F31" s="578">
        <v>513.95000000000005</v>
      </c>
      <c r="G31" s="578">
        <v>21928.73</v>
      </c>
      <c r="H31" s="578">
        <v>23055.87</v>
      </c>
      <c r="I31" s="555">
        <v>1.2</v>
      </c>
      <c r="J31" s="625">
        <f t="shared" si="0"/>
        <v>27667.040000000001</v>
      </c>
      <c r="K31" s="580">
        <v>0</v>
      </c>
      <c r="L31" s="581">
        <v>1.2</v>
      </c>
      <c r="M31" s="580">
        <f t="shared" ref="M31" si="2">ROUND(K31*L31,2)</f>
        <v>0</v>
      </c>
    </row>
    <row r="32" spans="1:14" ht="30" customHeight="1" x14ac:dyDescent="0.25">
      <c r="A32" s="548">
        <v>21</v>
      </c>
      <c r="B32" s="550" t="s">
        <v>1052</v>
      </c>
      <c r="C32" s="599" t="s">
        <v>1053</v>
      </c>
      <c r="D32" s="578">
        <v>61414.47</v>
      </c>
      <c r="E32" s="578">
        <v>5035.99</v>
      </c>
      <c r="F32" s="578">
        <v>1594.81</v>
      </c>
      <c r="G32" s="578">
        <v>68045.27</v>
      </c>
      <c r="H32" s="578">
        <v>71542.8</v>
      </c>
      <c r="I32" s="555">
        <v>1.2</v>
      </c>
      <c r="J32" s="625">
        <f>ROUND(H32*I32,2)</f>
        <v>85851.36</v>
      </c>
      <c r="K32" s="580">
        <v>0</v>
      </c>
      <c r="L32" s="581">
        <v>1.2</v>
      </c>
      <c r="M32" s="580">
        <f>ROUND(K32*L32,2)</f>
        <v>0</v>
      </c>
    </row>
    <row r="33" spans="1:13" ht="30" customHeight="1" x14ac:dyDescent="0.25">
      <c r="A33" s="548">
        <v>22</v>
      </c>
      <c r="B33" s="550" t="s">
        <v>1054</v>
      </c>
      <c r="C33" s="599" t="s">
        <v>1055</v>
      </c>
      <c r="D33" s="578">
        <v>506473.89</v>
      </c>
      <c r="E33" s="578">
        <v>41530.86</v>
      </c>
      <c r="F33" s="578">
        <v>13152.11</v>
      </c>
      <c r="G33" s="578">
        <v>561156.86</v>
      </c>
      <c r="H33" s="578">
        <v>590000.31999999995</v>
      </c>
      <c r="I33" s="555">
        <v>1.2</v>
      </c>
      <c r="J33" s="625">
        <f t="shared" si="0"/>
        <v>708000.38</v>
      </c>
      <c r="K33" s="580">
        <v>0</v>
      </c>
      <c r="L33" s="581">
        <v>1.2</v>
      </c>
      <c r="M33" s="580">
        <f t="shared" ref="M33" si="3">ROUND(K33*L33,2)</f>
        <v>0</v>
      </c>
    </row>
    <row r="34" spans="1:13" ht="30" customHeight="1" x14ac:dyDescent="0.25">
      <c r="A34" s="548">
        <v>23</v>
      </c>
      <c r="B34" s="550" t="s">
        <v>1056</v>
      </c>
      <c r="C34" s="600" t="s">
        <v>1057</v>
      </c>
      <c r="D34" s="578">
        <v>4080049.34</v>
      </c>
      <c r="E34" s="578">
        <v>334564.05</v>
      </c>
      <c r="F34" s="578">
        <v>105950.72</v>
      </c>
      <c r="G34" s="578">
        <v>4520564.1100000003</v>
      </c>
      <c r="H34" s="579">
        <v>4752921.1100000003</v>
      </c>
      <c r="I34" s="555">
        <v>1.2</v>
      </c>
      <c r="J34" s="625">
        <f>ROUND(H34*I34,2)</f>
        <v>5703505.3300000001</v>
      </c>
      <c r="K34" s="580">
        <v>0</v>
      </c>
      <c r="L34" s="581">
        <v>1.2</v>
      </c>
      <c r="M34" s="580">
        <f>ROUND(K34*L34,2)</f>
        <v>0</v>
      </c>
    </row>
    <row r="35" spans="1:13" ht="30" customHeight="1" x14ac:dyDescent="0.25">
      <c r="A35" s="548">
        <v>24</v>
      </c>
      <c r="B35" s="550" t="s">
        <v>1058</v>
      </c>
      <c r="C35" s="600" t="s">
        <v>1059</v>
      </c>
      <c r="D35" s="578">
        <v>41302.080000000002</v>
      </c>
      <c r="E35" s="578">
        <v>3386.77</v>
      </c>
      <c r="F35" s="578">
        <v>1072.53</v>
      </c>
      <c r="G35" s="578">
        <v>45761.38</v>
      </c>
      <c r="H35" s="579">
        <v>48113.51</v>
      </c>
      <c r="I35" s="555">
        <v>1.2</v>
      </c>
      <c r="J35" s="625">
        <f>ROUND(H35*I35,2)</f>
        <v>57736.21</v>
      </c>
      <c r="K35" s="580">
        <v>0</v>
      </c>
      <c r="L35" s="581">
        <v>1.2</v>
      </c>
      <c r="M35" s="580">
        <f>ROUND(K35*L35,2)</f>
        <v>0</v>
      </c>
    </row>
    <row r="36" spans="1:13" ht="30" customHeight="1" x14ac:dyDescent="0.25">
      <c r="A36" s="548">
        <v>25</v>
      </c>
      <c r="B36" s="550" t="s">
        <v>1060</v>
      </c>
      <c r="C36" s="599" t="s">
        <v>1061</v>
      </c>
      <c r="D36" s="578">
        <v>214268.6</v>
      </c>
      <c r="E36" s="578">
        <v>17570.03</v>
      </c>
      <c r="F36" s="578">
        <v>5564.13</v>
      </c>
      <c r="G36" s="578">
        <v>237402.76</v>
      </c>
      <c r="H36" s="578">
        <v>249605.26</v>
      </c>
      <c r="I36" s="555">
        <v>1.2</v>
      </c>
      <c r="J36" s="625">
        <f>ROUND(H36*I36,2)</f>
        <v>299526.31</v>
      </c>
      <c r="K36" s="580">
        <v>0</v>
      </c>
      <c r="L36" s="581">
        <v>1.2</v>
      </c>
      <c r="M36" s="580">
        <f>ROUND(K36*L36,2)</f>
        <v>0</v>
      </c>
    </row>
    <row r="37" spans="1:13" ht="30" customHeight="1" x14ac:dyDescent="0.25">
      <c r="A37" s="548">
        <v>26</v>
      </c>
      <c r="B37" s="550" t="s">
        <v>1062</v>
      </c>
      <c r="C37" s="599" t="s">
        <v>1063</v>
      </c>
      <c r="D37" s="578">
        <v>1459742.56</v>
      </c>
      <c r="E37" s="578">
        <v>119698.89</v>
      </c>
      <c r="F37" s="578">
        <v>37906.589999999997</v>
      </c>
      <c r="G37" s="578">
        <v>1617348.04</v>
      </c>
      <c r="H37" s="578">
        <v>1700479.73</v>
      </c>
      <c r="I37" s="555">
        <v>1.2</v>
      </c>
      <c r="J37" s="625">
        <f t="shared" si="0"/>
        <v>2040575.68</v>
      </c>
      <c r="K37" s="580">
        <v>0</v>
      </c>
      <c r="L37" s="581">
        <v>1.2</v>
      </c>
      <c r="M37" s="580">
        <f t="shared" ref="M37" si="4">ROUND(K37*L37,2)</f>
        <v>0</v>
      </c>
    </row>
    <row r="38" spans="1:13" ht="30" customHeight="1" x14ac:dyDescent="0.25">
      <c r="A38" s="548">
        <v>27</v>
      </c>
      <c r="B38" s="550" t="s">
        <v>1064</v>
      </c>
      <c r="C38" s="599" t="s">
        <v>1065</v>
      </c>
      <c r="D38" s="578">
        <v>398178.78</v>
      </c>
      <c r="E38" s="578">
        <v>32650.66</v>
      </c>
      <c r="F38" s="578">
        <v>10339.91</v>
      </c>
      <c r="G38" s="578">
        <v>441169.35</v>
      </c>
      <c r="H38" s="579">
        <v>463845.45</v>
      </c>
      <c r="I38" s="555">
        <v>1.2</v>
      </c>
      <c r="J38" s="625">
        <f>ROUND(H38*I38,2)</f>
        <v>556614.54</v>
      </c>
      <c r="K38" s="580">
        <v>0</v>
      </c>
      <c r="L38" s="581">
        <v>1.2</v>
      </c>
      <c r="M38" s="580">
        <f>ROUND(K38*L38,2)</f>
        <v>0</v>
      </c>
    </row>
    <row r="39" spans="1:13" ht="30" customHeight="1" x14ac:dyDescent="0.25">
      <c r="A39" s="548">
        <v>28</v>
      </c>
      <c r="B39" s="550" t="s">
        <v>1033</v>
      </c>
      <c r="C39" s="600" t="s">
        <v>1066</v>
      </c>
      <c r="D39" s="578">
        <v>563754.73</v>
      </c>
      <c r="E39" s="578">
        <v>46227.89</v>
      </c>
      <c r="F39" s="578">
        <v>14639.58</v>
      </c>
      <c r="G39" s="578">
        <v>624622.19999999995</v>
      </c>
      <c r="H39" s="579">
        <v>656727.78</v>
      </c>
      <c r="I39" s="555">
        <v>1.2</v>
      </c>
      <c r="J39" s="625">
        <f t="shared" si="0"/>
        <v>788073.34</v>
      </c>
      <c r="K39" s="580">
        <v>0</v>
      </c>
      <c r="L39" s="581">
        <v>1.2</v>
      </c>
      <c r="M39" s="580">
        <f t="shared" ref="M39:M40" si="5">ROUND(K39*L39,2)</f>
        <v>0</v>
      </c>
    </row>
    <row r="40" spans="1:13" ht="30" customHeight="1" thickBot="1" x14ac:dyDescent="0.3">
      <c r="A40" s="601">
        <v>29</v>
      </c>
      <c r="B40" s="550" t="s">
        <v>1067</v>
      </c>
      <c r="C40" s="599" t="s">
        <v>1068</v>
      </c>
      <c r="D40" s="578">
        <v>815232.37</v>
      </c>
      <c r="E40" s="578">
        <v>66849.05</v>
      </c>
      <c r="F40" s="578">
        <v>21169.95</v>
      </c>
      <c r="G40" s="578">
        <v>903251.37</v>
      </c>
      <c r="H40" s="579">
        <v>949678.49</v>
      </c>
      <c r="I40" s="555">
        <v>1.2</v>
      </c>
      <c r="J40" s="625">
        <f t="shared" si="0"/>
        <v>1139614.19</v>
      </c>
      <c r="K40" s="580">
        <v>0</v>
      </c>
      <c r="L40" s="581">
        <v>1.2</v>
      </c>
      <c r="M40" s="580">
        <f t="shared" si="5"/>
        <v>0</v>
      </c>
    </row>
    <row r="41" spans="1:13" ht="0.75" customHeight="1" thickTop="1" thickBot="1" x14ac:dyDescent="0.3">
      <c r="A41" s="602"/>
      <c r="B41" s="603"/>
      <c r="C41" s="604"/>
      <c r="D41" s="605"/>
      <c r="E41" s="605"/>
      <c r="F41" s="605"/>
      <c r="G41" s="605"/>
      <c r="H41" s="605"/>
      <c r="I41" s="606"/>
      <c r="J41" s="607"/>
      <c r="K41" s="608"/>
      <c r="L41" s="609"/>
      <c r="M41" s="610"/>
    </row>
    <row r="42" spans="1:13" ht="24" customHeight="1" thickTop="1" x14ac:dyDescent="0.25">
      <c r="A42" s="611"/>
      <c r="B42" s="612" t="s">
        <v>1009</v>
      </c>
      <c r="C42" s="611"/>
      <c r="D42" s="613">
        <f>SUM(D12:D40)</f>
        <v>136914371.95999998</v>
      </c>
      <c r="E42" s="613">
        <f>SUM(E12:E40)</f>
        <v>11205933.490000002</v>
      </c>
      <c r="F42" s="613">
        <f>SUM(F12:F40)</f>
        <v>3548727.7900000005</v>
      </c>
      <c r="G42" s="613">
        <f>SUM(G12:G40)</f>
        <v>151669033.24000001</v>
      </c>
      <c r="H42" s="613">
        <f>SUM(H12:H40)-0.02</f>
        <v>159464821.52999997</v>
      </c>
      <c r="I42" s="613"/>
      <c r="J42" s="618">
        <f>SUM(J12:J40)</f>
        <v>191357785.84</v>
      </c>
      <c r="K42" s="614">
        <f>SUM(K12:K40)</f>
        <v>125617.70775399999</v>
      </c>
      <c r="L42" s="614"/>
      <c r="M42" s="618">
        <f>SUM(M12:M40)</f>
        <v>150741.25</v>
      </c>
    </row>
    <row r="43" spans="1:13" x14ac:dyDescent="0.25">
      <c r="H43" s="561"/>
    </row>
    <row r="44" spans="1:13" ht="30" customHeight="1" x14ac:dyDescent="0.25">
      <c r="A44" s="548">
        <v>30</v>
      </c>
      <c r="B44" s="550">
        <v>2</v>
      </c>
      <c r="C44" s="600" t="s">
        <v>1069</v>
      </c>
      <c r="D44" s="578">
        <f>'[11]кс-2 послеосадоч.ремонт'!$O$78</f>
        <v>1705481.22</v>
      </c>
      <c r="E44" s="578">
        <f>'[11]кс-2 послеосадоч.ремонт'!$O$89</f>
        <v>139849.46</v>
      </c>
      <c r="F44" s="578">
        <f>'[11]кс-2 послеосадоч.ремонт'!$O$91</f>
        <v>44287.94</v>
      </c>
      <c r="G44" s="578">
        <f>'[11]кс-2 послеосадоч.ремонт'!$O$92</f>
        <v>1889618.62</v>
      </c>
      <c r="H44" s="579">
        <f>'[11]кс-2 послеосадоч.ремонт'!$O$94</f>
        <v>1986745.02</v>
      </c>
      <c r="I44" s="555">
        <v>1.2</v>
      </c>
      <c r="J44" s="619">
        <f t="shared" ref="J44" si="6">ROUND(H44*I44,2)</f>
        <v>2384094.02</v>
      </c>
      <c r="K44" s="580">
        <v>0</v>
      </c>
      <c r="L44" s="581">
        <v>1.2</v>
      </c>
      <c r="M44" s="580">
        <f t="shared" ref="M44" si="7">ROUND(K44*L44,2)</f>
        <v>0</v>
      </c>
    </row>
    <row r="45" spans="1:13" x14ac:dyDescent="0.25">
      <c r="F45" s="562"/>
      <c r="G45" s="562"/>
      <c r="H45" s="615"/>
      <c r="J45" s="561"/>
      <c r="K45" s="615"/>
      <c r="M45" s="561"/>
    </row>
    <row r="46" spans="1:13" x14ac:dyDescent="0.25">
      <c r="F46" s="562"/>
      <c r="J46" s="561"/>
      <c r="M46" s="561"/>
    </row>
    <row r="47" spans="1:13" x14ac:dyDescent="0.25">
      <c r="C47" s="560" t="s">
        <v>1070</v>
      </c>
      <c r="K47" s="561"/>
    </row>
    <row r="48" spans="1:13" ht="30" customHeight="1" x14ac:dyDescent="0.25">
      <c r="A48" s="576">
        <v>1</v>
      </c>
      <c r="B48" s="550" t="s">
        <v>1021</v>
      </c>
      <c r="C48" s="577" t="s">
        <v>986</v>
      </c>
      <c r="D48" s="578">
        <v>27807194.73</v>
      </c>
      <c r="E48" s="578">
        <v>2280189.9700000002</v>
      </c>
      <c r="F48" s="578">
        <v>722097.23</v>
      </c>
      <c r="G48" s="578">
        <v>30809481.93</v>
      </c>
      <c r="H48" s="579">
        <v>32393089.300000001</v>
      </c>
      <c r="I48" s="555">
        <v>1.2</v>
      </c>
      <c r="J48" s="579">
        <f>ROUND(H48*I48,2)</f>
        <v>38871707.159999996</v>
      </c>
      <c r="K48" s="580">
        <v>688008.59</v>
      </c>
      <c r="L48" s="581">
        <v>1.2</v>
      </c>
      <c r="M48" s="620">
        <f>ROUND(K48*L48,2)</f>
        <v>825610.31</v>
      </c>
    </row>
    <row r="50" spans="1:13" x14ac:dyDescent="0.25">
      <c r="J50" s="615"/>
      <c r="M50" s="615"/>
    </row>
    <row r="52" spans="1:13" ht="60" x14ac:dyDescent="0.25">
      <c r="A52" s="548" t="s">
        <v>55</v>
      </c>
      <c r="B52" s="548" t="s">
        <v>972</v>
      </c>
      <c r="C52" s="548" t="s">
        <v>973</v>
      </c>
      <c r="D52" s="548" t="s">
        <v>974</v>
      </c>
      <c r="E52" s="548" t="s">
        <v>975</v>
      </c>
      <c r="F52" s="548" t="s">
        <v>976</v>
      </c>
      <c r="G52" s="548" t="s">
        <v>977</v>
      </c>
      <c r="H52" s="549" t="s">
        <v>978</v>
      </c>
      <c r="I52" s="548" t="s">
        <v>979</v>
      </c>
      <c r="J52" s="549" t="s">
        <v>980</v>
      </c>
    </row>
    <row r="53" spans="1:13" ht="30" x14ac:dyDescent="0.25">
      <c r="A53" s="550">
        <v>1</v>
      </c>
      <c r="B53" s="551" t="s">
        <v>981</v>
      </c>
      <c r="C53" s="552" t="s">
        <v>982</v>
      </c>
      <c r="D53" s="553">
        <v>47118689.25</v>
      </c>
      <c r="E53" s="554">
        <v>3863732.52</v>
      </c>
      <c r="F53" s="554">
        <v>1223578.1200000001</v>
      </c>
      <c r="G53" s="554">
        <v>52205999.890000001</v>
      </c>
      <c r="H53" s="554">
        <v>54889388.289999999</v>
      </c>
      <c r="I53" s="555">
        <v>1.2</v>
      </c>
      <c r="J53" s="622">
        <f>ROUND(H53*I53,2)</f>
        <v>65867265.950000003</v>
      </c>
    </row>
    <row r="54" spans="1:13" ht="30" x14ac:dyDescent="0.25">
      <c r="A54" s="550">
        <v>2</v>
      </c>
      <c r="B54" s="551" t="s">
        <v>983</v>
      </c>
      <c r="C54" s="552" t="s">
        <v>984</v>
      </c>
      <c r="D54" s="553">
        <v>39281459.539999999</v>
      </c>
      <c r="E54" s="554">
        <v>3221079.68</v>
      </c>
      <c r="F54" s="554">
        <v>1020060.94</v>
      </c>
      <c r="G54" s="554">
        <v>43522600.159999996</v>
      </c>
      <c r="H54" s="554">
        <v>45759661.810000002</v>
      </c>
      <c r="I54" s="555">
        <v>1.2</v>
      </c>
      <c r="J54" s="622">
        <f t="shared" ref="J54:J66" si="8">ROUND(H54*I54,2)</f>
        <v>54911594.170000002</v>
      </c>
    </row>
    <row r="55" spans="1:13" x14ac:dyDescent="0.25">
      <c r="A55" s="550">
        <v>3</v>
      </c>
      <c r="B55" s="557" t="s">
        <v>985</v>
      </c>
      <c r="C55" s="552" t="s">
        <v>986</v>
      </c>
      <c r="D55" s="553">
        <v>142510715.22</v>
      </c>
      <c r="E55" s="554">
        <v>11685878.65</v>
      </c>
      <c r="F55" s="554">
        <v>3700718.26</v>
      </c>
      <c r="G55" s="554">
        <v>157897312.13</v>
      </c>
      <c r="H55" s="554">
        <v>166013233.97999999</v>
      </c>
      <c r="I55" s="555">
        <v>1.2</v>
      </c>
      <c r="J55" s="624">
        <f t="shared" si="8"/>
        <v>199215880.78</v>
      </c>
    </row>
    <row r="56" spans="1:13" x14ac:dyDescent="0.25">
      <c r="A56" s="550">
        <v>4</v>
      </c>
      <c r="B56" s="551" t="s">
        <v>987</v>
      </c>
      <c r="C56" s="552" t="s">
        <v>988</v>
      </c>
      <c r="D56" s="558">
        <v>1644504.42</v>
      </c>
      <c r="E56" s="559">
        <v>134849.35999999999</v>
      </c>
      <c r="F56" s="559">
        <v>42704.49</v>
      </c>
      <c r="G56" s="559">
        <v>1822058.27</v>
      </c>
      <c r="H56" s="559">
        <v>1915712.07</v>
      </c>
      <c r="I56" s="555">
        <v>1.2</v>
      </c>
      <c r="J56" s="624">
        <f t="shared" si="8"/>
        <v>2298854.48</v>
      </c>
    </row>
    <row r="57" spans="1:13" x14ac:dyDescent="0.25">
      <c r="A57" s="550">
        <v>5</v>
      </c>
      <c r="B57" s="551" t="s">
        <v>989</v>
      </c>
      <c r="C57" s="552" t="s">
        <v>990</v>
      </c>
      <c r="D57" s="558">
        <v>7708019.79</v>
      </c>
      <c r="E57" s="559">
        <v>632057.62</v>
      </c>
      <c r="F57" s="559">
        <v>200161.86</v>
      </c>
      <c r="G57" s="559">
        <v>8540239.2699999996</v>
      </c>
      <c r="H57" s="559">
        <v>8979207.5700000003</v>
      </c>
      <c r="I57" s="555">
        <v>1.2</v>
      </c>
      <c r="J57" s="624">
        <f t="shared" si="8"/>
        <v>10775049.08</v>
      </c>
    </row>
    <row r="58" spans="1:13" x14ac:dyDescent="0.25">
      <c r="A58" s="550">
        <v>6</v>
      </c>
      <c r="B58" s="551" t="s">
        <v>991</v>
      </c>
      <c r="C58" s="552" t="s">
        <v>992</v>
      </c>
      <c r="D58" s="558">
        <v>1177977.71</v>
      </c>
      <c r="E58" s="559">
        <v>96594.17</v>
      </c>
      <c r="F58" s="559">
        <v>30589.73</v>
      </c>
      <c r="G58" s="559">
        <v>1305161.6100000001</v>
      </c>
      <c r="H58" s="559">
        <v>1372246.92</v>
      </c>
      <c r="I58" s="555">
        <v>1.2</v>
      </c>
      <c r="J58" s="556">
        <f t="shared" si="8"/>
        <v>1646696.3</v>
      </c>
    </row>
    <row r="59" spans="1:13" ht="30" x14ac:dyDescent="0.25">
      <c r="A59" s="550">
        <v>7</v>
      </c>
      <c r="B59" s="551" t="s">
        <v>993</v>
      </c>
      <c r="C59" s="552" t="s">
        <v>994</v>
      </c>
      <c r="D59" s="558">
        <v>1164136.06</v>
      </c>
      <c r="E59" s="559">
        <v>95459.16</v>
      </c>
      <c r="F59" s="559">
        <v>30230.29</v>
      </c>
      <c r="G59" s="559">
        <v>1289825.51</v>
      </c>
      <c r="H59" s="559">
        <v>1356122.54</v>
      </c>
      <c r="I59" s="555">
        <v>1.2</v>
      </c>
      <c r="J59" s="624">
        <f t="shared" si="8"/>
        <v>1627347.05</v>
      </c>
    </row>
    <row r="60" spans="1:13" x14ac:dyDescent="0.25">
      <c r="A60" s="550">
        <v>8</v>
      </c>
      <c r="B60" s="551" t="s">
        <v>995</v>
      </c>
      <c r="C60" s="552" t="s">
        <v>996</v>
      </c>
      <c r="D60" s="558">
        <v>866585.5</v>
      </c>
      <c r="E60" s="559">
        <v>71060.009999999995</v>
      </c>
      <c r="F60" s="559">
        <v>22503.49</v>
      </c>
      <c r="G60" s="559">
        <v>960149</v>
      </c>
      <c r="H60" s="559">
        <v>1009500.66</v>
      </c>
      <c r="I60" s="555">
        <v>1.2</v>
      </c>
      <c r="J60" s="624">
        <f t="shared" si="8"/>
        <v>1211400.79</v>
      </c>
    </row>
    <row r="61" spans="1:13" x14ac:dyDescent="0.25">
      <c r="A61" s="550">
        <v>9</v>
      </c>
      <c r="B61" s="551" t="s">
        <v>997</v>
      </c>
      <c r="C61" s="552" t="s">
        <v>998</v>
      </c>
      <c r="D61" s="558">
        <v>10963448.359999999</v>
      </c>
      <c r="E61" s="559">
        <v>899002.77</v>
      </c>
      <c r="F61" s="559">
        <v>284698.83</v>
      </c>
      <c r="G61" s="559">
        <v>12147149.960000001</v>
      </c>
      <c r="H61" s="559">
        <v>12771513.470000001</v>
      </c>
      <c r="I61" s="555">
        <v>1.2</v>
      </c>
      <c r="J61" s="624">
        <f t="shared" si="8"/>
        <v>15325816.16</v>
      </c>
    </row>
    <row r="62" spans="1:13" x14ac:dyDescent="0.25">
      <c r="A62" s="550">
        <v>10</v>
      </c>
      <c r="B62" s="551" t="s">
        <v>999</v>
      </c>
      <c r="C62" s="552" t="s">
        <v>1000</v>
      </c>
      <c r="D62" s="558">
        <v>3752233.29</v>
      </c>
      <c r="E62" s="559">
        <v>307683.13</v>
      </c>
      <c r="F62" s="559">
        <v>97437.99</v>
      </c>
      <c r="G62" s="559">
        <v>4157354.41</v>
      </c>
      <c r="H62" s="559">
        <v>4371042.43</v>
      </c>
      <c r="I62" s="555">
        <v>1.2</v>
      </c>
      <c r="J62" s="622">
        <f t="shared" si="8"/>
        <v>5245250.92</v>
      </c>
    </row>
    <row r="63" spans="1:13" x14ac:dyDescent="0.25">
      <c r="A63" s="550">
        <v>11</v>
      </c>
      <c r="B63" s="551" t="s">
        <v>1001</v>
      </c>
      <c r="C63" s="552" t="s">
        <v>1002</v>
      </c>
      <c r="D63" s="558">
        <v>361611.41</v>
      </c>
      <c r="E63" s="559">
        <v>29652.14</v>
      </c>
      <c r="F63" s="559">
        <v>9390.33</v>
      </c>
      <c r="G63" s="559">
        <v>400653.88</v>
      </c>
      <c r="H63" s="559">
        <v>421247.49</v>
      </c>
      <c r="I63" s="555">
        <v>1.2</v>
      </c>
      <c r="J63" s="624">
        <f t="shared" si="8"/>
        <v>505496.99</v>
      </c>
    </row>
    <row r="64" spans="1:13" x14ac:dyDescent="0.25">
      <c r="A64" s="550">
        <v>12</v>
      </c>
      <c r="B64" s="551" t="s">
        <v>1003</v>
      </c>
      <c r="C64" s="552" t="s">
        <v>1004</v>
      </c>
      <c r="D64" s="558">
        <v>241726.59</v>
      </c>
      <c r="E64" s="559">
        <v>19821.580000000002</v>
      </c>
      <c r="F64" s="559">
        <v>6277.16</v>
      </c>
      <c r="G64" s="559">
        <v>267825.33</v>
      </c>
      <c r="H64" s="559">
        <v>281591.55</v>
      </c>
      <c r="I64" s="555">
        <v>1.2</v>
      </c>
      <c r="J64" s="624">
        <f t="shared" si="8"/>
        <v>337909.86</v>
      </c>
    </row>
    <row r="65" spans="1:11" x14ac:dyDescent="0.25">
      <c r="A65" s="550">
        <v>13</v>
      </c>
      <c r="B65" s="551" t="s">
        <v>1005</v>
      </c>
      <c r="C65" s="552" t="s">
        <v>1006</v>
      </c>
      <c r="D65" s="558">
        <v>2571608.66</v>
      </c>
      <c r="E65" s="559">
        <v>210871.91</v>
      </c>
      <c r="F65" s="559">
        <v>66779.53</v>
      </c>
      <c r="G65" s="559">
        <v>2849260.1</v>
      </c>
      <c r="H65" s="559">
        <v>2995712.07</v>
      </c>
      <c r="I65" s="555">
        <v>1.2</v>
      </c>
      <c r="J65" s="624">
        <f t="shared" si="8"/>
        <v>3594854.48</v>
      </c>
    </row>
    <row r="66" spans="1:11" x14ac:dyDescent="0.25">
      <c r="A66" s="550">
        <v>14</v>
      </c>
      <c r="B66" s="551" t="s">
        <v>1007</v>
      </c>
      <c r="C66" s="552" t="s">
        <v>1008</v>
      </c>
      <c r="D66" s="558">
        <v>402278.26</v>
      </c>
      <c r="E66" s="559">
        <v>32986.82</v>
      </c>
      <c r="F66" s="559">
        <v>10446.36</v>
      </c>
      <c r="G66" s="559">
        <v>445711.44</v>
      </c>
      <c r="H66" s="559">
        <v>468621.01</v>
      </c>
      <c r="I66" s="555">
        <v>1.2</v>
      </c>
      <c r="J66" s="624">
        <f t="shared" si="8"/>
        <v>562345.21</v>
      </c>
    </row>
    <row r="67" spans="1:11" x14ac:dyDescent="0.25">
      <c r="A67" s="550"/>
      <c r="B67" s="551"/>
      <c r="C67" s="552"/>
      <c r="D67" s="559"/>
      <c r="E67" s="559"/>
      <c r="F67" s="559"/>
      <c r="G67" s="559"/>
      <c r="H67" s="559"/>
      <c r="I67" s="555"/>
      <c r="J67" s="556"/>
    </row>
    <row r="68" spans="1:11" x14ac:dyDescent="0.25">
      <c r="A68" s="563"/>
      <c r="B68" s="564" t="s">
        <v>1009</v>
      </c>
      <c r="C68" s="563"/>
      <c r="D68" s="565">
        <f t="shared" ref="D68:J68" si="9">SUM(D53:D67)</f>
        <v>259764994.05999994</v>
      </c>
      <c r="E68" s="565">
        <f t="shared" si="9"/>
        <v>21300729.520000003</v>
      </c>
      <c r="F68" s="565">
        <f t="shared" si="9"/>
        <v>6745577.3800000027</v>
      </c>
      <c r="G68" s="565">
        <f t="shared" si="9"/>
        <v>287811300.96000004</v>
      </c>
      <c r="H68" s="565">
        <f t="shared" si="9"/>
        <v>302604801.86000007</v>
      </c>
      <c r="I68" s="565"/>
      <c r="J68" s="617">
        <f t="shared" si="9"/>
        <v>363125762.22000009</v>
      </c>
    </row>
    <row r="70" spans="1:11" x14ac:dyDescent="0.25">
      <c r="K70" s="616">
        <v>557843993.65999997</v>
      </c>
    </row>
    <row r="72" spans="1:11" x14ac:dyDescent="0.25">
      <c r="K72" s="623">
        <f>K70-J53-J54-J62</f>
        <v>431819882.61999995</v>
      </c>
    </row>
    <row r="80" spans="1:11" x14ac:dyDescent="0.25">
      <c r="J80" s="561">
        <f>SUM(J12:J40)</f>
        <v>191357785.84</v>
      </c>
    </row>
    <row r="81" spans="10:11" x14ac:dyDescent="0.25">
      <c r="J81" s="561">
        <f>J55+J56+J57+J59+J60+J61+J63+J64+J65+J66-M48-M42</f>
        <v>234478603.32000002</v>
      </c>
    </row>
    <row r="82" spans="10:11" x14ac:dyDescent="0.25">
      <c r="J82" s="561">
        <f>J48+J81</f>
        <v>273350310.48000002</v>
      </c>
    </row>
    <row r="93" spans="10:11" x14ac:dyDescent="0.25">
      <c r="J93" s="772" t="s">
        <v>566</v>
      </c>
      <c r="K93" s="773">
        <v>66.22</v>
      </c>
    </row>
    <row r="94" spans="10:11" x14ac:dyDescent="0.25">
      <c r="J94" s="772" t="s">
        <v>1238</v>
      </c>
      <c r="K94" s="774">
        <f>K93*0.082+K93</f>
        <v>71.650040000000004</v>
      </c>
    </row>
    <row r="95" spans="10:11" x14ac:dyDescent="0.25">
      <c r="J95" s="772" t="s">
        <v>1239</v>
      </c>
      <c r="K95" s="774">
        <f>K94*0.024+K94</f>
        <v>73.369640959999998</v>
      </c>
    </row>
    <row r="96" spans="10:11" x14ac:dyDescent="0.25">
      <c r="J96" s="772" t="s">
        <v>1240</v>
      </c>
      <c r="K96" s="774">
        <f>K95*1.05136042</f>
        <v>77.137936534954804</v>
      </c>
    </row>
    <row r="97" spans="10:11" x14ac:dyDescent="0.25">
      <c r="J97" s="772" t="s">
        <v>1241</v>
      </c>
      <c r="K97" s="774">
        <f>K96*0.2</f>
        <v>15.427587306990961</v>
      </c>
    </row>
    <row r="98" spans="10:11" x14ac:dyDescent="0.25">
      <c r="J98" s="775" t="s">
        <v>1242</v>
      </c>
      <c r="K98" s="776">
        <f>K96+K97</f>
        <v>92.565523841945762</v>
      </c>
    </row>
  </sheetData>
  <mergeCells count="9">
    <mergeCell ref="A8:J8"/>
    <mergeCell ref="H10:J10"/>
    <mergeCell ref="K10:M10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4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149F3-053A-4ADB-9AE4-CDD3181D0469}">
  <sheetPr>
    <tabColor rgb="FFFFFF00"/>
  </sheetPr>
  <dimension ref="A1:N90"/>
  <sheetViews>
    <sheetView view="pageBreakPreview" topLeftCell="A52" zoomScale="85" zoomScaleNormal="100" zoomScaleSheetLayoutView="85" workbookViewId="0">
      <selection activeCell="N20" sqref="N20"/>
    </sheetView>
  </sheetViews>
  <sheetFormatPr defaultColWidth="8.85546875" defaultRowHeight="15" x14ac:dyDescent="0.25"/>
  <cols>
    <col min="1" max="1" width="8.85546875" style="6"/>
    <col min="2" max="2" width="65.140625" style="6" customWidth="1"/>
    <col min="3" max="3" width="9.28515625" style="6" customWidth="1"/>
    <col min="4" max="4" width="11" style="6" bestFit="1" customWidth="1"/>
    <col min="5" max="5" width="15.140625" style="6" customWidth="1"/>
    <col min="6" max="6" width="16" style="6" customWidth="1"/>
    <col min="7" max="7" width="17.140625" style="87" customWidth="1"/>
    <col min="8" max="8" width="16.140625" style="87" customWidth="1"/>
    <col min="9" max="12" width="16.140625" style="6" customWidth="1"/>
    <col min="13" max="13" width="26" style="6" customWidth="1"/>
    <col min="14" max="14" width="27.28515625" style="6" customWidth="1"/>
    <col min="15" max="16384" width="8.85546875" style="6"/>
  </cols>
  <sheetData>
    <row r="1" spans="1:13" ht="14.45" customHeight="1" x14ac:dyDescent="0.25">
      <c r="A1" s="883" t="s">
        <v>26</v>
      </c>
      <c r="B1" s="886" t="s">
        <v>57</v>
      </c>
      <c r="C1" s="889" t="s">
        <v>58</v>
      </c>
      <c r="D1" s="889" t="s">
        <v>59</v>
      </c>
      <c r="E1" s="890" t="s">
        <v>60</v>
      </c>
      <c r="F1" s="891"/>
      <c r="G1" s="891"/>
      <c r="H1" s="891"/>
      <c r="I1" s="891"/>
      <c r="J1" s="891"/>
      <c r="K1" s="891"/>
      <c r="L1" s="891"/>
    </row>
    <row r="2" spans="1:13" ht="14.45" customHeight="1" x14ac:dyDescent="0.25">
      <c r="A2" s="884"/>
      <c r="B2" s="887"/>
      <c r="C2" s="889"/>
      <c r="D2" s="889"/>
      <c r="E2" s="892"/>
      <c r="F2" s="893"/>
      <c r="G2" s="893"/>
      <c r="H2" s="893"/>
      <c r="I2" s="893"/>
      <c r="J2" s="893"/>
      <c r="K2" s="893"/>
      <c r="L2" s="893"/>
    </row>
    <row r="3" spans="1:13" ht="27.75" customHeight="1" x14ac:dyDescent="0.25">
      <c r="A3" s="884"/>
      <c r="B3" s="887"/>
      <c r="C3" s="889"/>
      <c r="D3" s="889"/>
      <c r="E3" s="889" t="s">
        <v>61</v>
      </c>
      <c r="F3" s="889"/>
      <c r="G3" s="889"/>
      <c r="H3" s="889" t="s">
        <v>62</v>
      </c>
      <c r="I3" s="889"/>
      <c r="J3" s="889"/>
      <c r="K3" s="894" t="s">
        <v>63</v>
      </c>
      <c r="L3" s="894"/>
    </row>
    <row r="4" spans="1:13" ht="56.1" customHeight="1" x14ac:dyDescent="0.25">
      <c r="A4" s="885"/>
      <c r="B4" s="888"/>
      <c r="C4" s="889"/>
      <c r="D4" s="889"/>
      <c r="E4" s="7" t="s">
        <v>64</v>
      </c>
      <c r="F4" s="7" t="s">
        <v>65</v>
      </c>
      <c r="G4" s="8" t="s">
        <v>66</v>
      </c>
      <c r="H4" s="7" t="s">
        <v>64</v>
      </c>
      <c r="I4" s="7" t="s">
        <v>65</v>
      </c>
      <c r="J4" s="8" t="s">
        <v>66</v>
      </c>
      <c r="K4" s="7" t="s">
        <v>67</v>
      </c>
      <c r="L4" s="7" t="s">
        <v>68</v>
      </c>
    </row>
    <row r="5" spans="1:13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6"/>
    </row>
    <row r="6" spans="1:13" ht="20.25" customHeight="1" x14ac:dyDescent="0.25">
      <c r="A6" s="11"/>
      <c r="B6" s="880" t="s">
        <v>469</v>
      </c>
      <c r="C6" s="881"/>
      <c r="D6" s="881"/>
      <c r="E6" s="12"/>
      <c r="F6" s="13"/>
      <c r="G6" s="14"/>
      <c r="H6" s="14"/>
      <c r="I6" s="14"/>
      <c r="J6" s="14"/>
      <c r="K6" s="14"/>
      <c r="L6" s="14"/>
      <c r="M6" s="162"/>
    </row>
    <row r="7" spans="1:13" ht="18" customHeight="1" x14ac:dyDescent="0.25">
      <c r="A7" s="108"/>
      <c r="B7" s="163" t="s">
        <v>470</v>
      </c>
      <c r="C7" s="164"/>
      <c r="D7" s="164"/>
      <c r="E7" s="165"/>
      <c r="F7" s="166"/>
      <c r="G7" s="166"/>
      <c r="H7" s="119"/>
      <c r="I7" s="117"/>
      <c r="J7" s="117"/>
      <c r="K7" s="165"/>
      <c r="L7" s="166"/>
    </row>
    <row r="8" spans="1:13" ht="17.25" customHeight="1" x14ac:dyDescent="0.25">
      <c r="A8" s="108"/>
      <c r="B8" s="193" t="s">
        <v>197</v>
      </c>
      <c r="C8" s="179"/>
      <c r="D8" s="194"/>
      <c r="E8" s="312"/>
      <c r="F8" s="166"/>
      <c r="G8" s="166"/>
      <c r="H8" s="182"/>
      <c r="I8" s="117"/>
      <c r="J8" s="117"/>
      <c r="K8" s="165"/>
      <c r="L8" s="117"/>
    </row>
    <row r="9" spans="1:13" ht="17.25" customHeight="1" x14ac:dyDescent="0.25">
      <c r="A9" s="17">
        <v>1</v>
      </c>
      <c r="B9" s="174" t="s">
        <v>471</v>
      </c>
      <c r="C9" s="175" t="s">
        <v>72</v>
      </c>
      <c r="D9" s="313">
        <v>371.15</v>
      </c>
      <c r="E9" s="176">
        <v>731.02499999999998</v>
      </c>
      <c r="F9" s="21">
        <f t="shared" ref="F9" si="0">ROUND(E9*D9,2)</f>
        <v>271319.93</v>
      </c>
      <c r="G9" s="21">
        <f t="shared" ref="G9" si="1">ROUND(F9*1.2,2)</f>
        <v>325583.92</v>
      </c>
      <c r="H9" s="22"/>
      <c r="I9" s="21"/>
      <c r="J9" s="21"/>
      <c r="K9" s="23">
        <f t="shared" ref="K9:L9" si="2">F9+I9</f>
        <v>271319.93</v>
      </c>
      <c r="L9" s="21">
        <f t="shared" si="2"/>
        <v>325583.92</v>
      </c>
    </row>
    <row r="10" spans="1:13" ht="17.25" customHeight="1" x14ac:dyDescent="0.25">
      <c r="A10" s="108"/>
      <c r="B10" s="314" t="s">
        <v>181</v>
      </c>
      <c r="C10" s="116"/>
      <c r="D10" s="315"/>
      <c r="E10" s="119"/>
      <c r="F10" s="166"/>
      <c r="G10" s="166"/>
      <c r="H10" s="182"/>
      <c r="I10" s="117"/>
      <c r="J10" s="117"/>
      <c r="K10" s="165"/>
      <c r="L10" s="117"/>
    </row>
    <row r="11" spans="1:13" ht="17.25" customHeight="1" x14ac:dyDescent="0.25">
      <c r="A11" s="17">
        <f>A9+1</f>
        <v>2</v>
      </c>
      <c r="B11" s="174" t="s">
        <v>472</v>
      </c>
      <c r="C11" s="175" t="s">
        <v>84</v>
      </c>
      <c r="D11" s="190">
        <v>40.020000000000003</v>
      </c>
      <c r="E11" s="23">
        <v>1688.1499999999999</v>
      </c>
      <c r="F11" s="21">
        <f t="shared" ref="F11:F22" si="3">ROUND(E11*D11,2)</f>
        <v>67559.759999999995</v>
      </c>
      <c r="G11" s="21">
        <f t="shared" ref="G11:G22" si="4">ROUND(F11*1.2,2)</f>
        <v>81071.710000000006</v>
      </c>
      <c r="H11" s="22"/>
      <c r="I11" s="21"/>
      <c r="J11" s="21"/>
      <c r="K11" s="23">
        <f t="shared" ref="K11:L22" si="5">F11+I11</f>
        <v>67559.759999999995</v>
      </c>
      <c r="L11" s="21">
        <f t="shared" si="5"/>
        <v>81071.710000000006</v>
      </c>
    </row>
    <row r="12" spans="1:13" ht="31.5" customHeight="1" x14ac:dyDescent="0.25">
      <c r="A12" s="17">
        <f>A11+1</f>
        <v>3</v>
      </c>
      <c r="B12" s="174" t="s">
        <v>473</v>
      </c>
      <c r="C12" s="175" t="s">
        <v>84</v>
      </c>
      <c r="D12" s="190">
        <v>1871.99</v>
      </c>
      <c r="E12" s="23">
        <v>308.75</v>
      </c>
      <c r="F12" s="21">
        <f t="shared" si="3"/>
        <v>577976.91</v>
      </c>
      <c r="G12" s="21">
        <f t="shared" si="4"/>
        <v>693572.29</v>
      </c>
      <c r="H12" s="22"/>
      <c r="I12" s="21"/>
      <c r="J12" s="21"/>
      <c r="K12" s="23">
        <f t="shared" si="5"/>
        <v>577976.91</v>
      </c>
      <c r="L12" s="21">
        <f t="shared" si="5"/>
        <v>693572.29</v>
      </c>
    </row>
    <row r="13" spans="1:13" ht="17.25" customHeight="1" x14ac:dyDescent="0.25">
      <c r="A13" s="17">
        <f t="shared" ref="A13:A14" si="6">A12+1</f>
        <v>4</v>
      </c>
      <c r="B13" s="174" t="s">
        <v>474</v>
      </c>
      <c r="C13" s="175" t="s">
        <v>84</v>
      </c>
      <c r="D13" s="197">
        <v>57.9</v>
      </c>
      <c r="E13" s="23">
        <v>1688.1499999999999</v>
      </c>
      <c r="F13" s="21">
        <f t="shared" si="3"/>
        <v>97743.89</v>
      </c>
      <c r="G13" s="21">
        <f t="shared" si="4"/>
        <v>117292.67</v>
      </c>
      <c r="H13" s="22"/>
      <c r="I13" s="21"/>
      <c r="J13" s="21"/>
      <c r="K13" s="23">
        <f t="shared" si="5"/>
        <v>97743.89</v>
      </c>
      <c r="L13" s="21">
        <f t="shared" si="5"/>
        <v>117292.67</v>
      </c>
    </row>
    <row r="14" spans="1:13" ht="17.25" customHeight="1" x14ac:dyDescent="0.25">
      <c r="A14" s="17">
        <f t="shared" si="6"/>
        <v>5</v>
      </c>
      <c r="B14" s="174" t="s">
        <v>475</v>
      </c>
      <c r="C14" s="175" t="s">
        <v>84</v>
      </c>
      <c r="D14" s="190">
        <v>28.69</v>
      </c>
      <c r="E14" s="23">
        <v>1310.05</v>
      </c>
      <c r="F14" s="21">
        <f t="shared" si="3"/>
        <v>37585.33</v>
      </c>
      <c r="G14" s="21">
        <f t="shared" si="4"/>
        <v>45102.400000000001</v>
      </c>
      <c r="H14" s="22"/>
      <c r="I14" s="21"/>
      <c r="J14" s="21"/>
      <c r="K14" s="23">
        <f t="shared" si="5"/>
        <v>37585.33</v>
      </c>
      <c r="L14" s="21">
        <f t="shared" si="5"/>
        <v>45102.400000000001</v>
      </c>
    </row>
    <row r="15" spans="1:13" ht="17.25" customHeight="1" x14ac:dyDescent="0.25">
      <c r="A15" s="188" t="s">
        <v>476</v>
      </c>
      <c r="B15" s="26" t="s">
        <v>160</v>
      </c>
      <c r="C15" s="27" t="s">
        <v>84</v>
      </c>
      <c r="D15" s="34">
        <f>D14*1.1</f>
        <v>31.559000000000005</v>
      </c>
      <c r="E15" s="29"/>
      <c r="F15" s="30"/>
      <c r="G15" s="30"/>
      <c r="H15" s="30">
        <v>1191.3</v>
      </c>
      <c r="I15" s="30">
        <f>ROUND(H15*D15,2)</f>
        <v>37596.239999999998</v>
      </c>
      <c r="J15" s="30">
        <f>ROUND(I15*1.2,2)</f>
        <v>45115.49</v>
      </c>
      <c r="K15" s="32">
        <f t="shared" si="5"/>
        <v>37596.239999999998</v>
      </c>
      <c r="L15" s="30">
        <f t="shared" si="5"/>
        <v>45115.49</v>
      </c>
      <c r="M15" s="64"/>
    </row>
    <row r="16" spans="1:13" ht="17.25" customHeight="1" x14ac:dyDescent="0.25">
      <c r="A16" s="17">
        <f>A14+1</f>
        <v>6</v>
      </c>
      <c r="B16" s="174" t="s">
        <v>477</v>
      </c>
      <c r="C16" s="175" t="s">
        <v>84</v>
      </c>
      <c r="D16" s="190">
        <v>204.71</v>
      </c>
      <c r="E16" s="23">
        <v>1310.05</v>
      </c>
      <c r="F16" s="21">
        <f t="shared" si="3"/>
        <v>268180.34000000003</v>
      </c>
      <c r="G16" s="21">
        <f t="shared" si="4"/>
        <v>321816.40999999997</v>
      </c>
      <c r="H16" s="22"/>
      <c r="I16" s="21"/>
      <c r="J16" s="21"/>
      <c r="K16" s="23">
        <f t="shared" si="5"/>
        <v>268180.34000000003</v>
      </c>
      <c r="L16" s="21">
        <f t="shared" si="5"/>
        <v>321816.40999999997</v>
      </c>
    </row>
    <row r="17" spans="1:14" ht="17.25" customHeight="1" x14ac:dyDescent="0.25">
      <c r="A17" s="188" t="s">
        <v>478</v>
      </c>
      <c r="B17" s="26" t="s">
        <v>160</v>
      </c>
      <c r="C17" s="27" t="s">
        <v>84</v>
      </c>
      <c r="D17" s="34">
        <f>D16*1.1</f>
        <v>225.18100000000004</v>
      </c>
      <c r="E17" s="29"/>
      <c r="F17" s="30"/>
      <c r="G17" s="30"/>
      <c r="H17" s="30">
        <v>1191.3</v>
      </c>
      <c r="I17" s="30">
        <f>ROUND(H17*D17,2)</f>
        <v>268258.13</v>
      </c>
      <c r="J17" s="30">
        <f>ROUND(I17*1.2,2)</f>
        <v>321909.76000000001</v>
      </c>
      <c r="K17" s="32">
        <f t="shared" si="5"/>
        <v>268258.13</v>
      </c>
      <c r="L17" s="30">
        <f t="shared" si="5"/>
        <v>321909.76000000001</v>
      </c>
      <c r="M17" s="64"/>
    </row>
    <row r="18" spans="1:14" ht="17.25" customHeight="1" x14ac:dyDescent="0.25">
      <c r="A18" s="17">
        <f>A16+1</f>
        <v>7</v>
      </c>
      <c r="B18" s="174" t="s">
        <v>479</v>
      </c>
      <c r="C18" s="175" t="s">
        <v>84</v>
      </c>
      <c r="D18" s="190">
        <v>1690.88</v>
      </c>
      <c r="E18" s="23">
        <v>118.75</v>
      </c>
      <c r="F18" s="21">
        <f t="shared" si="3"/>
        <v>200792</v>
      </c>
      <c r="G18" s="21">
        <f t="shared" si="4"/>
        <v>240950.39999999999</v>
      </c>
      <c r="H18" s="22"/>
      <c r="I18" s="21"/>
      <c r="J18" s="21"/>
      <c r="K18" s="23">
        <f t="shared" si="5"/>
        <v>200792</v>
      </c>
      <c r="L18" s="21">
        <f t="shared" si="5"/>
        <v>240950.39999999999</v>
      </c>
    </row>
    <row r="19" spans="1:14" ht="17.25" customHeight="1" x14ac:dyDescent="0.25">
      <c r="A19" s="17">
        <f>A18+1</f>
        <v>8</v>
      </c>
      <c r="B19" s="174" t="s">
        <v>86</v>
      </c>
      <c r="C19" s="175" t="s">
        <v>84</v>
      </c>
      <c r="D19" s="190">
        <v>35.159999999999997</v>
      </c>
      <c r="E19" s="23">
        <v>854.05</v>
      </c>
      <c r="F19" s="21">
        <f t="shared" si="3"/>
        <v>30028.400000000001</v>
      </c>
      <c r="G19" s="21">
        <f t="shared" si="4"/>
        <v>36034.080000000002</v>
      </c>
      <c r="H19" s="22"/>
      <c r="I19" s="21"/>
      <c r="J19" s="21"/>
      <c r="K19" s="23">
        <f t="shared" si="5"/>
        <v>30028.400000000001</v>
      </c>
      <c r="L19" s="21">
        <f t="shared" si="5"/>
        <v>36034.080000000002</v>
      </c>
    </row>
    <row r="20" spans="1:14" s="178" customFormat="1" ht="17.25" customHeight="1" x14ac:dyDescent="0.25">
      <c r="A20" s="153">
        <f>A19+1</f>
        <v>9</v>
      </c>
      <c r="B20" s="152" t="s">
        <v>480</v>
      </c>
      <c r="C20" s="153" t="s">
        <v>84</v>
      </c>
      <c r="D20" s="154">
        <v>1930.75</v>
      </c>
      <c r="E20" s="158">
        <v>188.1</v>
      </c>
      <c r="F20" s="157">
        <f t="shared" si="3"/>
        <v>363174.08</v>
      </c>
      <c r="G20" s="157">
        <f t="shared" si="4"/>
        <v>435808.9</v>
      </c>
      <c r="H20" s="158"/>
      <c r="I20" s="157"/>
      <c r="J20" s="157"/>
      <c r="K20" s="158">
        <f t="shared" si="5"/>
        <v>363174.08</v>
      </c>
      <c r="L20" s="157">
        <f t="shared" si="5"/>
        <v>435808.9</v>
      </c>
      <c r="M20" s="848" t="s">
        <v>1266</v>
      </c>
      <c r="N20" s="771">
        <f>L20*0.3</f>
        <v>130742.67</v>
      </c>
    </row>
    <row r="21" spans="1:14" ht="17.25" customHeight="1" x14ac:dyDescent="0.25">
      <c r="A21" s="108"/>
      <c r="B21" s="314" t="s">
        <v>134</v>
      </c>
      <c r="C21" s="116"/>
      <c r="D21" s="316"/>
      <c r="E21" s="119"/>
      <c r="F21" s="166"/>
      <c r="G21" s="166"/>
      <c r="H21" s="165"/>
      <c r="I21" s="117"/>
      <c r="J21" s="117"/>
      <c r="K21" s="165"/>
      <c r="L21" s="117"/>
    </row>
    <row r="22" spans="1:14" ht="17.25" customHeight="1" x14ac:dyDescent="0.25">
      <c r="A22" s="17">
        <f>A20+1</f>
        <v>10</v>
      </c>
      <c r="B22" s="18" t="s">
        <v>139</v>
      </c>
      <c r="C22" s="17" t="s">
        <v>80</v>
      </c>
      <c r="D22" s="33">
        <f>243.87*1.9</f>
        <v>463.35300000000001</v>
      </c>
      <c r="E22" s="23">
        <v>308.75</v>
      </c>
      <c r="F22" s="21">
        <f t="shared" si="3"/>
        <v>143060.24</v>
      </c>
      <c r="G22" s="21">
        <f t="shared" si="4"/>
        <v>171672.29</v>
      </c>
      <c r="H22" s="20"/>
      <c r="I22" s="21"/>
      <c r="J22" s="21"/>
      <c r="K22" s="23">
        <f t="shared" si="5"/>
        <v>143060.24</v>
      </c>
      <c r="L22" s="21">
        <f t="shared" si="5"/>
        <v>171672.29</v>
      </c>
      <c r="M22" s="64"/>
    </row>
    <row r="23" spans="1:14" ht="17.25" customHeight="1" x14ac:dyDescent="0.25">
      <c r="A23" s="108"/>
      <c r="B23" s="193" t="s">
        <v>481</v>
      </c>
      <c r="C23" s="179"/>
      <c r="D23" s="317"/>
      <c r="E23" s="181"/>
      <c r="F23" s="166"/>
      <c r="G23" s="166"/>
      <c r="H23" s="182"/>
      <c r="I23" s="117"/>
      <c r="J23" s="117"/>
      <c r="K23" s="165"/>
      <c r="L23" s="117"/>
    </row>
    <row r="24" spans="1:14" ht="17.25" customHeight="1" x14ac:dyDescent="0.25">
      <c r="A24" s="100">
        <f>A22+1</f>
        <v>11</v>
      </c>
      <c r="B24" s="183" t="s">
        <v>482</v>
      </c>
      <c r="C24" s="184" t="s">
        <v>483</v>
      </c>
      <c r="D24" s="318">
        <v>2</v>
      </c>
      <c r="E24" s="185">
        <v>462</v>
      </c>
      <c r="F24" s="186">
        <f t="shared" ref="F24:F28" si="7">ROUND(E24*D24,2)</f>
        <v>924</v>
      </c>
      <c r="G24" s="186">
        <f t="shared" ref="G24:G28" si="8">ROUND(F24*1.2,2)</f>
        <v>1108.8</v>
      </c>
      <c r="H24" s="104"/>
      <c r="I24" s="186"/>
      <c r="J24" s="186"/>
      <c r="K24" s="123">
        <f t="shared" ref="K24:L39" si="9">F24+I24</f>
        <v>924</v>
      </c>
      <c r="L24" s="186">
        <f t="shared" si="9"/>
        <v>1108.8</v>
      </c>
    </row>
    <row r="25" spans="1:14" ht="17.25" customHeight="1" x14ac:dyDescent="0.25">
      <c r="A25" s="100">
        <f>A24+1</f>
        <v>12</v>
      </c>
      <c r="B25" s="183" t="s">
        <v>484</v>
      </c>
      <c r="C25" s="184" t="s">
        <v>75</v>
      </c>
      <c r="D25" s="318">
        <v>18</v>
      </c>
      <c r="E25" s="185">
        <v>308</v>
      </c>
      <c r="F25" s="186">
        <f t="shared" si="7"/>
        <v>5544</v>
      </c>
      <c r="G25" s="186">
        <f t="shared" si="8"/>
        <v>6652.8</v>
      </c>
      <c r="H25" s="104"/>
      <c r="I25" s="186"/>
      <c r="J25" s="186"/>
      <c r="K25" s="123">
        <f t="shared" si="9"/>
        <v>5544</v>
      </c>
      <c r="L25" s="186">
        <f t="shared" si="9"/>
        <v>6652.8</v>
      </c>
    </row>
    <row r="26" spans="1:14" ht="30" x14ac:dyDescent="0.25">
      <c r="A26" s="17">
        <f>A25+1</f>
        <v>13</v>
      </c>
      <c r="B26" s="174" t="s">
        <v>485</v>
      </c>
      <c r="C26" s="175" t="s">
        <v>75</v>
      </c>
      <c r="D26" s="192">
        <v>9</v>
      </c>
      <c r="E26" s="176">
        <v>10060.5</v>
      </c>
      <c r="F26" s="21">
        <f t="shared" si="7"/>
        <v>90544.5</v>
      </c>
      <c r="G26" s="21">
        <f t="shared" si="8"/>
        <v>108653.4</v>
      </c>
      <c r="H26" s="21"/>
      <c r="I26" s="21"/>
      <c r="J26" s="21"/>
      <c r="K26" s="23">
        <f t="shared" si="9"/>
        <v>90544.5</v>
      </c>
      <c r="L26" s="21">
        <f t="shared" si="9"/>
        <v>108653.4</v>
      </c>
    </row>
    <row r="27" spans="1:14" ht="20.25" customHeight="1" x14ac:dyDescent="0.25">
      <c r="A27" s="188" t="s">
        <v>105</v>
      </c>
      <c r="B27" s="26" t="s">
        <v>486</v>
      </c>
      <c r="C27" s="125" t="s">
        <v>75</v>
      </c>
      <c r="D27" s="196">
        <v>9</v>
      </c>
      <c r="E27" s="29"/>
      <c r="F27" s="30"/>
      <c r="G27" s="30"/>
      <c r="H27" s="30">
        <v>8740</v>
      </c>
      <c r="I27" s="30">
        <f>ROUND(H27*D27,2)</f>
        <v>78660</v>
      </c>
      <c r="J27" s="30">
        <f>ROUND(I27*1.2,2)</f>
        <v>94392</v>
      </c>
      <c r="K27" s="32">
        <f t="shared" si="9"/>
        <v>78660</v>
      </c>
      <c r="L27" s="30">
        <f t="shared" si="9"/>
        <v>94392</v>
      </c>
      <c r="M27" s="64"/>
    </row>
    <row r="28" spans="1:14" ht="30" x14ac:dyDescent="0.25">
      <c r="A28" s="17">
        <f>A26+1</f>
        <v>14</v>
      </c>
      <c r="B28" s="319" t="s">
        <v>487</v>
      </c>
      <c r="C28" s="175" t="s">
        <v>488</v>
      </c>
      <c r="D28" s="320">
        <v>59.75</v>
      </c>
      <c r="E28" s="176">
        <v>908.19999999999993</v>
      </c>
      <c r="F28" s="21">
        <f t="shared" si="7"/>
        <v>54264.95</v>
      </c>
      <c r="G28" s="21">
        <f t="shared" si="8"/>
        <v>65117.94</v>
      </c>
      <c r="H28" s="21"/>
      <c r="I28" s="21"/>
      <c r="J28" s="21"/>
      <c r="K28" s="23">
        <f t="shared" si="9"/>
        <v>54264.95</v>
      </c>
      <c r="L28" s="21">
        <f t="shared" si="9"/>
        <v>65117.94</v>
      </c>
      <c r="M28" s="64"/>
    </row>
    <row r="29" spans="1:14" ht="20.25" customHeight="1" x14ac:dyDescent="0.25">
      <c r="A29" s="188" t="s">
        <v>109</v>
      </c>
      <c r="B29" s="26" t="s">
        <v>489</v>
      </c>
      <c r="C29" s="125" t="s">
        <v>72</v>
      </c>
      <c r="D29" s="321">
        <v>59.75</v>
      </c>
      <c r="E29" s="29"/>
      <c r="F29" s="30"/>
      <c r="G29" s="30"/>
      <c r="H29" s="30">
        <v>6450.5</v>
      </c>
      <c r="I29" s="30">
        <f>ROUND(H29*D29,2)</f>
        <v>385417.38</v>
      </c>
      <c r="J29" s="30">
        <f>ROUND(I29*1.2,2)</f>
        <v>462500.86</v>
      </c>
      <c r="K29" s="32">
        <f t="shared" si="9"/>
        <v>385417.38</v>
      </c>
      <c r="L29" s="30">
        <f t="shared" si="9"/>
        <v>462500.86</v>
      </c>
      <c r="M29" s="64"/>
    </row>
    <row r="30" spans="1:14" ht="17.25" customHeight="1" x14ac:dyDescent="0.25">
      <c r="A30" s="100">
        <f>A28+1</f>
        <v>15</v>
      </c>
      <c r="B30" s="183" t="s">
        <v>490</v>
      </c>
      <c r="C30" s="184" t="s">
        <v>483</v>
      </c>
      <c r="D30" s="318">
        <v>4</v>
      </c>
      <c r="E30" s="185">
        <f>E24*0.7</f>
        <v>323.39999999999998</v>
      </c>
      <c r="F30" s="186">
        <f t="shared" ref="F30:F32" si="10">ROUND(E30*D30,2)</f>
        <v>1293.5999999999999</v>
      </c>
      <c r="G30" s="186">
        <f t="shared" ref="G30:G32" si="11">ROUND(F30*1.2,2)</f>
        <v>1552.32</v>
      </c>
      <c r="H30" s="104"/>
      <c r="I30" s="186"/>
      <c r="J30" s="186"/>
      <c r="K30" s="123">
        <f t="shared" si="9"/>
        <v>1293.5999999999999</v>
      </c>
      <c r="L30" s="186">
        <f t="shared" si="9"/>
        <v>1552.32</v>
      </c>
    </row>
    <row r="31" spans="1:14" ht="17.25" customHeight="1" x14ac:dyDescent="0.25">
      <c r="A31" s="100">
        <f>A30+1</f>
        <v>16</v>
      </c>
      <c r="B31" s="183" t="s">
        <v>484</v>
      </c>
      <c r="C31" s="184" t="s">
        <v>75</v>
      </c>
      <c r="D31" s="318">
        <v>72</v>
      </c>
      <c r="E31" s="185">
        <f>E25*0.7</f>
        <v>215.6</v>
      </c>
      <c r="F31" s="186">
        <f t="shared" si="10"/>
        <v>15523.2</v>
      </c>
      <c r="G31" s="186">
        <f t="shared" si="11"/>
        <v>18627.84</v>
      </c>
      <c r="H31" s="104"/>
      <c r="I31" s="186"/>
      <c r="J31" s="186"/>
      <c r="K31" s="123">
        <f t="shared" si="9"/>
        <v>15523.2</v>
      </c>
      <c r="L31" s="186">
        <f t="shared" si="9"/>
        <v>18627.84</v>
      </c>
    </row>
    <row r="32" spans="1:14" ht="17.25" customHeight="1" x14ac:dyDescent="0.25">
      <c r="A32" s="17">
        <f>A31+1</f>
        <v>17</v>
      </c>
      <c r="B32" s="319" t="s">
        <v>491</v>
      </c>
      <c r="C32" s="175" t="s">
        <v>488</v>
      </c>
      <c r="D32" s="320">
        <v>369.68</v>
      </c>
      <c r="E32" s="176">
        <v>1292</v>
      </c>
      <c r="F32" s="21">
        <f t="shared" si="10"/>
        <v>477626.56</v>
      </c>
      <c r="G32" s="21">
        <f t="shared" si="11"/>
        <v>573151.87</v>
      </c>
      <c r="H32" s="20"/>
      <c r="I32" s="21"/>
      <c r="J32" s="21"/>
      <c r="K32" s="23">
        <f t="shared" si="9"/>
        <v>477626.56</v>
      </c>
      <c r="L32" s="21">
        <f t="shared" si="9"/>
        <v>573151.87</v>
      </c>
      <c r="M32" s="64"/>
    </row>
    <row r="33" spans="1:13" ht="17.25" customHeight="1" x14ac:dyDescent="0.25">
      <c r="A33" s="188" t="s">
        <v>299</v>
      </c>
      <c r="B33" s="26" t="s">
        <v>492</v>
      </c>
      <c r="C33" s="125" t="s">
        <v>72</v>
      </c>
      <c r="D33" s="189">
        <v>369.68</v>
      </c>
      <c r="E33" s="29"/>
      <c r="F33" s="30"/>
      <c r="G33" s="30"/>
      <c r="H33" s="30">
        <v>1402.2</v>
      </c>
      <c r="I33" s="30">
        <f>ROUND(H33*D33,2)</f>
        <v>518365.3</v>
      </c>
      <c r="J33" s="30">
        <f>ROUND(I33*1.2,2)</f>
        <v>622038.36</v>
      </c>
      <c r="K33" s="32">
        <f t="shared" si="9"/>
        <v>518365.3</v>
      </c>
      <c r="L33" s="30">
        <f t="shared" si="9"/>
        <v>622038.36</v>
      </c>
      <c r="M33" s="64"/>
    </row>
    <row r="34" spans="1:13" ht="30" x14ac:dyDescent="0.25">
      <c r="A34" s="17">
        <f>A32+1</f>
        <v>18</v>
      </c>
      <c r="B34" s="174" t="s">
        <v>493</v>
      </c>
      <c r="C34" s="175" t="s">
        <v>75</v>
      </c>
      <c r="D34" s="192">
        <v>36</v>
      </c>
      <c r="E34" s="176">
        <v>6232.95</v>
      </c>
      <c r="F34" s="21">
        <f t="shared" ref="F34" si="12">ROUND(E34*D34,2)</f>
        <v>224386.2</v>
      </c>
      <c r="G34" s="21">
        <f t="shared" ref="G34" si="13">ROUND(F34*1.2,2)</f>
        <v>269263.44</v>
      </c>
      <c r="H34" s="21"/>
      <c r="I34" s="21"/>
      <c r="J34" s="21"/>
      <c r="K34" s="23">
        <f t="shared" si="9"/>
        <v>224386.2</v>
      </c>
      <c r="L34" s="21">
        <f t="shared" si="9"/>
        <v>269263.44</v>
      </c>
    </row>
    <row r="35" spans="1:13" ht="17.25" customHeight="1" x14ac:dyDescent="0.25">
      <c r="A35" s="188" t="s">
        <v>164</v>
      </c>
      <c r="B35" s="26" t="s">
        <v>494</v>
      </c>
      <c r="C35" s="125" t="s">
        <v>75</v>
      </c>
      <c r="D35" s="196">
        <v>36</v>
      </c>
      <c r="E35" s="29"/>
      <c r="F35" s="30"/>
      <c r="G35" s="30"/>
      <c r="H35" s="30">
        <v>2964</v>
      </c>
      <c r="I35" s="30">
        <f>ROUND(H35*D35,2)</f>
        <v>106704</v>
      </c>
      <c r="J35" s="30">
        <f>ROUND(I35*1.2,2)</f>
        <v>128044.8</v>
      </c>
      <c r="K35" s="32">
        <f t="shared" si="9"/>
        <v>106704</v>
      </c>
      <c r="L35" s="30">
        <f t="shared" si="9"/>
        <v>128044.8</v>
      </c>
      <c r="M35" s="64"/>
    </row>
    <row r="36" spans="1:13" ht="17.25" customHeight="1" x14ac:dyDescent="0.25">
      <c r="A36" s="17">
        <f>A34+1</f>
        <v>19</v>
      </c>
      <c r="B36" s="18" t="s">
        <v>495</v>
      </c>
      <c r="C36" s="175" t="s">
        <v>75</v>
      </c>
      <c r="D36" s="322">
        <v>2</v>
      </c>
      <c r="E36" s="176">
        <v>3116</v>
      </c>
      <c r="F36" s="21">
        <f t="shared" ref="F36" si="14">ROUND(E36*D36,2)</f>
        <v>6232</v>
      </c>
      <c r="G36" s="21">
        <f t="shared" ref="G36" si="15">ROUND(F36*1.2,2)</f>
        <v>7478.4</v>
      </c>
      <c r="H36" s="21"/>
      <c r="I36" s="21"/>
      <c r="J36" s="21"/>
      <c r="K36" s="23">
        <f t="shared" si="9"/>
        <v>6232</v>
      </c>
      <c r="L36" s="21">
        <f t="shared" si="9"/>
        <v>7478.4</v>
      </c>
    </row>
    <row r="37" spans="1:13" s="44" customFormat="1" ht="17.25" customHeight="1" x14ac:dyDescent="0.25">
      <c r="A37" s="188" t="s">
        <v>167</v>
      </c>
      <c r="B37" s="277" t="s">
        <v>496</v>
      </c>
      <c r="C37" s="27" t="s">
        <v>84</v>
      </c>
      <c r="D37" s="189">
        <v>2.5999999999999999E-2</v>
      </c>
      <c r="E37" s="32"/>
      <c r="F37" s="127"/>
      <c r="G37" s="127"/>
      <c r="H37" s="127">
        <v>3657.5</v>
      </c>
      <c r="I37" s="127">
        <f t="shared" ref="I37" si="16">ROUND(H37*D37,2)</f>
        <v>95.1</v>
      </c>
      <c r="J37" s="127">
        <f t="shared" ref="J37" si="17">ROUND(I37*1.2,2)</f>
        <v>114.12</v>
      </c>
      <c r="K37" s="129">
        <f t="shared" si="9"/>
        <v>95.1</v>
      </c>
      <c r="L37" s="127">
        <f t="shared" si="9"/>
        <v>114.12</v>
      </c>
      <c r="M37" s="131"/>
    </row>
    <row r="38" spans="1:13" s="44" customFormat="1" ht="17.25" customHeight="1" x14ac:dyDescent="0.25">
      <c r="A38" s="100">
        <f>A36+1</f>
        <v>20</v>
      </c>
      <c r="B38" s="183" t="s">
        <v>497</v>
      </c>
      <c r="C38" s="184" t="s">
        <v>75</v>
      </c>
      <c r="D38" s="323">
        <v>2</v>
      </c>
      <c r="E38" s="185">
        <v>6232.95</v>
      </c>
      <c r="F38" s="186">
        <f t="shared" ref="F38" si="18">ROUND(E38*D38,2)</f>
        <v>12465.9</v>
      </c>
      <c r="G38" s="186">
        <f t="shared" ref="G38" si="19">ROUND(F38*1.2,2)</f>
        <v>14959.08</v>
      </c>
      <c r="H38" s="187"/>
      <c r="I38" s="186"/>
      <c r="J38" s="186"/>
      <c r="K38" s="123">
        <f t="shared" si="9"/>
        <v>12465.9</v>
      </c>
      <c r="L38" s="186">
        <f t="shared" si="9"/>
        <v>14959.08</v>
      </c>
      <c r="M38" s="131"/>
    </row>
    <row r="39" spans="1:13" ht="17.25" customHeight="1" x14ac:dyDescent="0.25">
      <c r="A39" s="188" t="s">
        <v>169</v>
      </c>
      <c r="B39" s="26" t="s">
        <v>498</v>
      </c>
      <c r="C39" s="125" t="s">
        <v>75</v>
      </c>
      <c r="D39" s="196">
        <v>2</v>
      </c>
      <c r="E39" s="29"/>
      <c r="F39" s="30"/>
      <c r="G39" s="30"/>
      <c r="H39" s="30">
        <v>8740</v>
      </c>
      <c r="I39" s="30">
        <f t="shared" ref="I39" si="20">ROUND(H39*D39,2)</f>
        <v>17480</v>
      </c>
      <c r="J39" s="30">
        <f t="shared" ref="J39" si="21">ROUND(I39*1.2,2)</f>
        <v>20976</v>
      </c>
      <c r="K39" s="32">
        <f t="shared" si="9"/>
        <v>17480</v>
      </c>
      <c r="L39" s="30">
        <f t="shared" si="9"/>
        <v>20976</v>
      </c>
      <c r="M39" s="64"/>
    </row>
    <row r="40" spans="1:13" s="44" customFormat="1" ht="17.25" customHeight="1" x14ac:dyDescent="0.25">
      <c r="A40" s="100">
        <f>A38+1</f>
        <v>21</v>
      </c>
      <c r="B40" s="183" t="s">
        <v>499</v>
      </c>
      <c r="C40" s="184" t="s">
        <v>75</v>
      </c>
      <c r="D40" s="323">
        <v>2</v>
      </c>
      <c r="E40" s="185">
        <v>6232.95</v>
      </c>
      <c r="F40" s="186">
        <f t="shared" ref="F40" si="22">ROUND(E40*D40,2)</f>
        <v>12465.9</v>
      </c>
      <c r="G40" s="186">
        <f t="shared" ref="G40" si="23">ROUND(F40*1.2,2)</f>
        <v>14959.08</v>
      </c>
      <c r="H40" s="187"/>
      <c r="I40" s="186"/>
      <c r="J40" s="186"/>
      <c r="K40" s="123">
        <f t="shared" ref="K40:L55" si="24">F40+I40</f>
        <v>12465.9</v>
      </c>
      <c r="L40" s="186">
        <f t="shared" si="24"/>
        <v>14959.08</v>
      </c>
      <c r="M40" s="131"/>
    </row>
    <row r="41" spans="1:13" ht="17.25" customHeight="1" x14ac:dyDescent="0.25">
      <c r="A41" s="188" t="s">
        <v>208</v>
      </c>
      <c r="B41" s="26" t="s">
        <v>500</v>
      </c>
      <c r="C41" s="125" t="s">
        <v>75</v>
      </c>
      <c r="D41" s="196">
        <v>2</v>
      </c>
      <c r="E41" s="29"/>
      <c r="F41" s="30"/>
      <c r="G41" s="30"/>
      <c r="H41" s="30">
        <v>619.4</v>
      </c>
      <c r="I41" s="30">
        <f t="shared" ref="I41" si="25">ROUND(H41*D41,2)</f>
        <v>1238.8</v>
      </c>
      <c r="J41" s="30">
        <f t="shared" ref="J41" si="26">ROUND(I41*1.2,2)</f>
        <v>1486.56</v>
      </c>
      <c r="K41" s="32">
        <f t="shared" si="24"/>
        <v>1238.8</v>
      </c>
      <c r="L41" s="30">
        <f t="shared" si="24"/>
        <v>1486.56</v>
      </c>
      <c r="M41" s="64"/>
    </row>
    <row r="42" spans="1:13" ht="17.25" customHeight="1" x14ac:dyDescent="0.25">
      <c r="A42" s="100">
        <f>A40+1</f>
        <v>22</v>
      </c>
      <c r="B42" s="183" t="s">
        <v>501</v>
      </c>
      <c r="C42" s="184" t="s">
        <v>75</v>
      </c>
      <c r="D42" s="318">
        <v>1</v>
      </c>
      <c r="E42" s="185">
        <v>3116</v>
      </c>
      <c r="F42" s="186">
        <f t="shared" ref="F42" si="27">ROUND(E42*D42,2)</f>
        <v>3116</v>
      </c>
      <c r="G42" s="186">
        <f t="shared" ref="G42" si="28">ROUND(F42*1.2,2)</f>
        <v>3739.2</v>
      </c>
      <c r="H42" s="187"/>
      <c r="I42" s="186"/>
      <c r="J42" s="186"/>
      <c r="K42" s="123">
        <f t="shared" si="24"/>
        <v>3116</v>
      </c>
      <c r="L42" s="186">
        <f t="shared" si="24"/>
        <v>3739.2</v>
      </c>
    </row>
    <row r="43" spans="1:13" ht="17.25" customHeight="1" x14ac:dyDescent="0.25">
      <c r="A43" s="188" t="s">
        <v>502</v>
      </c>
      <c r="B43" s="26" t="s">
        <v>503</v>
      </c>
      <c r="C43" s="125" t="s">
        <v>75</v>
      </c>
      <c r="D43" s="196">
        <v>1</v>
      </c>
      <c r="E43" s="29"/>
      <c r="F43" s="30"/>
      <c r="G43" s="30"/>
      <c r="H43" s="30">
        <v>5476.75</v>
      </c>
      <c r="I43" s="30">
        <f>ROUND(H43*D43,2)</f>
        <v>5476.75</v>
      </c>
      <c r="J43" s="30">
        <f>ROUND(I43*1.2,2)</f>
        <v>6572.1</v>
      </c>
      <c r="K43" s="32">
        <f t="shared" si="24"/>
        <v>5476.75</v>
      </c>
      <c r="L43" s="30">
        <f t="shared" si="24"/>
        <v>6572.1</v>
      </c>
      <c r="M43" s="64"/>
    </row>
    <row r="44" spans="1:13" ht="17.25" customHeight="1" x14ac:dyDescent="0.25">
      <c r="A44" s="188" t="s">
        <v>504</v>
      </c>
      <c r="B44" s="26" t="s">
        <v>505</v>
      </c>
      <c r="C44" s="125" t="s">
        <v>72</v>
      </c>
      <c r="D44" s="199">
        <v>4.3</v>
      </c>
      <c r="E44" s="29"/>
      <c r="F44" s="30"/>
      <c r="G44" s="30"/>
      <c r="H44" s="30">
        <v>1618</v>
      </c>
      <c r="I44" s="30">
        <f>ROUND(H44*D44,2)</f>
        <v>6957.4</v>
      </c>
      <c r="J44" s="30">
        <f>ROUND(I44*1.2,2)</f>
        <v>8348.8799999999992</v>
      </c>
      <c r="K44" s="32">
        <f t="shared" si="24"/>
        <v>6957.4</v>
      </c>
      <c r="L44" s="30">
        <f t="shared" si="24"/>
        <v>8348.8799999999992</v>
      </c>
      <c r="M44" s="64"/>
    </row>
    <row r="45" spans="1:13" ht="17.25" customHeight="1" x14ac:dyDescent="0.25">
      <c r="A45" s="188" t="s">
        <v>506</v>
      </c>
      <c r="B45" s="26" t="s">
        <v>507</v>
      </c>
      <c r="C45" s="125" t="s">
        <v>75</v>
      </c>
      <c r="D45" s="196">
        <v>2</v>
      </c>
      <c r="E45" s="29"/>
      <c r="F45" s="30"/>
      <c r="G45" s="30"/>
      <c r="H45" s="30">
        <v>2470</v>
      </c>
      <c r="I45" s="30">
        <f>ROUND(H45*D45,2)</f>
        <v>4940</v>
      </c>
      <c r="J45" s="30">
        <f>ROUND(I45*1.2,2)</f>
        <v>5928</v>
      </c>
      <c r="K45" s="32">
        <f t="shared" si="24"/>
        <v>4940</v>
      </c>
      <c r="L45" s="30">
        <f t="shared" si="24"/>
        <v>5928</v>
      </c>
      <c r="M45" s="64"/>
    </row>
    <row r="46" spans="1:13" ht="17.25" customHeight="1" x14ac:dyDescent="0.25">
      <c r="A46" s="188" t="s">
        <v>508</v>
      </c>
      <c r="B46" s="26" t="s">
        <v>509</v>
      </c>
      <c r="C46" s="125" t="s">
        <v>75</v>
      </c>
      <c r="D46" s="196">
        <v>1</v>
      </c>
      <c r="E46" s="29"/>
      <c r="F46" s="30"/>
      <c r="G46" s="30"/>
      <c r="H46" s="30">
        <v>12103.3</v>
      </c>
      <c r="I46" s="30">
        <f>ROUND(H46*D46,2)</f>
        <v>12103.3</v>
      </c>
      <c r="J46" s="30">
        <f>ROUND(I46*1.2,2)</f>
        <v>14523.96</v>
      </c>
      <c r="K46" s="32">
        <f t="shared" si="24"/>
        <v>12103.3</v>
      </c>
      <c r="L46" s="30">
        <f t="shared" si="24"/>
        <v>14523.96</v>
      </c>
      <c r="M46" s="64"/>
    </row>
    <row r="47" spans="1:13" ht="17.25" customHeight="1" x14ac:dyDescent="0.25">
      <c r="A47" s="188" t="s">
        <v>510</v>
      </c>
      <c r="B47" s="26" t="s">
        <v>511</v>
      </c>
      <c r="C47" s="125" t="s">
        <v>72</v>
      </c>
      <c r="D47" s="199">
        <v>2.5</v>
      </c>
      <c r="E47" s="29"/>
      <c r="F47" s="30"/>
      <c r="G47" s="30"/>
      <c r="H47" s="30">
        <v>4493.5</v>
      </c>
      <c r="I47" s="30">
        <f>ROUND(H47*D47,2)</f>
        <v>11233.75</v>
      </c>
      <c r="J47" s="30">
        <f>ROUND(I47*1.2,2)</f>
        <v>13480.5</v>
      </c>
      <c r="K47" s="32">
        <f t="shared" si="24"/>
        <v>11233.75</v>
      </c>
      <c r="L47" s="30">
        <f t="shared" si="24"/>
        <v>13480.5</v>
      </c>
      <c r="M47" s="64"/>
    </row>
    <row r="48" spans="1:13" ht="17.25" customHeight="1" x14ac:dyDescent="0.25">
      <c r="A48" s="17">
        <f>A42+1</f>
        <v>23</v>
      </c>
      <c r="B48" s="174" t="s">
        <v>512</v>
      </c>
      <c r="C48" s="175" t="s">
        <v>75</v>
      </c>
      <c r="D48" s="192">
        <v>2</v>
      </c>
      <c r="E48" s="176">
        <v>9782.15</v>
      </c>
      <c r="F48" s="21">
        <f t="shared" ref="F48" si="29">ROUND(E48*D48,2)</f>
        <v>19564.3</v>
      </c>
      <c r="G48" s="21">
        <f t="shared" ref="G48" si="30">ROUND(F48*1.2,2)</f>
        <v>23477.16</v>
      </c>
      <c r="H48" s="22"/>
      <c r="I48" s="21"/>
      <c r="J48" s="21"/>
      <c r="K48" s="23">
        <f t="shared" si="24"/>
        <v>19564.3</v>
      </c>
      <c r="L48" s="21">
        <f t="shared" si="24"/>
        <v>23477.16</v>
      </c>
    </row>
    <row r="49" spans="1:13" ht="17.25" customHeight="1" x14ac:dyDescent="0.25">
      <c r="A49" s="188" t="s">
        <v>306</v>
      </c>
      <c r="B49" s="26" t="s">
        <v>513</v>
      </c>
      <c r="C49" s="125" t="s">
        <v>72</v>
      </c>
      <c r="D49" s="189">
        <v>5.78</v>
      </c>
      <c r="E49" s="29"/>
      <c r="F49" s="30"/>
      <c r="G49" s="30"/>
      <c r="H49" s="30">
        <v>125.39999999999999</v>
      </c>
      <c r="I49" s="30">
        <f>ROUND(H49*D49,2)</f>
        <v>724.81</v>
      </c>
      <c r="J49" s="30">
        <f>ROUND(I49*1.2,2)</f>
        <v>869.77</v>
      </c>
      <c r="K49" s="32">
        <f t="shared" si="24"/>
        <v>724.81</v>
      </c>
      <c r="L49" s="30">
        <f t="shared" si="24"/>
        <v>869.77</v>
      </c>
      <c r="M49" s="64"/>
    </row>
    <row r="50" spans="1:13" ht="17.25" customHeight="1" x14ac:dyDescent="0.25">
      <c r="A50" s="188" t="s">
        <v>514</v>
      </c>
      <c r="B50" s="26" t="s">
        <v>515</v>
      </c>
      <c r="C50" s="125" t="s">
        <v>75</v>
      </c>
      <c r="D50" s="196">
        <v>4</v>
      </c>
      <c r="E50" s="29"/>
      <c r="F50" s="30"/>
      <c r="G50" s="30"/>
      <c r="H50" s="30">
        <v>408.5</v>
      </c>
      <c r="I50" s="30">
        <f t="shared" ref="I50:I54" si="31">ROUND(H50*D50,2)</f>
        <v>1634</v>
      </c>
      <c r="J50" s="30">
        <f t="shared" ref="J50:J54" si="32">ROUND(I50*1.2,2)</f>
        <v>1960.8</v>
      </c>
      <c r="K50" s="32">
        <f t="shared" si="24"/>
        <v>1634</v>
      </c>
      <c r="L50" s="30">
        <f t="shared" si="24"/>
        <v>1960.8</v>
      </c>
      <c r="M50" s="64"/>
    </row>
    <row r="51" spans="1:13" ht="17.25" customHeight="1" x14ac:dyDescent="0.25">
      <c r="A51" s="188" t="s">
        <v>516</v>
      </c>
      <c r="B51" s="26" t="s">
        <v>517</v>
      </c>
      <c r="C51" s="125" t="s">
        <v>75</v>
      </c>
      <c r="D51" s="196">
        <v>2</v>
      </c>
      <c r="E51" s="29"/>
      <c r="F51" s="30"/>
      <c r="G51" s="30"/>
      <c r="H51" s="30">
        <v>60.8</v>
      </c>
      <c r="I51" s="30">
        <f t="shared" si="31"/>
        <v>121.6</v>
      </c>
      <c r="J51" s="30">
        <f t="shared" si="32"/>
        <v>145.91999999999999</v>
      </c>
      <c r="K51" s="32">
        <f t="shared" si="24"/>
        <v>121.6</v>
      </c>
      <c r="L51" s="30">
        <f t="shared" si="24"/>
        <v>145.91999999999999</v>
      </c>
      <c r="M51" s="64"/>
    </row>
    <row r="52" spans="1:13" ht="17.25" customHeight="1" x14ac:dyDescent="0.25">
      <c r="A52" s="188" t="s">
        <v>518</v>
      </c>
      <c r="B52" s="26" t="s">
        <v>519</v>
      </c>
      <c r="C52" s="125" t="s">
        <v>75</v>
      </c>
      <c r="D52" s="196">
        <v>2</v>
      </c>
      <c r="E52" s="29"/>
      <c r="F52" s="30"/>
      <c r="G52" s="30"/>
      <c r="H52" s="30">
        <v>169.1</v>
      </c>
      <c r="I52" s="30">
        <f t="shared" si="31"/>
        <v>338.2</v>
      </c>
      <c r="J52" s="30">
        <f t="shared" si="32"/>
        <v>405.84</v>
      </c>
      <c r="K52" s="32">
        <f t="shared" si="24"/>
        <v>338.2</v>
      </c>
      <c r="L52" s="30">
        <f t="shared" si="24"/>
        <v>405.84</v>
      </c>
      <c r="M52" s="64"/>
    </row>
    <row r="53" spans="1:13" ht="17.25" customHeight="1" x14ac:dyDescent="0.25">
      <c r="A53" s="188" t="s">
        <v>520</v>
      </c>
      <c r="B53" s="26" t="s">
        <v>521</v>
      </c>
      <c r="C53" s="125" t="s">
        <v>75</v>
      </c>
      <c r="D53" s="196">
        <v>2</v>
      </c>
      <c r="E53" s="29"/>
      <c r="F53" s="30"/>
      <c r="G53" s="30"/>
      <c r="H53" s="30">
        <v>125.39999999999999</v>
      </c>
      <c r="I53" s="30">
        <f t="shared" si="31"/>
        <v>250.8</v>
      </c>
      <c r="J53" s="30">
        <f t="shared" si="32"/>
        <v>300.95999999999998</v>
      </c>
      <c r="K53" s="32">
        <f t="shared" si="24"/>
        <v>250.8</v>
      </c>
      <c r="L53" s="30">
        <f t="shared" si="24"/>
        <v>300.95999999999998</v>
      </c>
      <c r="M53" s="64"/>
    </row>
    <row r="54" spans="1:13" ht="17.25" customHeight="1" x14ac:dyDescent="0.25">
      <c r="A54" s="188" t="s">
        <v>522</v>
      </c>
      <c r="B54" s="26" t="s">
        <v>523</v>
      </c>
      <c r="C54" s="125" t="s">
        <v>75</v>
      </c>
      <c r="D54" s="196">
        <v>2</v>
      </c>
      <c r="E54" s="29"/>
      <c r="F54" s="30"/>
      <c r="G54" s="30"/>
      <c r="H54" s="30">
        <v>95</v>
      </c>
      <c r="I54" s="30">
        <f t="shared" si="31"/>
        <v>190</v>
      </c>
      <c r="J54" s="30">
        <f t="shared" si="32"/>
        <v>228</v>
      </c>
      <c r="K54" s="32">
        <f t="shared" si="24"/>
        <v>190</v>
      </c>
      <c r="L54" s="30">
        <f t="shared" si="24"/>
        <v>228</v>
      </c>
      <c r="M54" s="64"/>
    </row>
    <row r="55" spans="1:13" ht="17.25" customHeight="1" x14ac:dyDescent="0.25">
      <c r="A55" s="100">
        <f>A48+1</f>
        <v>24</v>
      </c>
      <c r="B55" s="183" t="s">
        <v>524</v>
      </c>
      <c r="C55" s="184" t="s">
        <v>72</v>
      </c>
      <c r="D55" s="323">
        <v>2</v>
      </c>
      <c r="E55" s="185">
        <v>1403.12</v>
      </c>
      <c r="F55" s="186">
        <f t="shared" ref="F55" si="33">ROUND(E55*D55,2)</f>
        <v>2806.24</v>
      </c>
      <c r="G55" s="186">
        <f t="shared" ref="G55" si="34">ROUND(F55*1.2,2)</f>
        <v>3367.49</v>
      </c>
      <c r="H55" s="187"/>
      <c r="I55" s="186"/>
      <c r="J55" s="186"/>
      <c r="K55" s="123">
        <f t="shared" si="24"/>
        <v>2806.24</v>
      </c>
      <c r="L55" s="186">
        <f t="shared" si="24"/>
        <v>3367.49</v>
      </c>
      <c r="M55" s="131" t="s">
        <v>525</v>
      </c>
    </row>
    <row r="56" spans="1:13" ht="17.25" customHeight="1" x14ac:dyDescent="0.25">
      <c r="A56" s="188" t="s">
        <v>310</v>
      </c>
      <c r="B56" s="26" t="s">
        <v>526</v>
      </c>
      <c r="C56" s="125" t="s">
        <v>72</v>
      </c>
      <c r="D56" s="196">
        <v>2</v>
      </c>
      <c r="E56" s="29"/>
      <c r="F56" s="30"/>
      <c r="G56" s="30"/>
      <c r="H56" s="30">
        <v>5562.91</v>
      </c>
      <c r="I56" s="30">
        <f t="shared" ref="I56" si="35">ROUND(H56*D56,2)</f>
        <v>11125.82</v>
      </c>
      <c r="J56" s="30">
        <f t="shared" ref="J56" si="36">ROUND(I56*1.2,2)</f>
        <v>13350.98</v>
      </c>
      <c r="K56" s="32">
        <f t="shared" ref="K56:L71" si="37">F56+I56</f>
        <v>11125.82</v>
      </c>
      <c r="L56" s="30">
        <f t="shared" si="37"/>
        <v>13350.98</v>
      </c>
      <c r="M56" s="131" t="s">
        <v>525</v>
      </c>
    </row>
    <row r="57" spans="1:13" ht="17.25" customHeight="1" x14ac:dyDescent="0.25">
      <c r="A57" s="17">
        <f>A55+1</f>
        <v>25</v>
      </c>
      <c r="B57" s="174" t="s">
        <v>527</v>
      </c>
      <c r="C57" s="175" t="s">
        <v>488</v>
      </c>
      <c r="D57" s="192">
        <v>2</v>
      </c>
      <c r="E57" s="176">
        <v>1223.5999999999999</v>
      </c>
      <c r="F57" s="21">
        <f t="shared" ref="F57" si="38">ROUND(E57*D57,2)</f>
        <v>2447.1999999999998</v>
      </c>
      <c r="G57" s="21">
        <f t="shared" ref="G57" si="39">ROUND(F57*1.2,2)</f>
        <v>2936.64</v>
      </c>
      <c r="H57" s="22"/>
      <c r="I57" s="21"/>
      <c r="J57" s="21"/>
      <c r="K57" s="23">
        <f t="shared" si="37"/>
        <v>2447.1999999999998</v>
      </c>
      <c r="L57" s="21">
        <f t="shared" si="37"/>
        <v>2936.64</v>
      </c>
    </row>
    <row r="58" spans="1:13" ht="17.25" customHeight="1" x14ac:dyDescent="0.25">
      <c r="A58" s="188" t="s">
        <v>346</v>
      </c>
      <c r="B58" s="26" t="s">
        <v>492</v>
      </c>
      <c r="C58" s="125" t="s">
        <v>72</v>
      </c>
      <c r="D58" s="189">
        <f>D57*1.02</f>
        <v>2.04</v>
      </c>
      <c r="E58" s="29"/>
      <c r="F58" s="30"/>
      <c r="G58" s="30"/>
      <c r="H58" s="30">
        <v>1402.2</v>
      </c>
      <c r="I58" s="30">
        <f>ROUND(H58*D58,2)</f>
        <v>2860.49</v>
      </c>
      <c r="J58" s="30">
        <f>ROUND(I58*1.2,2)</f>
        <v>3432.59</v>
      </c>
      <c r="K58" s="32">
        <f t="shared" si="37"/>
        <v>2860.49</v>
      </c>
      <c r="L58" s="30">
        <f t="shared" si="37"/>
        <v>3432.59</v>
      </c>
      <c r="M58" s="64"/>
    </row>
    <row r="59" spans="1:13" ht="25.5" customHeight="1" x14ac:dyDescent="0.25">
      <c r="A59" s="100">
        <f>A57+1</f>
        <v>26</v>
      </c>
      <c r="B59" s="99" t="s">
        <v>528</v>
      </c>
      <c r="C59" s="184" t="s">
        <v>75</v>
      </c>
      <c r="D59" s="323">
        <v>2</v>
      </c>
      <c r="E59" s="123">
        <v>500</v>
      </c>
      <c r="F59" s="186">
        <f t="shared" ref="F59" si="40">ROUND(E59*D59,2)</f>
        <v>1000</v>
      </c>
      <c r="G59" s="186">
        <f t="shared" ref="G59" si="41">ROUND(F59*1.2,2)</f>
        <v>1200</v>
      </c>
      <c r="H59" s="187"/>
      <c r="I59" s="186"/>
      <c r="J59" s="186"/>
      <c r="K59" s="123">
        <f t="shared" si="37"/>
        <v>1000</v>
      </c>
      <c r="L59" s="186">
        <f t="shared" si="37"/>
        <v>1200</v>
      </c>
      <c r="M59" s="882"/>
    </row>
    <row r="60" spans="1:13" ht="25.5" customHeight="1" x14ac:dyDescent="0.25">
      <c r="A60" s="188" t="s">
        <v>348</v>
      </c>
      <c r="B60" s="26" t="s">
        <v>529</v>
      </c>
      <c r="C60" s="125" t="s">
        <v>75</v>
      </c>
      <c r="D60" s="196">
        <v>2</v>
      </c>
      <c r="E60" s="29"/>
      <c r="F60" s="30"/>
      <c r="G60" s="30"/>
      <c r="H60" s="30">
        <v>2112.84</v>
      </c>
      <c r="I60" s="30">
        <f>ROUND(H60*D60,2)</f>
        <v>4225.68</v>
      </c>
      <c r="J60" s="30">
        <f>ROUND(I60*1.2,2)</f>
        <v>5070.82</v>
      </c>
      <c r="K60" s="32">
        <f t="shared" si="37"/>
        <v>4225.68</v>
      </c>
      <c r="L60" s="30">
        <f t="shared" si="37"/>
        <v>5070.82</v>
      </c>
      <c r="M60" s="882"/>
    </row>
    <row r="61" spans="1:13" ht="17.25" customHeight="1" x14ac:dyDescent="0.25">
      <c r="A61" s="17">
        <f>A59+1</f>
        <v>27</v>
      </c>
      <c r="B61" s="18" t="s">
        <v>530</v>
      </c>
      <c r="C61" s="17" t="s">
        <v>84</v>
      </c>
      <c r="D61" s="324">
        <f>1.22*0.065</f>
        <v>7.9299999999999995E-2</v>
      </c>
      <c r="E61" s="23">
        <v>6459.05</v>
      </c>
      <c r="F61" s="21">
        <f>ROUND(E61*D61,2)</f>
        <v>512.20000000000005</v>
      </c>
      <c r="G61" s="21">
        <f t="shared" ref="G61" si="42">ROUND(F61*1.2,2)</f>
        <v>614.64</v>
      </c>
      <c r="H61" s="23"/>
      <c r="I61" s="21"/>
      <c r="J61" s="21"/>
      <c r="K61" s="23">
        <f t="shared" si="37"/>
        <v>512.20000000000005</v>
      </c>
      <c r="L61" s="21">
        <f t="shared" si="37"/>
        <v>614.64</v>
      </c>
      <c r="M61" s="64"/>
    </row>
    <row r="62" spans="1:13" ht="17.25" customHeight="1" x14ac:dyDescent="0.25">
      <c r="A62" s="188" t="s">
        <v>353</v>
      </c>
      <c r="B62" s="277" t="s">
        <v>531</v>
      </c>
      <c r="C62" s="27" t="s">
        <v>75</v>
      </c>
      <c r="D62" s="196">
        <v>38</v>
      </c>
      <c r="E62" s="29"/>
      <c r="F62" s="30"/>
      <c r="G62" s="30"/>
      <c r="H62" s="279">
        <v>14.5</v>
      </c>
      <c r="I62" s="30">
        <f t="shared" ref="I62" si="43">ROUND(H62*D62,2)</f>
        <v>551</v>
      </c>
      <c r="J62" s="30">
        <f t="shared" ref="J62" si="44">ROUND(I62*1.2,2)</f>
        <v>661.2</v>
      </c>
      <c r="K62" s="32">
        <f t="shared" si="37"/>
        <v>551</v>
      </c>
      <c r="L62" s="30">
        <f t="shared" si="37"/>
        <v>661.2</v>
      </c>
      <c r="M62" s="64"/>
    </row>
    <row r="63" spans="1:13" ht="17.25" customHeight="1" x14ac:dyDescent="0.25">
      <c r="A63" s="17">
        <f>A61+1</f>
        <v>28</v>
      </c>
      <c r="B63" s="18" t="s">
        <v>532</v>
      </c>
      <c r="C63" s="17" t="s">
        <v>533</v>
      </c>
      <c r="D63" s="325">
        <v>2.4E-2</v>
      </c>
      <c r="E63" s="23">
        <v>1350.9</v>
      </c>
      <c r="F63" s="21">
        <f>ROUND(E63*D63,2)</f>
        <v>32.42</v>
      </c>
      <c r="G63" s="21">
        <f t="shared" ref="G63" si="45">ROUND(F63*1.2,2)</f>
        <v>38.9</v>
      </c>
      <c r="H63" s="20"/>
      <c r="I63" s="21"/>
      <c r="J63" s="21"/>
      <c r="K63" s="23">
        <f t="shared" si="37"/>
        <v>32.42</v>
      </c>
      <c r="L63" s="21">
        <f t="shared" si="37"/>
        <v>38.9</v>
      </c>
      <c r="M63" s="64"/>
    </row>
    <row r="64" spans="1:13" ht="17.25" customHeight="1" x14ac:dyDescent="0.25">
      <c r="A64" s="188" t="s">
        <v>357</v>
      </c>
      <c r="B64" s="26" t="s">
        <v>534</v>
      </c>
      <c r="C64" s="27" t="s">
        <v>84</v>
      </c>
      <c r="D64" s="326">
        <f>D63*1.26</f>
        <v>3.024E-2</v>
      </c>
      <c r="E64" s="29"/>
      <c r="F64" s="30"/>
      <c r="G64" s="30"/>
      <c r="H64" s="32">
        <v>1299.5999999999999</v>
      </c>
      <c r="I64" s="30">
        <f>ROUND(H64*D64,2)</f>
        <v>39.299999999999997</v>
      </c>
      <c r="J64" s="30">
        <f>ROUND(I64*1.2,2)</f>
        <v>47.16</v>
      </c>
      <c r="K64" s="32">
        <f t="shared" si="37"/>
        <v>39.299999999999997</v>
      </c>
      <c r="L64" s="30">
        <f t="shared" si="37"/>
        <v>47.16</v>
      </c>
      <c r="M64" s="64"/>
    </row>
    <row r="65" spans="1:13" ht="17.25" customHeight="1" x14ac:dyDescent="0.25">
      <c r="A65" s="17">
        <f>A63+1</f>
        <v>29</v>
      </c>
      <c r="B65" s="174" t="s">
        <v>535</v>
      </c>
      <c r="C65" s="175" t="s">
        <v>84</v>
      </c>
      <c r="D65" s="327">
        <v>8.1000000000000003E-2</v>
      </c>
      <c r="E65" s="23">
        <v>1310.05</v>
      </c>
      <c r="F65" s="21">
        <f t="shared" ref="F65" si="46">ROUND(E65*D65,2)</f>
        <v>106.11</v>
      </c>
      <c r="G65" s="21">
        <f t="shared" ref="G65" si="47">ROUND(F65*1.2,2)</f>
        <v>127.33</v>
      </c>
      <c r="H65" s="22"/>
      <c r="I65" s="21"/>
      <c r="J65" s="21"/>
      <c r="K65" s="23">
        <f t="shared" si="37"/>
        <v>106.11</v>
      </c>
      <c r="L65" s="21">
        <f t="shared" si="37"/>
        <v>127.33</v>
      </c>
    </row>
    <row r="66" spans="1:13" ht="17.25" customHeight="1" x14ac:dyDescent="0.25">
      <c r="A66" s="188" t="s">
        <v>360</v>
      </c>
      <c r="B66" s="26" t="s">
        <v>160</v>
      </c>
      <c r="C66" s="27" t="s">
        <v>84</v>
      </c>
      <c r="D66" s="326">
        <f>D65*1.1</f>
        <v>8.9100000000000013E-2</v>
      </c>
      <c r="E66" s="29"/>
      <c r="F66" s="30"/>
      <c r="G66" s="30"/>
      <c r="H66" s="30">
        <v>1191.3</v>
      </c>
      <c r="I66" s="30">
        <f>ROUND(H66*D66,2)</f>
        <v>106.14</v>
      </c>
      <c r="J66" s="30">
        <f>ROUND(I66*1.2,2)</f>
        <v>127.37</v>
      </c>
      <c r="K66" s="32">
        <f t="shared" si="37"/>
        <v>106.14</v>
      </c>
      <c r="L66" s="30">
        <f t="shared" si="37"/>
        <v>127.37</v>
      </c>
      <c r="M66" s="64"/>
    </row>
    <row r="67" spans="1:13" ht="17.25" customHeight="1" x14ac:dyDescent="0.25">
      <c r="A67" s="100">
        <f>A65+1</f>
        <v>30</v>
      </c>
      <c r="B67" s="183" t="s">
        <v>536</v>
      </c>
      <c r="C67" s="184" t="s">
        <v>84</v>
      </c>
      <c r="D67" s="210">
        <v>0.04</v>
      </c>
      <c r="E67" s="123">
        <v>317.3</v>
      </c>
      <c r="F67" s="186">
        <f t="shared" ref="F67" si="48">ROUND(E67*D67,2)</f>
        <v>12.69</v>
      </c>
      <c r="G67" s="186">
        <f t="shared" ref="G67" si="49">ROUND(F67*1.2,2)</f>
        <v>15.23</v>
      </c>
      <c r="H67" s="187"/>
      <c r="I67" s="186"/>
      <c r="J67" s="186"/>
      <c r="K67" s="123">
        <f t="shared" si="37"/>
        <v>12.69</v>
      </c>
      <c r="L67" s="186">
        <f t="shared" si="37"/>
        <v>15.23</v>
      </c>
    </row>
    <row r="68" spans="1:13" ht="17.25" customHeight="1" x14ac:dyDescent="0.25">
      <c r="A68" s="188" t="s">
        <v>367</v>
      </c>
      <c r="B68" s="26" t="s">
        <v>537</v>
      </c>
      <c r="C68" s="27" t="s">
        <v>84</v>
      </c>
      <c r="D68" s="326">
        <f>D67*1.1</f>
        <v>4.4000000000000004E-2</v>
      </c>
      <c r="E68" s="32"/>
      <c r="F68" s="30"/>
      <c r="G68" s="30"/>
      <c r="H68" s="30">
        <v>5408.3499999999995</v>
      </c>
      <c r="I68" s="30">
        <f>ROUND(H68*D68,2)</f>
        <v>237.97</v>
      </c>
      <c r="J68" s="30">
        <f>ROUND(I68*1.2,2)</f>
        <v>285.56</v>
      </c>
      <c r="K68" s="32">
        <f t="shared" si="37"/>
        <v>237.97</v>
      </c>
      <c r="L68" s="30">
        <f t="shared" si="37"/>
        <v>285.56</v>
      </c>
      <c r="M68" s="131"/>
    </row>
    <row r="69" spans="1:13" ht="17.25" customHeight="1" x14ac:dyDescent="0.25">
      <c r="A69" s="100">
        <f>A67+1</f>
        <v>31</v>
      </c>
      <c r="B69" s="183" t="s">
        <v>538</v>
      </c>
      <c r="C69" s="184" t="s">
        <v>77</v>
      </c>
      <c r="D69" s="195">
        <v>1.22</v>
      </c>
      <c r="E69" s="123">
        <v>600</v>
      </c>
      <c r="F69" s="186">
        <f t="shared" ref="F69" si="50">ROUND(E69*D69,2)</f>
        <v>732</v>
      </c>
      <c r="G69" s="186">
        <f t="shared" ref="G69" si="51">ROUND(F69*1.2,2)</f>
        <v>878.4</v>
      </c>
      <c r="H69" s="187"/>
      <c r="I69" s="186"/>
      <c r="J69" s="186"/>
      <c r="K69" s="123">
        <f t="shared" si="37"/>
        <v>732</v>
      </c>
      <c r="L69" s="186">
        <f t="shared" si="37"/>
        <v>878.4</v>
      </c>
    </row>
    <row r="70" spans="1:13" ht="17.25" customHeight="1" x14ac:dyDescent="0.25">
      <c r="A70" s="188" t="s">
        <v>226</v>
      </c>
      <c r="B70" s="26" t="s">
        <v>539</v>
      </c>
      <c r="C70" s="27" t="s">
        <v>84</v>
      </c>
      <c r="D70" s="326">
        <v>0.03</v>
      </c>
      <c r="E70" s="32"/>
      <c r="F70" s="30"/>
      <c r="G70" s="30"/>
      <c r="H70" s="30">
        <v>5322.58</v>
      </c>
      <c r="I70" s="30">
        <f>ROUND(H70*D70,2)</f>
        <v>159.68</v>
      </c>
      <c r="J70" s="30">
        <f>ROUND(I70*1.2,2)</f>
        <v>191.62</v>
      </c>
      <c r="K70" s="32">
        <f t="shared" si="37"/>
        <v>159.68</v>
      </c>
      <c r="L70" s="30">
        <f t="shared" si="37"/>
        <v>191.62</v>
      </c>
      <c r="M70" s="131"/>
    </row>
    <row r="71" spans="1:13" ht="17.25" customHeight="1" x14ac:dyDescent="0.25">
      <c r="A71" s="17">
        <f>A69+1</f>
        <v>32</v>
      </c>
      <c r="B71" s="18" t="s">
        <v>540</v>
      </c>
      <c r="C71" s="17" t="s">
        <v>77</v>
      </c>
      <c r="D71" s="328">
        <v>1.88</v>
      </c>
      <c r="E71" s="23">
        <v>299.76</v>
      </c>
      <c r="F71" s="21">
        <f>ROUND(E71*D71,2)</f>
        <v>563.54999999999995</v>
      </c>
      <c r="G71" s="21">
        <f t="shared" ref="G71" si="52">ROUND(F71*1.2,2)</f>
        <v>676.26</v>
      </c>
      <c r="H71" s="23"/>
      <c r="I71" s="21"/>
      <c r="J71" s="21"/>
      <c r="K71" s="23">
        <f t="shared" si="37"/>
        <v>563.54999999999995</v>
      </c>
      <c r="L71" s="21">
        <f t="shared" si="37"/>
        <v>676.26</v>
      </c>
      <c r="M71" s="64" t="s">
        <v>541</v>
      </c>
    </row>
    <row r="72" spans="1:13" ht="17.25" customHeight="1" x14ac:dyDescent="0.25">
      <c r="A72" s="188" t="s">
        <v>542</v>
      </c>
      <c r="B72" s="277" t="s">
        <v>465</v>
      </c>
      <c r="C72" s="27" t="s">
        <v>171</v>
      </c>
      <c r="D72" s="34">
        <f>D71*0.7*2</f>
        <v>2.6319999999999997</v>
      </c>
      <c r="E72" s="32"/>
      <c r="F72" s="30"/>
      <c r="G72" s="30"/>
      <c r="H72" s="279">
        <v>296.39999999999998</v>
      </c>
      <c r="I72" s="30">
        <f t="shared" ref="I72" si="53">ROUND(H72*D72,2)</f>
        <v>780.12</v>
      </c>
      <c r="J72" s="30">
        <f t="shared" ref="J72" si="54">ROUND(I72*1.2,2)</f>
        <v>936.14</v>
      </c>
      <c r="K72" s="32">
        <f t="shared" ref="K72:L83" si="55">F72+I72</f>
        <v>780.12</v>
      </c>
      <c r="L72" s="30">
        <f t="shared" si="55"/>
        <v>936.14</v>
      </c>
      <c r="M72" s="64"/>
    </row>
    <row r="73" spans="1:13" ht="17.25" customHeight="1" x14ac:dyDescent="0.25">
      <c r="A73" s="329">
        <f>A71+1</f>
        <v>33</v>
      </c>
      <c r="B73" s="18" t="s">
        <v>543</v>
      </c>
      <c r="C73" s="17" t="s">
        <v>77</v>
      </c>
      <c r="D73" s="33">
        <v>2.16</v>
      </c>
      <c r="E73" s="23">
        <v>144.4</v>
      </c>
      <c r="F73" s="21">
        <f>ROUND(E73*D73,2)</f>
        <v>311.89999999999998</v>
      </c>
      <c r="G73" s="21">
        <f>ROUND(F73*1.2,2)</f>
        <v>374.28</v>
      </c>
      <c r="H73" s="23"/>
      <c r="I73" s="21"/>
      <c r="J73" s="21"/>
      <c r="K73" s="23">
        <f t="shared" si="55"/>
        <v>311.89999999999998</v>
      </c>
      <c r="L73" s="21">
        <f t="shared" si="55"/>
        <v>374.28</v>
      </c>
      <c r="M73" s="64" t="s">
        <v>544</v>
      </c>
    </row>
    <row r="74" spans="1:13" ht="17.25" customHeight="1" x14ac:dyDescent="0.25">
      <c r="A74" s="188" t="s">
        <v>235</v>
      </c>
      <c r="B74" s="277" t="s">
        <v>545</v>
      </c>
      <c r="C74" s="27" t="s">
        <v>171</v>
      </c>
      <c r="D74" s="189">
        <f>D73*0.15</f>
        <v>0.32400000000000001</v>
      </c>
      <c r="E74" s="32"/>
      <c r="F74" s="30"/>
      <c r="G74" s="30"/>
      <c r="H74" s="32">
        <v>149.15</v>
      </c>
      <c r="I74" s="30">
        <f>ROUND(H74*D74,2)</f>
        <v>48.32</v>
      </c>
      <c r="J74" s="30">
        <f>ROUND(I74*1.2,2)</f>
        <v>57.98</v>
      </c>
      <c r="K74" s="32">
        <f t="shared" si="55"/>
        <v>48.32</v>
      </c>
      <c r="L74" s="30">
        <f t="shared" si="55"/>
        <v>57.98</v>
      </c>
    </row>
    <row r="75" spans="1:13" ht="17.25" customHeight="1" x14ac:dyDescent="0.25">
      <c r="A75" s="17">
        <f>A73+1</f>
        <v>34</v>
      </c>
      <c r="B75" s="18" t="s">
        <v>546</v>
      </c>
      <c r="C75" s="17" t="s">
        <v>77</v>
      </c>
      <c r="D75" s="33">
        <v>2.16</v>
      </c>
      <c r="E75" s="23">
        <f>144.4*2</f>
        <v>288.8</v>
      </c>
      <c r="F75" s="21">
        <f>ROUND(E75*D75,2)</f>
        <v>623.80999999999995</v>
      </c>
      <c r="G75" s="21">
        <f>ROUND(F75*1.2,2)</f>
        <v>748.57</v>
      </c>
      <c r="H75" s="23"/>
      <c r="I75" s="21"/>
      <c r="J75" s="21"/>
      <c r="K75" s="23">
        <f t="shared" si="55"/>
        <v>623.80999999999995</v>
      </c>
      <c r="L75" s="21">
        <f t="shared" si="55"/>
        <v>748.57</v>
      </c>
      <c r="M75" s="64" t="s">
        <v>544</v>
      </c>
    </row>
    <row r="76" spans="1:13" ht="17.25" customHeight="1" x14ac:dyDescent="0.25">
      <c r="A76" s="188" t="s">
        <v>237</v>
      </c>
      <c r="B76" s="277" t="s">
        <v>547</v>
      </c>
      <c r="C76" s="27" t="s">
        <v>171</v>
      </c>
      <c r="D76" s="189">
        <f>D75*0.32</f>
        <v>0.69120000000000004</v>
      </c>
      <c r="E76" s="29"/>
      <c r="F76" s="30"/>
      <c r="G76" s="30"/>
      <c r="H76" s="32">
        <v>165.3</v>
      </c>
      <c r="I76" s="30">
        <f>ROUND(H76*D76,2)</f>
        <v>114.26</v>
      </c>
      <c r="J76" s="30">
        <f>ROUND(I76*1.2,2)</f>
        <v>137.11000000000001</v>
      </c>
      <c r="K76" s="32">
        <f t="shared" si="55"/>
        <v>114.26</v>
      </c>
      <c r="L76" s="30">
        <f t="shared" si="55"/>
        <v>137.11000000000001</v>
      </c>
    </row>
    <row r="77" spans="1:13" ht="17.25" customHeight="1" x14ac:dyDescent="0.25">
      <c r="A77" s="17">
        <f>A75+1</f>
        <v>35</v>
      </c>
      <c r="B77" s="319" t="s">
        <v>548</v>
      </c>
      <c r="C77" s="175" t="s">
        <v>75</v>
      </c>
      <c r="D77" s="322">
        <v>2</v>
      </c>
      <c r="E77" s="176">
        <v>2234.4</v>
      </c>
      <c r="F77" s="21">
        <f t="shared" ref="F77" si="56">ROUND(E77*D77,2)</f>
        <v>4468.8</v>
      </c>
      <c r="G77" s="21">
        <f t="shared" ref="G77" si="57">ROUND(F77*1.2,2)</f>
        <v>5362.56</v>
      </c>
      <c r="H77" s="20"/>
      <c r="I77" s="21"/>
      <c r="J77" s="21"/>
      <c r="K77" s="23">
        <f t="shared" si="55"/>
        <v>4468.8</v>
      </c>
      <c r="L77" s="21">
        <f t="shared" si="55"/>
        <v>5362.56</v>
      </c>
      <c r="M77" s="24"/>
    </row>
    <row r="78" spans="1:13" ht="17.25" customHeight="1" x14ac:dyDescent="0.25">
      <c r="A78" s="188" t="s">
        <v>239</v>
      </c>
      <c r="B78" s="26" t="s">
        <v>549</v>
      </c>
      <c r="C78" s="125" t="s">
        <v>75</v>
      </c>
      <c r="D78" s="196">
        <v>2</v>
      </c>
      <c r="E78" s="29"/>
      <c r="F78" s="30"/>
      <c r="G78" s="30"/>
      <c r="H78" s="30">
        <v>3040</v>
      </c>
      <c r="I78" s="30">
        <f>ROUND(H78*D78,2)</f>
        <v>6080</v>
      </c>
      <c r="J78" s="30">
        <f>ROUND(I78*1.2,2)</f>
        <v>7296</v>
      </c>
      <c r="K78" s="32">
        <f t="shared" si="55"/>
        <v>6080</v>
      </c>
      <c r="L78" s="30">
        <f t="shared" si="55"/>
        <v>7296</v>
      </c>
      <c r="M78" s="64"/>
    </row>
    <row r="79" spans="1:13" ht="17.25" customHeight="1" x14ac:dyDescent="0.25">
      <c r="A79" s="17">
        <f>A77+1</f>
        <v>36</v>
      </c>
      <c r="B79" s="319" t="s">
        <v>550</v>
      </c>
      <c r="C79" s="175" t="s">
        <v>75</v>
      </c>
      <c r="D79" s="322">
        <v>3</v>
      </c>
      <c r="E79" s="176">
        <v>7694.0499999999993</v>
      </c>
      <c r="F79" s="21">
        <f t="shared" ref="F79" si="58">ROUND(E79*D79,2)</f>
        <v>23082.15</v>
      </c>
      <c r="G79" s="21">
        <f t="shared" ref="G79" si="59">ROUND(F79*1.2,2)</f>
        <v>27698.58</v>
      </c>
      <c r="H79" s="21"/>
      <c r="I79" s="21"/>
      <c r="J79" s="21"/>
      <c r="K79" s="23">
        <f t="shared" si="55"/>
        <v>23082.15</v>
      </c>
      <c r="L79" s="21">
        <f t="shared" si="55"/>
        <v>27698.58</v>
      </c>
    </row>
    <row r="80" spans="1:13" ht="17.25" customHeight="1" x14ac:dyDescent="0.25">
      <c r="A80" s="188" t="s">
        <v>374</v>
      </c>
      <c r="B80" s="26" t="s">
        <v>503</v>
      </c>
      <c r="C80" s="125" t="s">
        <v>75</v>
      </c>
      <c r="D80" s="196">
        <v>3</v>
      </c>
      <c r="E80" s="29"/>
      <c r="F80" s="30"/>
      <c r="G80" s="30"/>
      <c r="H80" s="30">
        <v>5476.75</v>
      </c>
      <c r="I80" s="30">
        <f>ROUND(H80*D80,2)</f>
        <v>16430.25</v>
      </c>
      <c r="J80" s="30">
        <f>ROUND(I80*1.2,2)</f>
        <v>19716.3</v>
      </c>
      <c r="K80" s="32">
        <f t="shared" si="55"/>
        <v>16430.25</v>
      </c>
      <c r="L80" s="30">
        <f t="shared" si="55"/>
        <v>19716.3</v>
      </c>
      <c r="M80" s="64"/>
    </row>
    <row r="81" spans="1:13" ht="17.25" customHeight="1" x14ac:dyDescent="0.25">
      <c r="A81" s="17">
        <f>A79+1</f>
        <v>37</v>
      </c>
      <c r="B81" s="174" t="s">
        <v>551</v>
      </c>
      <c r="C81" s="175" t="s">
        <v>488</v>
      </c>
      <c r="D81" s="190">
        <v>309.93</v>
      </c>
      <c r="E81" s="176">
        <v>9.5</v>
      </c>
      <c r="F81" s="21">
        <f t="shared" ref="F81" si="60">ROUND(E81*D81,2)</f>
        <v>2944.34</v>
      </c>
      <c r="G81" s="21">
        <f t="shared" ref="G81" si="61">ROUND(F81*1.2,2)</f>
        <v>3533.21</v>
      </c>
      <c r="H81" s="21"/>
      <c r="I81" s="21"/>
      <c r="J81" s="21"/>
      <c r="K81" s="23">
        <f t="shared" si="55"/>
        <v>2944.34</v>
      </c>
      <c r="L81" s="21">
        <f t="shared" si="55"/>
        <v>3533.21</v>
      </c>
    </row>
    <row r="82" spans="1:13" ht="17.25" customHeight="1" x14ac:dyDescent="0.25">
      <c r="A82" s="188" t="s">
        <v>552</v>
      </c>
      <c r="B82" s="26" t="s">
        <v>553</v>
      </c>
      <c r="C82" s="125" t="s">
        <v>72</v>
      </c>
      <c r="D82" s="189">
        <v>309.93</v>
      </c>
      <c r="E82" s="29"/>
      <c r="F82" s="30"/>
      <c r="G82" s="30"/>
      <c r="H82" s="30">
        <v>18.34</v>
      </c>
      <c r="I82" s="30">
        <f>ROUND(H82*D82,2)</f>
        <v>5684.12</v>
      </c>
      <c r="J82" s="30">
        <f>ROUND(I82*1.2,2)</f>
        <v>6820.94</v>
      </c>
      <c r="K82" s="32">
        <f t="shared" si="55"/>
        <v>5684.12</v>
      </c>
      <c r="L82" s="30">
        <f t="shared" si="55"/>
        <v>6820.94</v>
      </c>
      <c r="M82" s="64"/>
    </row>
    <row r="83" spans="1:13" ht="17.25" customHeight="1" x14ac:dyDescent="0.25">
      <c r="A83" s="100">
        <f>A81+1</f>
        <v>38</v>
      </c>
      <c r="B83" s="183" t="s">
        <v>554</v>
      </c>
      <c r="C83" s="184" t="s">
        <v>75</v>
      </c>
      <c r="D83" s="318">
        <v>2</v>
      </c>
      <c r="E83" s="185">
        <v>10060.5</v>
      </c>
      <c r="F83" s="186">
        <f t="shared" ref="F83" si="62">ROUND(E83*D83,2)</f>
        <v>20121</v>
      </c>
      <c r="G83" s="186">
        <f t="shared" ref="G83" si="63">ROUND(F83*1.2,2)</f>
        <v>24145.200000000001</v>
      </c>
      <c r="H83" s="186"/>
      <c r="I83" s="186"/>
      <c r="J83" s="186"/>
      <c r="K83" s="123">
        <f t="shared" si="55"/>
        <v>20121</v>
      </c>
      <c r="L83" s="186">
        <f t="shared" si="55"/>
        <v>24145.200000000001</v>
      </c>
    </row>
    <row r="84" spans="1:13" ht="17.25" customHeight="1" x14ac:dyDescent="0.25">
      <c r="A84" s="108"/>
      <c r="B84" s="193" t="s">
        <v>555</v>
      </c>
      <c r="C84" s="179"/>
      <c r="D84" s="317"/>
      <c r="E84" s="181"/>
      <c r="F84" s="166"/>
      <c r="G84" s="166"/>
      <c r="H84" s="182"/>
      <c r="I84" s="117"/>
      <c r="J84" s="117"/>
      <c r="K84" s="165"/>
      <c r="L84" s="117"/>
    </row>
    <row r="85" spans="1:13" s="178" customFormat="1" ht="17.25" customHeight="1" x14ac:dyDescent="0.25">
      <c r="A85" s="153">
        <f>A83+1</f>
        <v>39</v>
      </c>
      <c r="B85" s="167" t="s">
        <v>556</v>
      </c>
      <c r="C85" s="168" t="s">
        <v>72</v>
      </c>
      <c r="D85" s="331">
        <v>369.68</v>
      </c>
      <c r="E85" s="177">
        <v>285</v>
      </c>
      <c r="F85" s="157">
        <f t="shared" ref="F85:F86" si="64">ROUND(E85*D85,2)</f>
        <v>105358.8</v>
      </c>
      <c r="G85" s="157">
        <f t="shared" ref="G85:G86" si="65">ROUND(F85*1.2,2)</f>
        <v>126430.56</v>
      </c>
      <c r="H85" s="170"/>
      <c r="I85" s="157"/>
      <c r="J85" s="157"/>
      <c r="K85" s="158">
        <f t="shared" ref="K85:L86" si="66">F85+I85</f>
        <v>105358.8</v>
      </c>
      <c r="L85" s="157">
        <f t="shared" si="66"/>
        <v>126430.56</v>
      </c>
      <c r="M85" s="214" t="s">
        <v>557</v>
      </c>
    </row>
    <row r="86" spans="1:13" s="178" customFormat="1" ht="17.25" customHeight="1" x14ac:dyDescent="0.25">
      <c r="A86" s="153">
        <f>A85+1</f>
        <v>40</v>
      </c>
      <c r="B86" s="167" t="s">
        <v>558</v>
      </c>
      <c r="C86" s="168" t="s">
        <v>279</v>
      </c>
      <c r="D86" s="332" t="s">
        <v>559</v>
      </c>
      <c r="E86" s="177">
        <v>1177.05</v>
      </c>
      <c r="F86" s="157">
        <f t="shared" si="64"/>
        <v>48259.05</v>
      </c>
      <c r="G86" s="157">
        <f t="shared" si="65"/>
        <v>57910.86</v>
      </c>
      <c r="H86" s="170"/>
      <c r="I86" s="157"/>
      <c r="J86" s="157"/>
      <c r="K86" s="158">
        <f t="shared" si="66"/>
        <v>48259.05</v>
      </c>
      <c r="L86" s="157">
        <f t="shared" si="66"/>
        <v>57910.86</v>
      </c>
      <c r="M86" s="214" t="s">
        <v>557</v>
      </c>
    </row>
    <row r="87" spans="1:13" s="85" customFormat="1" ht="24" customHeight="1" x14ac:dyDescent="0.3">
      <c r="A87" s="877" t="s">
        <v>121</v>
      </c>
      <c r="B87" s="878"/>
      <c r="C87" s="878"/>
      <c r="D87" s="878"/>
      <c r="E87" s="879"/>
      <c r="F87" s="211">
        <f>SUM(F7:F86)</f>
        <v>3194754.2499999995</v>
      </c>
      <c r="G87" s="211">
        <f>ROUND(F87*1.2,2)</f>
        <v>3833705.1</v>
      </c>
      <c r="H87" s="212"/>
      <c r="I87" s="211">
        <f>SUM(I7:I86)</f>
        <v>1506228.7100000004</v>
      </c>
      <c r="J87" s="211">
        <f>ROUND(I87*1.2,2)</f>
        <v>1807474.45</v>
      </c>
      <c r="K87" s="211">
        <f>SUM(K7:K86)</f>
        <v>4700982.96</v>
      </c>
      <c r="L87" s="211">
        <f>ROUND(K87*1.2,2)</f>
        <v>5641179.5499999998</v>
      </c>
    </row>
    <row r="89" spans="1:13" x14ac:dyDescent="0.25">
      <c r="B89" s="86" t="s">
        <v>122</v>
      </c>
      <c r="K89" s="213"/>
      <c r="L89" s="330">
        <f>-1*(L85+L86)</f>
        <v>-184341.41999999998</v>
      </c>
    </row>
    <row r="90" spans="1:13" x14ac:dyDescent="0.25">
      <c r="B90" s="88" t="s">
        <v>123</v>
      </c>
    </row>
  </sheetData>
  <mergeCells count="11">
    <mergeCell ref="B6:D6"/>
    <mergeCell ref="M59:M60"/>
    <mergeCell ref="A87:E8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A72B-3767-4F60-B34D-8D72E4FB1364}">
  <sheetPr>
    <tabColor rgb="FFFFFF00"/>
  </sheetPr>
  <dimension ref="A1:V121"/>
  <sheetViews>
    <sheetView view="pageBreakPreview" topLeftCell="A85" zoomScale="70" zoomScaleNormal="100" zoomScaleSheetLayoutView="70" workbookViewId="0">
      <selection activeCell="H122" sqref="H122"/>
    </sheetView>
  </sheetViews>
  <sheetFormatPr defaultColWidth="8.85546875" defaultRowHeight="15.75" x14ac:dyDescent="0.25"/>
  <cols>
    <col min="1" max="1" width="8.85546875" style="6"/>
    <col min="2" max="2" width="65.140625" style="6" customWidth="1"/>
    <col min="3" max="3" width="9.28515625" style="6" customWidth="1"/>
    <col min="4" max="4" width="13.28515625" style="6" customWidth="1"/>
    <col min="5" max="5" width="15.140625" style="6" customWidth="1"/>
    <col min="6" max="6" width="17.85546875" style="6" customWidth="1"/>
    <col min="7" max="7" width="17.140625" style="87" customWidth="1"/>
    <col min="8" max="8" width="16.140625" style="87" customWidth="1"/>
    <col min="9" max="9" width="18.42578125" style="6" customWidth="1"/>
    <col min="10" max="11" width="17.7109375" style="6" customWidth="1"/>
    <col min="12" max="12" width="18.140625" style="6" customWidth="1"/>
    <col min="13" max="13" width="33.5703125" style="6" customWidth="1"/>
    <col min="14" max="14" width="42" style="6" customWidth="1"/>
    <col min="15" max="15" width="24.85546875" style="85" customWidth="1"/>
    <col min="16" max="16" width="21" style="6" customWidth="1"/>
    <col min="17" max="21" width="8.85546875" style="6"/>
    <col min="22" max="22" width="11.140625" style="6" bestFit="1" customWidth="1"/>
    <col min="23" max="16384" width="8.85546875" style="6"/>
  </cols>
  <sheetData>
    <row r="1" spans="1:15" ht="14.45" customHeight="1" x14ac:dyDescent="0.25">
      <c r="A1" s="883" t="s">
        <v>26</v>
      </c>
      <c r="B1" s="886" t="s">
        <v>57</v>
      </c>
      <c r="C1" s="889" t="s">
        <v>58</v>
      </c>
      <c r="D1" s="889" t="s">
        <v>59</v>
      </c>
      <c r="E1" s="890" t="s">
        <v>60</v>
      </c>
      <c r="F1" s="891"/>
      <c r="G1" s="891"/>
      <c r="H1" s="891"/>
      <c r="I1" s="891"/>
      <c r="J1" s="891"/>
      <c r="K1" s="891"/>
      <c r="L1" s="891"/>
    </row>
    <row r="2" spans="1:15" ht="14.45" customHeight="1" x14ac:dyDescent="0.25">
      <c r="A2" s="884"/>
      <c r="B2" s="887"/>
      <c r="C2" s="889"/>
      <c r="D2" s="889"/>
      <c r="E2" s="892"/>
      <c r="F2" s="893"/>
      <c r="G2" s="893"/>
      <c r="H2" s="893"/>
      <c r="I2" s="893"/>
      <c r="J2" s="893"/>
      <c r="K2" s="893"/>
      <c r="L2" s="893"/>
    </row>
    <row r="3" spans="1:15" ht="27.75" customHeight="1" x14ac:dyDescent="0.25">
      <c r="A3" s="884"/>
      <c r="B3" s="887"/>
      <c r="C3" s="889"/>
      <c r="D3" s="889"/>
      <c r="E3" s="889" t="s">
        <v>61</v>
      </c>
      <c r="F3" s="889"/>
      <c r="G3" s="889"/>
      <c r="H3" s="889" t="s">
        <v>62</v>
      </c>
      <c r="I3" s="889"/>
      <c r="J3" s="889"/>
      <c r="K3" s="894" t="s">
        <v>63</v>
      </c>
      <c r="L3" s="894"/>
    </row>
    <row r="4" spans="1:15" ht="56.1" customHeight="1" x14ac:dyDescent="0.25">
      <c r="A4" s="885"/>
      <c r="B4" s="888"/>
      <c r="C4" s="889"/>
      <c r="D4" s="889"/>
      <c r="E4" s="7" t="s">
        <v>64</v>
      </c>
      <c r="F4" s="7" t="s">
        <v>65</v>
      </c>
      <c r="G4" s="8" t="s">
        <v>66</v>
      </c>
      <c r="H4" s="7" t="s">
        <v>64</v>
      </c>
      <c r="I4" s="7" t="s">
        <v>65</v>
      </c>
      <c r="J4" s="8" t="s">
        <v>66</v>
      </c>
      <c r="K4" s="7" t="s">
        <v>67</v>
      </c>
      <c r="L4" s="7" t="s">
        <v>68</v>
      </c>
    </row>
    <row r="5" spans="1: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6"/>
    </row>
    <row r="6" spans="1:15" ht="20.25" customHeight="1" x14ac:dyDescent="0.25">
      <c r="A6" s="11"/>
      <c r="B6" s="880" t="s">
        <v>179</v>
      </c>
      <c r="C6" s="881"/>
      <c r="D6" s="881"/>
      <c r="E6" s="12"/>
      <c r="F6" s="13"/>
      <c r="G6" s="14"/>
      <c r="H6" s="14"/>
      <c r="I6" s="14"/>
      <c r="J6" s="14"/>
      <c r="K6" s="14"/>
      <c r="L6" s="14"/>
      <c r="M6" s="162"/>
    </row>
    <row r="7" spans="1:15" ht="18" customHeight="1" x14ac:dyDescent="0.25">
      <c r="A7" s="108"/>
      <c r="B7" s="163" t="s">
        <v>180</v>
      </c>
      <c r="C7" s="164"/>
      <c r="D7" s="164"/>
      <c r="E7" s="165"/>
      <c r="F7" s="166"/>
      <c r="G7" s="166"/>
      <c r="H7" s="119"/>
      <c r="I7" s="117"/>
      <c r="J7" s="117"/>
      <c r="K7" s="165"/>
      <c r="L7" s="166"/>
    </row>
    <row r="8" spans="1:15" ht="18" customHeight="1" x14ac:dyDescent="0.25">
      <c r="A8" s="108"/>
      <c r="B8" s="163" t="s">
        <v>181</v>
      </c>
      <c r="C8" s="164"/>
      <c r="D8" s="164"/>
      <c r="E8" s="165"/>
      <c r="F8" s="166"/>
      <c r="G8" s="166"/>
      <c r="H8" s="119"/>
      <c r="I8" s="117"/>
      <c r="J8" s="117"/>
      <c r="K8" s="165"/>
      <c r="L8" s="166"/>
    </row>
    <row r="9" spans="1:15" s="178" customFormat="1" ht="24" customHeight="1" x14ac:dyDescent="0.25">
      <c r="A9" s="153">
        <v>1</v>
      </c>
      <c r="B9" s="167" t="s">
        <v>182</v>
      </c>
      <c r="C9" s="168" t="s">
        <v>84</v>
      </c>
      <c r="D9" s="169">
        <v>8747.7900000000009</v>
      </c>
      <c r="E9" s="177">
        <v>666.67</v>
      </c>
      <c r="F9" s="157">
        <f t="shared" ref="F9:F16" si="0">ROUND(E9*D9,2)</f>
        <v>5831889.1600000001</v>
      </c>
      <c r="G9" s="157">
        <f t="shared" ref="G9:G16" si="1">ROUND(F9*1.2,2)</f>
        <v>6998266.9900000002</v>
      </c>
      <c r="H9" s="170"/>
      <c r="I9" s="157"/>
      <c r="J9" s="157"/>
      <c r="K9" s="158">
        <f t="shared" ref="K9:L16" si="2">F9+I9</f>
        <v>5831889.1600000001</v>
      </c>
      <c r="L9" s="157">
        <f t="shared" si="2"/>
        <v>6998266.9900000002</v>
      </c>
      <c r="M9" s="178" t="s">
        <v>183</v>
      </c>
      <c r="N9" s="783" t="s">
        <v>49</v>
      </c>
      <c r="O9" s="784">
        <f>L9-D9*308.75*1.2</f>
        <v>3757210.7950000004</v>
      </c>
    </row>
    <row r="10" spans="1:15" ht="24" customHeight="1" x14ac:dyDescent="0.25">
      <c r="A10" s="17">
        <f>A9+1</f>
        <v>2</v>
      </c>
      <c r="B10" s="18" t="s">
        <v>85</v>
      </c>
      <c r="C10" s="17" t="s">
        <v>84</v>
      </c>
      <c r="D10" s="173">
        <v>449.45</v>
      </c>
      <c r="E10" s="23">
        <v>1688.1499999999999</v>
      </c>
      <c r="F10" s="21">
        <f t="shared" si="0"/>
        <v>758739.02</v>
      </c>
      <c r="G10" s="21">
        <f t="shared" si="1"/>
        <v>910486.82</v>
      </c>
      <c r="H10" s="22"/>
      <c r="I10" s="21"/>
      <c r="J10" s="21"/>
      <c r="K10" s="23">
        <f t="shared" si="2"/>
        <v>758739.02</v>
      </c>
      <c r="L10" s="21">
        <f t="shared" si="2"/>
        <v>910486.82</v>
      </c>
      <c r="M10" s="6" t="s">
        <v>184</v>
      </c>
      <c r="N10" s="778" t="s">
        <v>1248</v>
      </c>
      <c r="O10" s="786">
        <f>L10-D10*308.75</f>
        <v>771719.13249999995</v>
      </c>
    </row>
    <row r="11" spans="1:15" ht="24" customHeight="1" x14ac:dyDescent="0.25">
      <c r="A11" s="17">
        <f t="shared" ref="A11:A16" si="3">A10+1</f>
        <v>3</v>
      </c>
      <c r="B11" s="174" t="s">
        <v>89</v>
      </c>
      <c r="C11" s="175" t="s">
        <v>80</v>
      </c>
      <c r="D11" s="173">
        <f>449.45*1.9</f>
        <v>853.95499999999993</v>
      </c>
      <c r="E11" s="176">
        <v>308.75</v>
      </c>
      <c r="F11" s="21">
        <f t="shared" si="0"/>
        <v>263658.61</v>
      </c>
      <c r="G11" s="21">
        <f t="shared" si="1"/>
        <v>316390.33</v>
      </c>
      <c r="H11" s="22"/>
      <c r="I11" s="21"/>
      <c r="J11" s="21"/>
      <c r="K11" s="23">
        <f t="shared" si="2"/>
        <v>263658.61</v>
      </c>
      <c r="L11" s="21">
        <f t="shared" si="2"/>
        <v>316390.33</v>
      </c>
      <c r="M11" s="6" t="s">
        <v>184</v>
      </c>
    </row>
    <row r="12" spans="1:15" ht="24" customHeight="1" x14ac:dyDescent="0.25">
      <c r="A12" s="17">
        <f t="shared" si="3"/>
        <v>4</v>
      </c>
      <c r="B12" s="18" t="s">
        <v>185</v>
      </c>
      <c r="C12" s="17" t="s">
        <v>84</v>
      </c>
      <c r="D12" s="173">
        <f>313.854/1.9</f>
        <v>165.1863157894737</v>
      </c>
      <c r="E12" s="23">
        <v>237.5</v>
      </c>
      <c r="F12" s="21">
        <f t="shared" si="0"/>
        <v>39231.75</v>
      </c>
      <c r="G12" s="21">
        <f t="shared" si="1"/>
        <v>47078.1</v>
      </c>
      <c r="H12" s="22"/>
      <c r="I12" s="21"/>
      <c r="J12" s="21"/>
      <c r="K12" s="23">
        <f t="shared" si="2"/>
        <v>39231.75</v>
      </c>
      <c r="L12" s="21">
        <f t="shared" si="2"/>
        <v>47078.1</v>
      </c>
      <c r="M12" s="6" t="s">
        <v>184</v>
      </c>
    </row>
    <row r="13" spans="1:15" s="178" customFormat="1" ht="24" customHeight="1" x14ac:dyDescent="0.25">
      <c r="A13" s="153">
        <f t="shared" si="3"/>
        <v>5</v>
      </c>
      <c r="B13" s="167" t="s">
        <v>186</v>
      </c>
      <c r="C13" s="168" t="s">
        <v>77</v>
      </c>
      <c r="D13" s="177">
        <v>7278.6</v>
      </c>
      <c r="E13" s="158">
        <v>277.875</v>
      </c>
      <c r="F13" s="157">
        <f t="shared" si="0"/>
        <v>2022540.98</v>
      </c>
      <c r="G13" s="157">
        <f t="shared" si="1"/>
        <v>2427049.1800000002</v>
      </c>
      <c r="H13" s="170"/>
      <c r="I13" s="157"/>
      <c r="J13" s="157"/>
      <c r="K13" s="158">
        <f t="shared" si="2"/>
        <v>2022540.98</v>
      </c>
      <c r="L13" s="157">
        <f t="shared" si="2"/>
        <v>2427049.1800000002</v>
      </c>
      <c r="M13" s="172" t="s">
        <v>187</v>
      </c>
      <c r="O13" s="785"/>
    </row>
    <row r="14" spans="1:15" s="178" customFormat="1" ht="24" customHeight="1" x14ac:dyDescent="0.25">
      <c r="A14" s="153">
        <f t="shared" si="3"/>
        <v>6</v>
      </c>
      <c r="B14" s="167" t="s">
        <v>188</v>
      </c>
      <c r="C14" s="168" t="s">
        <v>77</v>
      </c>
      <c r="D14" s="177">
        <v>1819.6420000000001</v>
      </c>
      <c r="E14" s="158">
        <v>277.875</v>
      </c>
      <c r="F14" s="157">
        <f t="shared" si="0"/>
        <v>505633.02</v>
      </c>
      <c r="G14" s="157">
        <f t="shared" si="1"/>
        <v>606759.62</v>
      </c>
      <c r="H14" s="170"/>
      <c r="I14" s="157"/>
      <c r="J14" s="157"/>
      <c r="K14" s="158">
        <f t="shared" si="2"/>
        <v>505633.02</v>
      </c>
      <c r="L14" s="157">
        <f t="shared" si="2"/>
        <v>606759.62</v>
      </c>
      <c r="O14" s="785"/>
    </row>
    <row r="15" spans="1:15" s="178" customFormat="1" ht="24" customHeight="1" x14ac:dyDescent="0.25">
      <c r="A15" s="153">
        <f t="shared" si="3"/>
        <v>7</v>
      </c>
      <c r="B15" s="167" t="s">
        <v>189</v>
      </c>
      <c r="C15" s="168" t="s">
        <v>77</v>
      </c>
      <c r="D15" s="177">
        <v>3708</v>
      </c>
      <c r="E15" s="158">
        <v>277.875</v>
      </c>
      <c r="F15" s="157">
        <f t="shared" si="0"/>
        <v>1030360.5</v>
      </c>
      <c r="G15" s="157">
        <f t="shared" si="1"/>
        <v>1236432.6000000001</v>
      </c>
      <c r="H15" s="170"/>
      <c r="I15" s="157"/>
      <c r="J15" s="157"/>
      <c r="K15" s="158">
        <f t="shared" si="2"/>
        <v>1030360.5</v>
      </c>
      <c r="L15" s="157">
        <f t="shared" si="2"/>
        <v>1236432.6000000001</v>
      </c>
      <c r="O15" s="785"/>
    </row>
    <row r="16" spans="1:15" s="178" customFormat="1" ht="24" customHeight="1" x14ac:dyDescent="0.25">
      <c r="A16" s="153">
        <f t="shared" si="3"/>
        <v>8</v>
      </c>
      <c r="B16" s="167" t="s">
        <v>188</v>
      </c>
      <c r="C16" s="168" t="s">
        <v>77</v>
      </c>
      <c r="D16" s="177">
        <v>927</v>
      </c>
      <c r="E16" s="158">
        <v>277.875</v>
      </c>
      <c r="F16" s="157">
        <f t="shared" si="0"/>
        <v>257590.13</v>
      </c>
      <c r="G16" s="157">
        <f t="shared" si="1"/>
        <v>309108.15999999997</v>
      </c>
      <c r="H16" s="170"/>
      <c r="I16" s="157"/>
      <c r="J16" s="157"/>
      <c r="K16" s="158">
        <f t="shared" si="2"/>
        <v>257590.13</v>
      </c>
      <c r="L16" s="157">
        <f t="shared" si="2"/>
        <v>309108.15999999997</v>
      </c>
      <c r="O16" s="784">
        <f>L16+L15+L14+L13</f>
        <v>4579349.5600000005</v>
      </c>
    </row>
    <row r="17" spans="1:22" ht="21.75" customHeight="1" x14ac:dyDescent="0.25">
      <c r="A17" s="108"/>
      <c r="B17" s="163" t="s">
        <v>190</v>
      </c>
      <c r="C17" s="179"/>
      <c r="D17" s="180"/>
      <c r="E17" s="181"/>
      <c r="F17" s="166"/>
      <c r="G17" s="166"/>
      <c r="H17" s="182"/>
      <c r="I17" s="117"/>
      <c r="J17" s="117"/>
      <c r="K17" s="165"/>
      <c r="L17" s="117"/>
    </row>
    <row r="18" spans="1:22" s="178" customFormat="1" ht="34.5" customHeight="1" x14ac:dyDescent="0.25">
      <c r="A18" s="153">
        <f>A16+1</f>
        <v>9</v>
      </c>
      <c r="B18" s="167" t="s">
        <v>191</v>
      </c>
      <c r="C18" s="168" t="s">
        <v>77</v>
      </c>
      <c r="D18" s="169">
        <v>5924.94</v>
      </c>
      <c r="E18" s="177">
        <v>183.58</v>
      </c>
      <c r="F18" s="157">
        <f t="shared" ref="F18" si="4">ROUND(E18*D18,2)</f>
        <v>1087700.49</v>
      </c>
      <c r="G18" s="157">
        <f t="shared" ref="G18" si="5">ROUND(F18*1.2,2)</f>
        <v>1305240.5900000001</v>
      </c>
      <c r="H18" s="170"/>
      <c r="I18" s="157"/>
      <c r="J18" s="157"/>
      <c r="K18" s="158">
        <f t="shared" ref="K18:L26" si="6">F18+I18</f>
        <v>1087700.49</v>
      </c>
      <c r="L18" s="157">
        <f t="shared" si="6"/>
        <v>1305240.5900000001</v>
      </c>
      <c r="M18" s="178" t="s">
        <v>183</v>
      </c>
      <c r="N18" s="782" t="s">
        <v>1244</v>
      </c>
      <c r="O18" s="789">
        <f>L18-D18*93</f>
        <v>754221.17000000016</v>
      </c>
    </row>
    <row r="19" spans="1:22" s="178" customFormat="1" ht="20.25" customHeight="1" x14ac:dyDescent="0.25">
      <c r="A19" s="203" t="s">
        <v>93</v>
      </c>
      <c r="B19" s="152" t="s">
        <v>192</v>
      </c>
      <c r="C19" s="168" t="s">
        <v>77</v>
      </c>
      <c r="D19" s="790">
        <f>D18*1.1</f>
        <v>6517.4340000000002</v>
      </c>
      <c r="E19" s="155"/>
      <c r="F19" s="157"/>
      <c r="G19" s="157"/>
      <c r="H19" s="157">
        <v>145.66</v>
      </c>
      <c r="I19" s="157">
        <f>ROUND(H19*D19,2)</f>
        <v>949329.44</v>
      </c>
      <c r="J19" s="157">
        <f>ROUND(I19*1.2,2)</f>
        <v>1139195.33</v>
      </c>
      <c r="K19" s="158">
        <f t="shared" si="6"/>
        <v>949329.44</v>
      </c>
      <c r="L19" s="157">
        <f t="shared" si="6"/>
        <v>1139195.33</v>
      </c>
      <c r="M19" s="788"/>
      <c r="N19" s="782" t="s">
        <v>1245</v>
      </c>
      <c r="O19" s="771">
        <f>L19-D19*100</f>
        <v>487451.93000000005</v>
      </c>
      <c r="V19" s="791"/>
    </row>
    <row r="20" spans="1:22" ht="31.5" customHeight="1" x14ac:dyDescent="0.25">
      <c r="A20" s="17">
        <f>A18+1</f>
        <v>10</v>
      </c>
      <c r="B20" s="174" t="s">
        <v>193</v>
      </c>
      <c r="C20" s="175" t="s">
        <v>84</v>
      </c>
      <c r="D20" s="176">
        <v>1805.95</v>
      </c>
      <c r="E20" s="23">
        <v>1179.8999999999999</v>
      </c>
      <c r="F20" s="21">
        <f t="shared" ref="F20" si="7">ROUND(E20*D20,2)</f>
        <v>2130840.41</v>
      </c>
      <c r="G20" s="21">
        <f t="shared" ref="G20" si="8">ROUND(F20*1.2,2)</f>
        <v>2557008.4900000002</v>
      </c>
      <c r="H20" s="22"/>
      <c r="I20" s="21"/>
      <c r="J20" s="21"/>
      <c r="K20" s="23">
        <f t="shared" si="6"/>
        <v>2130840.41</v>
      </c>
      <c r="L20" s="21">
        <f t="shared" si="6"/>
        <v>2557008.4900000002</v>
      </c>
    </row>
    <row r="21" spans="1:22" ht="20.25" customHeight="1" x14ac:dyDescent="0.25">
      <c r="A21" s="188" t="s">
        <v>96</v>
      </c>
      <c r="B21" s="26" t="s">
        <v>97</v>
      </c>
      <c r="C21" s="125" t="s">
        <v>84</v>
      </c>
      <c r="D21" s="189">
        <f>D20*1.2</f>
        <v>2167.14</v>
      </c>
      <c r="E21" s="29"/>
      <c r="F21" s="30"/>
      <c r="G21" s="30"/>
      <c r="H21" s="30">
        <v>1029.1600000000001</v>
      </c>
      <c r="I21" s="30">
        <f>ROUND(H21*D21,2)</f>
        <v>2230333.7999999998</v>
      </c>
      <c r="J21" s="30">
        <f>ROUND(I21*1.2,2)</f>
        <v>2676400.56</v>
      </c>
      <c r="K21" s="32">
        <f t="shared" si="6"/>
        <v>2230333.7999999998</v>
      </c>
      <c r="L21" s="30">
        <f t="shared" si="6"/>
        <v>2676400.56</v>
      </c>
      <c r="M21" s="64"/>
    </row>
    <row r="22" spans="1:22" ht="31.5" customHeight="1" x14ac:dyDescent="0.25">
      <c r="A22" s="17">
        <f>A20+1</f>
        <v>11</v>
      </c>
      <c r="B22" s="174" t="s">
        <v>194</v>
      </c>
      <c r="C22" s="175" t="s">
        <v>84</v>
      </c>
      <c r="D22" s="176">
        <v>2858.58</v>
      </c>
      <c r="E22" s="23">
        <v>1421.01</v>
      </c>
      <c r="F22" s="21">
        <f t="shared" ref="F22" si="9">ROUND(E22*D22,2)</f>
        <v>4062070.77</v>
      </c>
      <c r="G22" s="21">
        <f t="shared" ref="G22" si="10">ROUND(F22*1.2,2)</f>
        <v>4874484.92</v>
      </c>
      <c r="H22" s="22"/>
      <c r="I22" s="21"/>
      <c r="J22" s="21"/>
      <c r="K22" s="23">
        <f t="shared" si="6"/>
        <v>4062070.77</v>
      </c>
      <c r="L22" s="21">
        <f t="shared" si="6"/>
        <v>4874484.92</v>
      </c>
    </row>
    <row r="23" spans="1:22" ht="20.25" customHeight="1" x14ac:dyDescent="0.25">
      <c r="A23" s="188" t="s">
        <v>99</v>
      </c>
      <c r="B23" s="26" t="s">
        <v>103</v>
      </c>
      <c r="C23" s="125" t="s">
        <v>84</v>
      </c>
      <c r="D23" s="189">
        <f>D22*1.26</f>
        <v>3601.8107999999997</v>
      </c>
      <c r="E23" s="29"/>
      <c r="F23" s="30"/>
      <c r="G23" s="30"/>
      <c r="H23" s="30">
        <v>4195.84</v>
      </c>
      <c r="I23" s="30">
        <f>ROUND(H23*D23,2)</f>
        <v>15112621.83</v>
      </c>
      <c r="J23" s="30">
        <f>ROUND(I23*1.2,2)</f>
        <v>18135146.199999999</v>
      </c>
      <c r="K23" s="32">
        <f t="shared" si="6"/>
        <v>15112621.83</v>
      </c>
      <c r="L23" s="30">
        <f t="shared" si="6"/>
        <v>18135146.199999999</v>
      </c>
      <c r="M23" s="64"/>
    </row>
    <row r="24" spans="1:22" ht="24.75" customHeight="1" x14ac:dyDescent="0.25">
      <c r="A24" s="17">
        <f>A22+1</f>
        <v>12</v>
      </c>
      <c r="B24" s="174" t="s">
        <v>195</v>
      </c>
      <c r="C24" s="175" t="s">
        <v>84</v>
      </c>
      <c r="D24" s="190">
        <v>46.44</v>
      </c>
      <c r="E24" s="23">
        <v>1421.01</v>
      </c>
      <c r="F24" s="21">
        <f t="shared" ref="F24:F25" si="11">ROUND(E24*D24,2)</f>
        <v>65991.7</v>
      </c>
      <c r="G24" s="21">
        <f t="shared" ref="G24:G25" si="12">ROUND(F24*1.2,2)</f>
        <v>79190.039999999994</v>
      </c>
      <c r="H24" s="22"/>
      <c r="I24" s="21"/>
      <c r="J24" s="21"/>
      <c r="K24" s="23">
        <f t="shared" si="6"/>
        <v>65991.7</v>
      </c>
      <c r="L24" s="21">
        <f t="shared" si="6"/>
        <v>79190.039999999994</v>
      </c>
    </row>
    <row r="25" spans="1:22" ht="24.75" customHeight="1" x14ac:dyDescent="0.25">
      <c r="A25" s="17">
        <f>A24+1</f>
        <v>13</v>
      </c>
      <c r="B25" s="174" t="s">
        <v>196</v>
      </c>
      <c r="C25" s="175" t="s">
        <v>84</v>
      </c>
      <c r="D25" s="190">
        <v>46.44</v>
      </c>
      <c r="E25" s="23">
        <v>1421.01</v>
      </c>
      <c r="F25" s="21">
        <f t="shared" si="11"/>
        <v>65991.7</v>
      </c>
      <c r="G25" s="21">
        <f t="shared" si="12"/>
        <v>79190.039999999994</v>
      </c>
      <c r="H25" s="22"/>
      <c r="I25" s="21"/>
      <c r="J25" s="21"/>
      <c r="K25" s="23">
        <f t="shared" si="6"/>
        <v>65991.7</v>
      </c>
      <c r="L25" s="21">
        <f t="shared" si="6"/>
        <v>79190.039999999994</v>
      </c>
    </row>
    <row r="26" spans="1:22" ht="20.25" customHeight="1" x14ac:dyDescent="0.25">
      <c r="A26" s="188" t="s">
        <v>105</v>
      </c>
      <c r="B26" s="26" t="s">
        <v>103</v>
      </c>
      <c r="C26" s="125" t="s">
        <v>84</v>
      </c>
      <c r="D26" s="189">
        <f>D25*1.17</f>
        <v>54.334799999999994</v>
      </c>
      <c r="E26" s="29"/>
      <c r="F26" s="30"/>
      <c r="G26" s="30"/>
      <c r="H26" s="30">
        <v>4195.84</v>
      </c>
      <c r="I26" s="30">
        <f>ROUND(H26*D26,2)</f>
        <v>227980.13</v>
      </c>
      <c r="J26" s="30">
        <f>ROUND(I26*1.2,2)</f>
        <v>273576.15999999997</v>
      </c>
      <c r="K26" s="32">
        <f t="shared" si="6"/>
        <v>227980.13</v>
      </c>
      <c r="L26" s="30">
        <f t="shared" si="6"/>
        <v>273576.15999999997</v>
      </c>
      <c r="M26" s="64"/>
    </row>
    <row r="27" spans="1:22" ht="24.75" customHeight="1" x14ac:dyDescent="0.25">
      <c r="A27" s="108"/>
      <c r="B27" s="163" t="s">
        <v>197</v>
      </c>
      <c r="C27" s="179"/>
      <c r="D27" s="191"/>
      <c r="E27" s="165"/>
      <c r="F27" s="166"/>
      <c r="G27" s="166"/>
      <c r="H27" s="182"/>
      <c r="I27" s="117"/>
      <c r="J27" s="117"/>
      <c r="K27" s="165"/>
      <c r="L27" s="117"/>
    </row>
    <row r="28" spans="1:22" ht="24.75" customHeight="1" x14ac:dyDescent="0.25">
      <c r="A28" s="17">
        <f>A25+1</f>
        <v>14</v>
      </c>
      <c r="B28" s="174" t="s">
        <v>198</v>
      </c>
      <c r="C28" s="175" t="s">
        <v>199</v>
      </c>
      <c r="D28" s="192">
        <v>2</v>
      </c>
      <c r="E28" s="23">
        <v>104093.4</v>
      </c>
      <c r="F28" s="21">
        <f t="shared" ref="F28:F31" si="13">ROUND(E28*D28,2)</f>
        <v>208186.8</v>
      </c>
      <c r="G28" s="21">
        <f t="shared" ref="G28:G31" si="14">ROUND(F28*1.2,2)</f>
        <v>249824.16</v>
      </c>
      <c r="H28" s="22"/>
      <c r="I28" s="21"/>
      <c r="J28" s="21"/>
      <c r="K28" s="23">
        <f t="shared" ref="K28:L31" si="15">F28+I28</f>
        <v>208186.8</v>
      </c>
      <c r="L28" s="21">
        <f t="shared" si="15"/>
        <v>249824.16</v>
      </c>
    </row>
    <row r="29" spans="1:22" ht="24.75" customHeight="1" x14ac:dyDescent="0.25">
      <c r="A29" s="17">
        <f t="shared" ref="A29:A31" si="16">A28+1</f>
        <v>15</v>
      </c>
      <c r="B29" s="174" t="s">
        <v>200</v>
      </c>
      <c r="C29" s="175" t="s">
        <v>199</v>
      </c>
      <c r="D29" s="192">
        <v>4</v>
      </c>
      <c r="E29" s="23">
        <v>82507.5</v>
      </c>
      <c r="F29" s="21">
        <f t="shared" si="13"/>
        <v>330030</v>
      </c>
      <c r="G29" s="21">
        <f t="shared" si="14"/>
        <v>396036</v>
      </c>
      <c r="H29" s="22"/>
      <c r="I29" s="21"/>
      <c r="J29" s="21"/>
      <c r="K29" s="23">
        <f t="shared" si="15"/>
        <v>330030</v>
      </c>
      <c r="L29" s="21">
        <f t="shared" si="15"/>
        <v>396036</v>
      </c>
    </row>
    <row r="30" spans="1:22" ht="24.75" customHeight="1" x14ac:dyDescent="0.25">
      <c r="A30" s="17">
        <f t="shared" si="16"/>
        <v>16</v>
      </c>
      <c r="B30" s="174" t="s">
        <v>201</v>
      </c>
      <c r="C30" s="175" t="s">
        <v>72</v>
      </c>
      <c r="D30" s="190">
        <v>725.52</v>
      </c>
      <c r="E30" s="23">
        <v>1880.81</v>
      </c>
      <c r="F30" s="21">
        <f t="shared" si="13"/>
        <v>1364565.27</v>
      </c>
      <c r="G30" s="21">
        <f t="shared" si="14"/>
        <v>1637478.32</v>
      </c>
      <c r="H30" s="22"/>
      <c r="I30" s="21"/>
      <c r="J30" s="21"/>
      <c r="K30" s="23">
        <f t="shared" si="15"/>
        <v>1364565.27</v>
      </c>
      <c r="L30" s="21">
        <f t="shared" si="15"/>
        <v>1637478.32</v>
      </c>
    </row>
    <row r="31" spans="1:22" ht="24.75" customHeight="1" x14ac:dyDescent="0.25">
      <c r="A31" s="17">
        <f t="shared" si="16"/>
        <v>17</v>
      </c>
      <c r="B31" s="174" t="s">
        <v>202</v>
      </c>
      <c r="C31" s="175" t="s">
        <v>72</v>
      </c>
      <c r="D31" s="192">
        <v>80</v>
      </c>
      <c r="E31" s="23">
        <v>1979.8</v>
      </c>
      <c r="F31" s="21">
        <f t="shared" si="13"/>
        <v>158384</v>
      </c>
      <c r="G31" s="21">
        <f t="shared" si="14"/>
        <v>190060.79999999999</v>
      </c>
      <c r="H31" s="22"/>
      <c r="I31" s="21"/>
      <c r="J31" s="21"/>
      <c r="K31" s="23">
        <f t="shared" si="15"/>
        <v>158384</v>
      </c>
      <c r="L31" s="21">
        <f t="shared" si="15"/>
        <v>190060.79999999999</v>
      </c>
    </row>
    <row r="32" spans="1:22" ht="21.75" customHeight="1" x14ac:dyDescent="0.25">
      <c r="A32" s="108"/>
      <c r="B32" s="193" t="s">
        <v>134</v>
      </c>
      <c r="C32" s="179"/>
      <c r="D32" s="194"/>
      <c r="E32" s="165"/>
      <c r="F32" s="166"/>
      <c r="G32" s="166"/>
      <c r="H32" s="182"/>
      <c r="I32" s="117"/>
      <c r="J32" s="117"/>
      <c r="K32" s="165"/>
      <c r="L32" s="117"/>
    </row>
    <row r="33" spans="1:15" s="178" customFormat="1" ht="24.75" customHeight="1" x14ac:dyDescent="0.25">
      <c r="A33" s="153">
        <f>A31+1</f>
        <v>18</v>
      </c>
      <c r="B33" s="18" t="s">
        <v>203</v>
      </c>
      <c r="C33" s="175" t="s">
        <v>80</v>
      </c>
      <c r="D33" s="190">
        <f>48.36+7.81+26.34</f>
        <v>82.51</v>
      </c>
      <c r="E33" s="23">
        <v>431.37</v>
      </c>
      <c r="F33" s="21">
        <f t="shared" ref="F33:F35" si="17">ROUND(E33*D33,2)</f>
        <v>35592.339999999997</v>
      </c>
      <c r="G33" s="21">
        <f t="shared" ref="G33:G35" si="18">ROUND(F33*1.2,2)</f>
        <v>42710.81</v>
      </c>
      <c r="H33" s="22"/>
      <c r="I33" s="21"/>
      <c r="J33" s="21"/>
      <c r="K33" s="23">
        <f t="shared" ref="K33:L35" si="19">F33+I33</f>
        <v>35592.339999999997</v>
      </c>
      <c r="L33" s="21">
        <f t="shared" si="19"/>
        <v>42710.81</v>
      </c>
      <c r="M33" s="788" t="s">
        <v>136</v>
      </c>
      <c r="N33" s="782"/>
      <c r="O33" s="827">
        <f>L33-D33*СВОД!$P$2*1.2</f>
        <v>12140.854999999996</v>
      </c>
    </row>
    <row r="34" spans="1:15" ht="24.75" customHeight="1" x14ac:dyDescent="0.25">
      <c r="A34" s="100">
        <f>A33+1</f>
        <v>19</v>
      </c>
      <c r="B34" s="99" t="s">
        <v>204</v>
      </c>
      <c r="C34" s="184" t="s">
        <v>80</v>
      </c>
      <c r="D34" s="195">
        <v>56.17</v>
      </c>
      <c r="E34" s="123">
        <v>308.75</v>
      </c>
      <c r="F34" s="186">
        <f t="shared" si="17"/>
        <v>17342.490000000002</v>
      </c>
      <c r="G34" s="186">
        <f t="shared" si="18"/>
        <v>20810.990000000002</v>
      </c>
      <c r="H34" s="187"/>
      <c r="I34" s="186"/>
      <c r="J34" s="186"/>
      <c r="K34" s="123">
        <f t="shared" si="19"/>
        <v>17342.490000000002</v>
      </c>
      <c r="L34" s="186">
        <f t="shared" si="19"/>
        <v>20810.990000000002</v>
      </c>
      <c r="M34" s="6" t="s">
        <v>205</v>
      </c>
    </row>
    <row r="35" spans="1:15" s="178" customFormat="1" ht="24.75" customHeight="1" x14ac:dyDescent="0.25">
      <c r="A35" s="153">
        <f>A34+1</f>
        <v>20</v>
      </c>
      <c r="B35" s="18" t="s">
        <v>206</v>
      </c>
      <c r="C35" s="175" t="s">
        <v>80</v>
      </c>
      <c r="D35" s="190">
        <f>48.36+7.81</f>
        <v>56.17</v>
      </c>
      <c r="E35" s="23">
        <v>431.37</v>
      </c>
      <c r="F35" s="21">
        <f t="shared" si="17"/>
        <v>24230.05</v>
      </c>
      <c r="G35" s="21">
        <f t="shared" si="18"/>
        <v>29076.06</v>
      </c>
      <c r="H35" s="22"/>
      <c r="I35" s="21"/>
      <c r="J35" s="21"/>
      <c r="K35" s="23">
        <f t="shared" si="19"/>
        <v>24230.05</v>
      </c>
      <c r="L35" s="21">
        <f t="shared" si="19"/>
        <v>29076.06</v>
      </c>
      <c r="M35" s="788" t="s">
        <v>136</v>
      </c>
      <c r="N35" s="782"/>
      <c r="O35" s="827">
        <f>L35-D35*СВОД!$P$2*1.2</f>
        <v>8265.0750000000044</v>
      </c>
    </row>
    <row r="36" spans="1:15" ht="24.75" customHeight="1" x14ac:dyDescent="0.25">
      <c r="A36" s="108"/>
      <c r="B36" s="163" t="s">
        <v>106</v>
      </c>
      <c r="C36" s="179"/>
      <c r="D36" s="194"/>
      <c r="E36" s="165"/>
      <c r="F36" s="166"/>
      <c r="G36" s="166"/>
      <c r="H36" s="182"/>
      <c r="I36" s="117"/>
      <c r="J36" s="117"/>
      <c r="K36" s="165"/>
      <c r="L36" s="117"/>
    </row>
    <row r="37" spans="1:15" ht="45" x14ac:dyDescent="0.25">
      <c r="A37" s="17">
        <f>A35+1</f>
        <v>21</v>
      </c>
      <c r="B37" s="174" t="s">
        <v>207</v>
      </c>
      <c r="C37" s="175" t="s">
        <v>72</v>
      </c>
      <c r="D37" s="176">
        <v>1220.27</v>
      </c>
      <c r="E37" s="23">
        <v>2230.6</v>
      </c>
      <c r="F37" s="21">
        <f t="shared" ref="F37" si="20">ROUND(E37*D37,2)</f>
        <v>2721934.26</v>
      </c>
      <c r="G37" s="21">
        <f t="shared" ref="G37" si="21">ROUND(F37*1.2,2)</f>
        <v>3266321.11</v>
      </c>
      <c r="H37" s="22"/>
      <c r="I37" s="21"/>
      <c r="J37" s="21"/>
      <c r="K37" s="23">
        <f t="shared" ref="K37:L39" si="22">F37+I37</f>
        <v>2721934.26</v>
      </c>
      <c r="L37" s="21">
        <f t="shared" si="22"/>
        <v>3266321.11</v>
      </c>
    </row>
    <row r="38" spans="1:15" ht="22.5" customHeight="1" x14ac:dyDescent="0.25">
      <c r="A38" s="188" t="s">
        <v>208</v>
      </c>
      <c r="B38" s="26" t="s">
        <v>209</v>
      </c>
      <c r="C38" s="125" t="s">
        <v>199</v>
      </c>
      <c r="D38" s="196">
        <v>1320</v>
      </c>
      <c r="E38" s="29"/>
      <c r="F38" s="30"/>
      <c r="G38" s="30"/>
      <c r="H38" s="30">
        <v>158.3365</v>
      </c>
      <c r="I38" s="30">
        <f>ROUND(H38*D38,2)</f>
        <v>209004.18</v>
      </c>
      <c r="J38" s="30">
        <f>ROUND(I38*1.2,2)</f>
        <v>250805.02</v>
      </c>
      <c r="K38" s="32">
        <f t="shared" si="22"/>
        <v>209004.18</v>
      </c>
      <c r="L38" s="30">
        <f t="shared" si="22"/>
        <v>250805.02</v>
      </c>
      <c r="M38" s="64"/>
    </row>
    <row r="39" spans="1:15" ht="45" x14ac:dyDescent="0.25">
      <c r="A39" s="17">
        <f>A37+1</f>
        <v>22</v>
      </c>
      <c r="B39" s="174" t="s">
        <v>210</v>
      </c>
      <c r="C39" s="175" t="s">
        <v>72</v>
      </c>
      <c r="D39" s="192">
        <v>688</v>
      </c>
      <c r="E39" s="23">
        <v>1507.6499999999999</v>
      </c>
      <c r="F39" s="21">
        <f t="shared" ref="F39" si="23">ROUND(E39*D39,2)</f>
        <v>1037263.2</v>
      </c>
      <c r="G39" s="21">
        <f t="shared" ref="G39" si="24">ROUND(F39*1.2,2)</f>
        <v>1244715.8400000001</v>
      </c>
      <c r="H39" s="22"/>
      <c r="I39" s="21"/>
      <c r="J39" s="21"/>
      <c r="K39" s="23">
        <f t="shared" si="22"/>
        <v>1037263.2</v>
      </c>
      <c r="L39" s="21">
        <f t="shared" si="22"/>
        <v>1244715.8400000001</v>
      </c>
    </row>
    <row r="40" spans="1:15" ht="24.75" customHeight="1" x14ac:dyDescent="0.25">
      <c r="A40" s="108"/>
      <c r="B40" s="163" t="s">
        <v>211</v>
      </c>
      <c r="C40" s="179"/>
      <c r="D40" s="194"/>
      <c r="E40" s="165"/>
      <c r="F40" s="166"/>
      <c r="G40" s="166"/>
      <c r="H40" s="182"/>
      <c r="I40" s="117"/>
      <c r="J40" s="117"/>
      <c r="K40" s="165"/>
      <c r="L40" s="117"/>
    </row>
    <row r="41" spans="1:15" ht="30" x14ac:dyDescent="0.25">
      <c r="A41" s="17">
        <f>A39+1</f>
        <v>23</v>
      </c>
      <c r="B41" s="174" t="s">
        <v>212</v>
      </c>
      <c r="C41" s="175" t="s">
        <v>72</v>
      </c>
      <c r="D41" s="197">
        <v>37.200000000000003</v>
      </c>
      <c r="E41" s="23">
        <v>1507.6499999999999</v>
      </c>
      <c r="F41" s="21">
        <f t="shared" ref="F41" si="25">ROUND(E41*D41,2)</f>
        <v>56084.58</v>
      </c>
      <c r="G41" s="21">
        <f t="shared" ref="G41" si="26">ROUND(F41*1.2,2)</f>
        <v>67301.5</v>
      </c>
      <c r="H41" s="22"/>
      <c r="I41" s="21"/>
      <c r="J41" s="21"/>
      <c r="K41" s="23">
        <f t="shared" ref="K41:L41" si="27">F41+I41</f>
        <v>56084.58</v>
      </c>
      <c r="L41" s="21">
        <f t="shared" si="27"/>
        <v>67301.5</v>
      </c>
    </row>
    <row r="42" spans="1:15" ht="24.75" customHeight="1" x14ac:dyDescent="0.25">
      <c r="A42" s="108"/>
      <c r="B42" s="163" t="s">
        <v>213</v>
      </c>
      <c r="C42" s="179"/>
      <c r="D42" s="194"/>
      <c r="E42" s="165"/>
      <c r="F42" s="166"/>
      <c r="G42" s="166"/>
      <c r="H42" s="182"/>
      <c r="I42" s="117"/>
      <c r="J42" s="117"/>
      <c r="K42" s="165"/>
      <c r="L42" s="117"/>
    </row>
    <row r="43" spans="1:15" ht="35.25" customHeight="1" x14ac:dyDescent="0.25">
      <c r="A43" s="17">
        <f>A41+1</f>
        <v>24</v>
      </c>
      <c r="B43" s="174" t="s">
        <v>214</v>
      </c>
      <c r="C43" s="175" t="s">
        <v>215</v>
      </c>
      <c r="D43" s="192">
        <v>1</v>
      </c>
      <c r="E43" s="23">
        <v>179977.5</v>
      </c>
      <c r="F43" s="21">
        <f t="shared" ref="F43" si="28">ROUND(E43*D43,2)</f>
        <v>179977.5</v>
      </c>
      <c r="G43" s="21">
        <f t="shared" ref="G43" si="29">ROUND(F43*1.2,2)</f>
        <v>215973</v>
      </c>
      <c r="H43" s="22"/>
      <c r="I43" s="21"/>
      <c r="J43" s="21"/>
      <c r="K43" s="23">
        <f t="shared" ref="K43:L43" si="30">F43+I43</f>
        <v>179977.5</v>
      </c>
      <c r="L43" s="21">
        <f t="shared" si="30"/>
        <v>215973</v>
      </c>
    </row>
    <row r="44" spans="1:15" ht="24.75" customHeight="1" x14ac:dyDescent="0.25">
      <c r="A44" s="108"/>
      <c r="B44" s="163" t="s">
        <v>216</v>
      </c>
      <c r="C44" s="179"/>
      <c r="D44" s="194"/>
      <c r="E44" s="165"/>
      <c r="F44" s="166"/>
      <c r="G44" s="166"/>
      <c r="H44" s="182"/>
      <c r="I44" s="117"/>
      <c r="J44" s="117"/>
      <c r="K44" s="165"/>
      <c r="L44" s="117"/>
    </row>
    <row r="45" spans="1:15" ht="30" x14ac:dyDescent="0.25">
      <c r="A45" s="17">
        <f>A43+1</f>
        <v>25</v>
      </c>
      <c r="B45" s="174" t="s">
        <v>217</v>
      </c>
      <c r="C45" s="175" t="s">
        <v>215</v>
      </c>
      <c r="D45" s="192">
        <v>3</v>
      </c>
      <c r="E45" s="23">
        <v>205200</v>
      </c>
      <c r="F45" s="21">
        <f t="shared" ref="F45:F49" si="31">ROUND(E45*D45,2)</f>
        <v>615600</v>
      </c>
      <c r="G45" s="21">
        <f t="shared" ref="G45:G49" si="32">ROUND(F45*1.2,2)</f>
        <v>738720</v>
      </c>
      <c r="H45" s="22"/>
      <c r="I45" s="21"/>
      <c r="J45" s="21"/>
      <c r="K45" s="23">
        <f t="shared" ref="K45:L49" si="33">F45+I45</f>
        <v>615600</v>
      </c>
      <c r="L45" s="21">
        <f t="shared" si="33"/>
        <v>738720</v>
      </c>
    </row>
    <row r="46" spans="1:15" ht="30" x14ac:dyDescent="0.25">
      <c r="A46" s="17">
        <f>A45+1</f>
        <v>26</v>
      </c>
      <c r="B46" s="174" t="s">
        <v>218</v>
      </c>
      <c r="C46" s="175" t="s">
        <v>215</v>
      </c>
      <c r="D46" s="192">
        <v>2</v>
      </c>
      <c r="E46" s="23">
        <v>165056.79999999999</v>
      </c>
      <c r="F46" s="21">
        <f t="shared" si="31"/>
        <v>330113.59999999998</v>
      </c>
      <c r="G46" s="21">
        <f t="shared" si="32"/>
        <v>396136.32</v>
      </c>
      <c r="H46" s="22"/>
      <c r="I46" s="21"/>
      <c r="J46" s="21"/>
      <c r="K46" s="23">
        <f t="shared" si="33"/>
        <v>330113.59999999998</v>
      </c>
      <c r="L46" s="21">
        <f t="shared" si="33"/>
        <v>396136.32</v>
      </c>
    </row>
    <row r="47" spans="1:15" ht="24" customHeight="1" x14ac:dyDescent="0.25">
      <c r="A47" s="17">
        <f>A46+1</f>
        <v>27</v>
      </c>
      <c r="B47" s="174" t="s">
        <v>219</v>
      </c>
      <c r="C47" s="175" t="s">
        <v>215</v>
      </c>
      <c r="D47" s="192">
        <v>1</v>
      </c>
      <c r="E47" s="23">
        <v>165056.79999999999</v>
      </c>
      <c r="F47" s="21">
        <f t="shared" si="31"/>
        <v>165056.79999999999</v>
      </c>
      <c r="G47" s="21">
        <f t="shared" si="32"/>
        <v>198068.16</v>
      </c>
      <c r="H47" s="22"/>
      <c r="I47" s="21"/>
      <c r="J47" s="21"/>
      <c r="K47" s="23">
        <f t="shared" si="33"/>
        <v>165056.79999999999</v>
      </c>
      <c r="L47" s="21">
        <f t="shared" si="33"/>
        <v>198068.16</v>
      </c>
    </row>
    <row r="48" spans="1:15" ht="30" x14ac:dyDescent="0.25">
      <c r="A48" s="17">
        <f>A47+1</f>
        <v>28</v>
      </c>
      <c r="B48" s="174" t="s">
        <v>220</v>
      </c>
      <c r="C48" s="175" t="s">
        <v>215</v>
      </c>
      <c r="D48" s="192">
        <v>3</v>
      </c>
      <c r="E48" s="23">
        <v>165056.79999999999</v>
      </c>
      <c r="F48" s="21">
        <f t="shared" si="31"/>
        <v>495170.4</v>
      </c>
      <c r="G48" s="21">
        <f t="shared" si="32"/>
        <v>594204.48</v>
      </c>
      <c r="H48" s="22"/>
      <c r="I48" s="21"/>
      <c r="J48" s="21"/>
      <c r="K48" s="23">
        <f t="shared" si="33"/>
        <v>495170.4</v>
      </c>
      <c r="L48" s="21">
        <f t="shared" si="33"/>
        <v>594204.48</v>
      </c>
    </row>
    <row r="49" spans="1:16" ht="24" customHeight="1" x14ac:dyDescent="0.25">
      <c r="A49" s="17">
        <f>A48+1</f>
        <v>29</v>
      </c>
      <c r="B49" s="174" t="s">
        <v>221</v>
      </c>
      <c r="C49" s="175" t="s">
        <v>215</v>
      </c>
      <c r="D49" s="192">
        <v>2</v>
      </c>
      <c r="E49" s="23">
        <v>165056.79999999999</v>
      </c>
      <c r="F49" s="21">
        <f t="shared" si="31"/>
        <v>330113.59999999998</v>
      </c>
      <c r="G49" s="21">
        <f t="shared" si="32"/>
        <v>396136.32</v>
      </c>
      <c r="H49" s="22"/>
      <c r="I49" s="21"/>
      <c r="J49" s="21"/>
      <c r="K49" s="23">
        <f t="shared" si="33"/>
        <v>330113.59999999998</v>
      </c>
      <c r="L49" s="21">
        <f t="shared" si="33"/>
        <v>396136.32</v>
      </c>
    </row>
    <row r="50" spans="1:16" ht="21" customHeight="1" x14ac:dyDescent="0.25">
      <c r="A50" s="108"/>
      <c r="B50" s="193" t="s">
        <v>222</v>
      </c>
      <c r="C50" s="179"/>
      <c r="D50" s="194"/>
      <c r="E50" s="165"/>
      <c r="F50" s="166"/>
      <c r="G50" s="166"/>
      <c r="H50" s="182"/>
      <c r="I50" s="117"/>
      <c r="J50" s="117"/>
      <c r="K50" s="165"/>
      <c r="L50" s="117"/>
    </row>
    <row r="51" spans="1:16" s="178" customFormat="1" ht="24.75" customHeight="1" x14ac:dyDescent="0.25">
      <c r="A51" s="153">
        <f>A49+1</f>
        <v>30</v>
      </c>
      <c r="B51" s="167" t="s">
        <v>223</v>
      </c>
      <c r="C51" s="168" t="s">
        <v>199</v>
      </c>
      <c r="D51" s="288">
        <v>4</v>
      </c>
      <c r="E51" s="158">
        <v>76000</v>
      </c>
      <c r="F51" s="157">
        <f t="shared" ref="F51:F52" si="34">ROUND(E51*D51,2)</f>
        <v>304000</v>
      </c>
      <c r="G51" s="157">
        <f t="shared" ref="G51:G52" si="35">ROUND(F51*1.2,2)</f>
        <v>364800</v>
      </c>
      <c r="H51" s="170"/>
      <c r="I51" s="157"/>
      <c r="J51" s="157"/>
      <c r="K51" s="158">
        <f t="shared" ref="K51:L62" si="36">F51+I51</f>
        <v>304000</v>
      </c>
      <c r="L51" s="157">
        <f t="shared" si="36"/>
        <v>364800</v>
      </c>
      <c r="M51" s="792"/>
      <c r="N51" s="782" t="s">
        <v>1247</v>
      </c>
      <c r="O51" s="771">
        <f>E51*3</f>
        <v>228000</v>
      </c>
    </row>
    <row r="52" spans="1:16" ht="21" customHeight="1" x14ac:dyDescent="0.25">
      <c r="A52" s="100">
        <f>A51+1</f>
        <v>31</v>
      </c>
      <c r="B52" s="99" t="s">
        <v>224</v>
      </c>
      <c r="C52" s="184" t="s">
        <v>80</v>
      </c>
      <c r="D52" s="198">
        <v>5.28</v>
      </c>
      <c r="E52" s="123">
        <v>51920</v>
      </c>
      <c r="F52" s="186">
        <f t="shared" si="34"/>
        <v>274137.59999999998</v>
      </c>
      <c r="G52" s="186">
        <f t="shared" si="35"/>
        <v>328965.12</v>
      </c>
      <c r="H52" s="187"/>
      <c r="I52" s="186"/>
      <c r="J52" s="186"/>
      <c r="K52" s="123">
        <f t="shared" si="36"/>
        <v>274137.59999999998</v>
      </c>
      <c r="L52" s="186">
        <f t="shared" si="36"/>
        <v>328965.12</v>
      </c>
      <c r="M52" s="64" t="s">
        <v>225</v>
      </c>
    </row>
    <row r="53" spans="1:16" ht="21" customHeight="1" x14ac:dyDescent="0.25">
      <c r="A53" s="188" t="s">
        <v>226</v>
      </c>
      <c r="B53" s="26" t="s">
        <v>227</v>
      </c>
      <c r="C53" s="125" t="s">
        <v>171</v>
      </c>
      <c r="D53" s="199">
        <v>2998.1</v>
      </c>
      <c r="E53" s="29"/>
      <c r="F53" s="30"/>
      <c r="G53" s="30"/>
      <c r="H53" s="30">
        <v>89</v>
      </c>
      <c r="I53" s="30">
        <f>ROUND(H53*D53,2)</f>
        <v>266830.90000000002</v>
      </c>
      <c r="J53" s="30">
        <f>ROUND(I53*1.2,2)</f>
        <v>320197.08</v>
      </c>
      <c r="K53" s="32">
        <f t="shared" si="36"/>
        <v>266830.90000000002</v>
      </c>
      <c r="L53" s="30">
        <f t="shared" si="36"/>
        <v>320197.08</v>
      </c>
      <c r="M53" s="64" t="s">
        <v>228</v>
      </c>
    </row>
    <row r="54" spans="1:16" ht="21" customHeight="1" x14ac:dyDescent="0.25">
      <c r="A54" s="188" t="s">
        <v>229</v>
      </c>
      <c r="B54" s="26" t="s">
        <v>230</v>
      </c>
      <c r="C54" s="125" t="s">
        <v>171</v>
      </c>
      <c r="D54" s="196">
        <v>2282.89</v>
      </c>
      <c r="E54" s="29"/>
      <c r="F54" s="30"/>
      <c r="G54" s="30"/>
      <c r="H54" s="30">
        <v>75</v>
      </c>
      <c r="I54" s="30">
        <f>ROUND(H54*D54,2)</f>
        <v>171216.75</v>
      </c>
      <c r="J54" s="30">
        <f>ROUND(I54*1.2,2)</f>
        <v>205460.1</v>
      </c>
      <c r="K54" s="32">
        <f t="shared" si="36"/>
        <v>171216.75</v>
      </c>
      <c r="L54" s="30">
        <f t="shared" si="36"/>
        <v>205460.1</v>
      </c>
      <c r="M54" s="64" t="s">
        <v>231</v>
      </c>
    </row>
    <row r="55" spans="1:16" ht="23.25" customHeight="1" x14ac:dyDescent="0.25">
      <c r="A55" s="188"/>
      <c r="B55" s="193" t="s">
        <v>232</v>
      </c>
      <c r="C55" s="200"/>
      <c r="D55" s="201"/>
      <c r="E55" s="119"/>
      <c r="F55" s="117"/>
      <c r="G55" s="117"/>
      <c r="H55" s="117"/>
      <c r="I55" s="117"/>
      <c r="J55" s="117"/>
      <c r="K55" s="165"/>
      <c r="L55" s="117"/>
      <c r="M55" s="64"/>
    </row>
    <row r="56" spans="1:16" s="172" customFormat="1" ht="24.75" customHeight="1" x14ac:dyDescent="0.25">
      <c r="A56" s="797">
        <f>A52+1</f>
        <v>32</v>
      </c>
      <c r="B56" s="798" t="s">
        <v>233</v>
      </c>
      <c r="C56" s="799" t="s">
        <v>72</v>
      </c>
      <c r="D56" s="800">
        <v>2115.02</v>
      </c>
      <c r="E56" s="801">
        <v>3990</v>
      </c>
      <c r="F56" s="795">
        <f t="shared" ref="F56:F57" si="37">ROUND(E56*D56,2)</f>
        <v>8438929.8000000007</v>
      </c>
      <c r="G56" s="795">
        <f t="shared" ref="G56:G57" si="38">ROUND(F56*1.2,2)</f>
        <v>10126715.76</v>
      </c>
      <c r="H56" s="802"/>
      <c r="I56" s="795"/>
      <c r="J56" s="795"/>
      <c r="K56" s="801">
        <f t="shared" ref="K56:L56" si="39">F56+I56</f>
        <v>8438929.8000000007</v>
      </c>
      <c r="L56" s="795">
        <f t="shared" si="39"/>
        <v>10126715.76</v>
      </c>
      <c r="M56" s="792"/>
      <c r="N56" s="796" t="s">
        <v>1251</v>
      </c>
      <c r="O56" s="823">
        <f>L56-1300000</f>
        <v>8826715.7599999998</v>
      </c>
    </row>
    <row r="57" spans="1:16" ht="24.75" customHeight="1" x14ac:dyDescent="0.25">
      <c r="A57" s="17">
        <f>A56+1</f>
        <v>33</v>
      </c>
      <c r="B57" s="174" t="s">
        <v>234</v>
      </c>
      <c r="C57" s="175" t="s">
        <v>84</v>
      </c>
      <c r="D57" s="176">
        <v>1080.69</v>
      </c>
      <c r="E57" s="23">
        <v>1421.01</v>
      </c>
      <c r="F57" s="21">
        <f t="shared" si="37"/>
        <v>1535671.3</v>
      </c>
      <c r="G57" s="21">
        <f t="shared" si="38"/>
        <v>1842805.56</v>
      </c>
      <c r="H57" s="22"/>
      <c r="I57" s="21"/>
      <c r="J57" s="21"/>
      <c r="K57" s="23">
        <f t="shared" si="36"/>
        <v>1535671.3</v>
      </c>
      <c r="L57" s="21">
        <f t="shared" si="36"/>
        <v>1842805.56</v>
      </c>
    </row>
    <row r="58" spans="1:16" ht="20.25" customHeight="1" x14ac:dyDescent="0.25">
      <c r="A58" s="188" t="s">
        <v>235</v>
      </c>
      <c r="B58" s="26" t="s">
        <v>103</v>
      </c>
      <c r="C58" s="125" t="s">
        <v>84</v>
      </c>
      <c r="D58" s="189">
        <f>D57*1.17</f>
        <v>1264.4073000000001</v>
      </c>
      <c r="E58" s="29"/>
      <c r="F58" s="30"/>
      <c r="G58" s="30"/>
      <c r="H58" s="30">
        <v>4195.84</v>
      </c>
      <c r="I58" s="30">
        <f>ROUND(H58*D58,2)</f>
        <v>5305250.7300000004</v>
      </c>
      <c r="J58" s="30">
        <f>ROUND(I58*1.2,2)</f>
        <v>6366300.8799999999</v>
      </c>
      <c r="K58" s="32">
        <f t="shared" si="36"/>
        <v>5305250.7300000004</v>
      </c>
      <c r="L58" s="30">
        <f t="shared" si="36"/>
        <v>6366300.8799999999</v>
      </c>
      <c r="M58" s="64"/>
    </row>
    <row r="59" spans="1:16" ht="31.5" customHeight="1" x14ac:dyDescent="0.25">
      <c r="A59" s="100">
        <f>A57+1</f>
        <v>34</v>
      </c>
      <c r="B59" s="183" t="s">
        <v>236</v>
      </c>
      <c r="C59" s="184" t="s">
        <v>84</v>
      </c>
      <c r="D59" s="185">
        <v>125</v>
      </c>
      <c r="E59" s="123">
        <v>1933.1</v>
      </c>
      <c r="F59" s="186">
        <f t="shared" ref="F59" si="40">ROUND(E59*D59,2)</f>
        <v>241637.5</v>
      </c>
      <c r="G59" s="186">
        <f t="shared" ref="G59" si="41">ROUND(F59*1.2,2)</f>
        <v>289965</v>
      </c>
      <c r="H59" s="187"/>
      <c r="I59" s="186"/>
      <c r="J59" s="186"/>
      <c r="K59" s="123">
        <f t="shared" si="36"/>
        <v>241637.5</v>
      </c>
      <c r="L59" s="102">
        <f t="shared" si="36"/>
        <v>289965</v>
      </c>
      <c r="M59" s="82" t="s">
        <v>183</v>
      </c>
      <c r="N59" s="779" t="s">
        <v>1259</v>
      </c>
      <c r="O59" s="786">
        <f>L59-D59*1421.01*1.2</f>
        <v>76813.5</v>
      </c>
      <c r="P59" s="787"/>
    </row>
    <row r="60" spans="1:16" ht="20.25" customHeight="1" x14ac:dyDescent="0.25">
      <c r="A60" s="188" t="s">
        <v>237</v>
      </c>
      <c r="B60" s="26" t="s">
        <v>103</v>
      </c>
      <c r="C60" s="125" t="s">
        <v>84</v>
      </c>
      <c r="D60" s="189">
        <f>D59*1.26</f>
        <v>157.5</v>
      </c>
      <c r="E60" s="29"/>
      <c r="F60" s="30"/>
      <c r="G60" s="30"/>
      <c r="H60" s="30">
        <v>4195.84</v>
      </c>
      <c r="I60" s="30">
        <f>ROUND(H60*D60,2)</f>
        <v>660844.80000000005</v>
      </c>
      <c r="J60" s="30">
        <f>ROUND(I60*1.2,2)</f>
        <v>793013.76000000001</v>
      </c>
      <c r="K60" s="32">
        <f t="shared" si="36"/>
        <v>660844.80000000005</v>
      </c>
      <c r="L60" s="30">
        <f t="shared" si="36"/>
        <v>793013.76000000001</v>
      </c>
      <c r="M60" s="64"/>
    </row>
    <row r="61" spans="1:16" ht="31.5" customHeight="1" x14ac:dyDescent="0.25">
      <c r="A61" s="100">
        <f>A59+1</f>
        <v>35</v>
      </c>
      <c r="B61" s="183" t="s">
        <v>238</v>
      </c>
      <c r="C61" s="184" t="s">
        <v>84</v>
      </c>
      <c r="D61" s="185">
        <v>100</v>
      </c>
      <c r="E61" s="123">
        <v>1179.8999999999999</v>
      </c>
      <c r="F61" s="186">
        <f t="shared" ref="F61" si="42">ROUND(E61*D61,2)</f>
        <v>117990</v>
      </c>
      <c r="G61" s="186">
        <f t="shared" ref="G61" si="43">ROUND(F61*1.2,2)</f>
        <v>141588</v>
      </c>
      <c r="H61" s="187"/>
      <c r="I61" s="186"/>
      <c r="J61" s="186"/>
      <c r="K61" s="123">
        <f t="shared" si="36"/>
        <v>117990</v>
      </c>
      <c r="L61" s="186">
        <f t="shared" si="36"/>
        <v>141588</v>
      </c>
    </row>
    <row r="62" spans="1:16" ht="20.25" customHeight="1" x14ac:dyDescent="0.25">
      <c r="A62" s="188" t="s">
        <v>239</v>
      </c>
      <c r="B62" s="26" t="s">
        <v>97</v>
      </c>
      <c r="C62" s="125" t="s">
        <v>84</v>
      </c>
      <c r="D62" s="189">
        <f>D61*1.2</f>
        <v>120</v>
      </c>
      <c r="E62" s="29"/>
      <c r="F62" s="30"/>
      <c r="G62" s="30"/>
      <c r="H62" s="30">
        <v>1029.1600000000001</v>
      </c>
      <c r="I62" s="30">
        <f>ROUND(H62*D62,2)</f>
        <v>123499.2</v>
      </c>
      <c r="J62" s="30">
        <f>ROUND(I62*1.2,2)</f>
        <v>148199.04000000001</v>
      </c>
      <c r="K62" s="32">
        <f t="shared" si="36"/>
        <v>123499.2</v>
      </c>
      <c r="L62" s="30">
        <f t="shared" si="36"/>
        <v>148199.04000000001</v>
      </c>
      <c r="M62" s="64"/>
    </row>
    <row r="63" spans="1:16" s="178" customFormat="1" ht="22.5" customHeight="1" x14ac:dyDescent="0.25">
      <c r="A63" s="153"/>
      <c r="B63" s="287" t="s">
        <v>240</v>
      </c>
      <c r="C63" s="168"/>
      <c r="D63" s="288"/>
      <c r="E63" s="158"/>
      <c r="F63" s="157"/>
      <c r="G63" s="157"/>
      <c r="H63" s="170"/>
      <c r="I63" s="157"/>
      <c r="J63" s="157"/>
      <c r="K63" s="158"/>
      <c r="L63" s="157"/>
      <c r="O63" s="785"/>
    </row>
    <row r="64" spans="1:16" s="178" customFormat="1" ht="36.75" customHeight="1" x14ac:dyDescent="0.25">
      <c r="A64" s="153">
        <f>A61+1</f>
        <v>36</v>
      </c>
      <c r="B64" s="202" t="s">
        <v>241</v>
      </c>
      <c r="C64" s="898" t="s">
        <v>75</v>
      </c>
      <c r="D64" s="901">
        <v>380</v>
      </c>
      <c r="E64" s="895">
        <v>1053.4000000000001</v>
      </c>
      <c r="F64" s="895">
        <f>ROUND(E64*D64,2)</f>
        <v>400292</v>
      </c>
      <c r="G64" s="895">
        <f t="shared" ref="G64:G66" si="44">ROUND(F64*1.2,2)</f>
        <v>480350.4</v>
      </c>
      <c r="H64" s="895"/>
      <c r="I64" s="895"/>
      <c r="J64" s="895"/>
      <c r="K64" s="895">
        <f t="shared" ref="K64:L72" si="45">F64+I64</f>
        <v>400292</v>
      </c>
      <c r="L64" s="895">
        <f t="shared" si="45"/>
        <v>480350.4</v>
      </c>
      <c r="M64" s="178" t="s">
        <v>183</v>
      </c>
      <c r="N64" s="904">
        <v>238</v>
      </c>
      <c r="O64" s="907">
        <f>E64*N64*1.2</f>
        <v>300851.03999999998</v>
      </c>
    </row>
    <row r="65" spans="1:16" s="178" customFormat="1" ht="24.75" customHeight="1" x14ac:dyDescent="0.25">
      <c r="A65" s="153">
        <f>A64+1</f>
        <v>37</v>
      </c>
      <c r="B65" s="202" t="s">
        <v>242</v>
      </c>
      <c r="C65" s="899"/>
      <c r="D65" s="902"/>
      <c r="E65" s="896"/>
      <c r="F65" s="896">
        <f t="shared" ref="F65:F66" si="46">ROUND(E65*D65,2)</f>
        <v>0</v>
      </c>
      <c r="G65" s="896">
        <f t="shared" si="44"/>
        <v>0</v>
      </c>
      <c r="H65" s="896"/>
      <c r="I65" s="896"/>
      <c r="J65" s="896"/>
      <c r="K65" s="896">
        <f t="shared" si="45"/>
        <v>0</v>
      </c>
      <c r="L65" s="896">
        <f t="shared" si="45"/>
        <v>0</v>
      </c>
      <c r="N65" s="905"/>
      <c r="O65" s="908"/>
    </row>
    <row r="66" spans="1:16" s="178" customFormat="1" ht="24.75" customHeight="1" x14ac:dyDescent="0.25">
      <c r="A66" s="153">
        <f>A65+1</f>
        <v>38</v>
      </c>
      <c r="B66" s="202" t="s">
        <v>243</v>
      </c>
      <c r="C66" s="900"/>
      <c r="D66" s="903"/>
      <c r="E66" s="897"/>
      <c r="F66" s="897">
        <f t="shared" si="46"/>
        <v>0</v>
      </c>
      <c r="G66" s="897">
        <f t="shared" si="44"/>
        <v>0</v>
      </c>
      <c r="H66" s="897"/>
      <c r="I66" s="897"/>
      <c r="J66" s="897"/>
      <c r="K66" s="897">
        <f t="shared" si="45"/>
        <v>0</v>
      </c>
      <c r="L66" s="897">
        <f t="shared" si="45"/>
        <v>0</v>
      </c>
      <c r="N66" s="906"/>
      <c r="O66" s="909"/>
    </row>
    <row r="67" spans="1:16" s="178" customFormat="1" ht="24.75" customHeight="1" x14ac:dyDescent="0.25">
      <c r="A67" s="203" t="s">
        <v>244</v>
      </c>
      <c r="B67" s="202" t="s">
        <v>245</v>
      </c>
      <c r="C67" s="168" t="s">
        <v>75</v>
      </c>
      <c r="D67" s="289">
        <v>380</v>
      </c>
      <c r="E67" s="155"/>
      <c r="F67" s="157"/>
      <c r="G67" s="157"/>
      <c r="H67" s="170">
        <v>79.319999999999993</v>
      </c>
      <c r="I67" s="157">
        <f>ROUND(H67*D67,2)</f>
        <v>30141.599999999999</v>
      </c>
      <c r="J67" s="157">
        <f t="shared" ref="J67:J70" si="47">ROUND(I67*1.2,2)</f>
        <v>36169.919999999998</v>
      </c>
      <c r="K67" s="158">
        <f t="shared" si="45"/>
        <v>30141.599999999999</v>
      </c>
      <c r="L67" s="204">
        <f t="shared" si="45"/>
        <v>36169.919999999998</v>
      </c>
      <c r="M67" s="178" t="s">
        <v>183</v>
      </c>
      <c r="N67" s="831">
        <v>238</v>
      </c>
      <c r="O67" s="832">
        <f>H67*N67*1.2</f>
        <v>22653.791999999998</v>
      </c>
    </row>
    <row r="68" spans="1:16" s="178" customFormat="1" ht="24.75" customHeight="1" x14ac:dyDescent="0.25">
      <c r="A68" s="203" t="s">
        <v>246</v>
      </c>
      <c r="B68" s="152" t="s">
        <v>247</v>
      </c>
      <c r="C68" s="168" t="s">
        <v>199</v>
      </c>
      <c r="D68" s="289">
        <v>380</v>
      </c>
      <c r="E68" s="155"/>
      <c r="F68" s="157"/>
      <c r="G68" s="157"/>
      <c r="H68" s="158">
        <v>17.53</v>
      </c>
      <c r="I68" s="157">
        <f t="shared" ref="I68:I70" si="48">ROUND(H68*D68,2)</f>
        <v>6661.4</v>
      </c>
      <c r="J68" s="157">
        <f t="shared" si="47"/>
        <v>7993.68</v>
      </c>
      <c r="K68" s="158">
        <f t="shared" si="45"/>
        <v>6661.4</v>
      </c>
      <c r="L68" s="204">
        <f t="shared" si="45"/>
        <v>7993.68</v>
      </c>
      <c r="M68" s="178" t="s">
        <v>183</v>
      </c>
      <c r="N68" s="831">
        <v>238</v>
      </c>
      <c r="O68" s="832">
        <f>H68*N68*1.2</f>
        <v>5006.5680000000002</v>
      </c>
    </row>
    <row r="69" spans="1:16" s="178" customFormat="1" ht="24.75" customHeight="1" x14ac:dyDescent="0.25">
      <c r="A69" s="203" t="s">
        <v>248</v>
      </c>
      <c r="B69" s="205" t="s">
        <v>249</v>
      </c>
      <c r="C69" s="168" t="s">
        <v>199</v>
      </c>
      <c r="D69" s="289">
        <v>760</v>
      </c>
      <c r="E69" s="155"/>
      <c r="F69" s="157"/>
      <c r="G69" s="157"/>
      <c r="H69" s="170">
        <v>4.79</v>
      </c>
      <c r="I69" s="157">
        <f t="shared" si="48"/>
        <v>3640.4</v>
      </c>
      <c r="J69" s="157">
        <f t="shared" si="47"/>
        <v>4368.4799999999996</v>
      </c>
      <c r="K69" s="158">
        <f t="shared" si="45"/>
        <v>3640.4</v>
      </c>
      <c r="L69" s="204">
        <f t="shared" si="45"/>
        <v>4368.4799999999996</v>
      </c>
      <c r="M69" s="178" t="s">
        <v>183</v>
      </c>
      <c r="N69" s="831">
        <v>238</v>
      </c>
      <c r="O69" s="832">
        <f>H69*N69*1.2</f>
        <v>1368.0239999999999</v>
      </c>
    </row>
    <row r="70" spans="1:16" s="178" customFormat="1" ht="24.75" customHeight="1" x14ac:dyDescent="0.25">
      <c r="A70" s="203" t="s">
        <v>250</v>
      </c>
      <c r="B70" s="205" t="s">
        <v>251</v>
      </c>
      <c r="C70" s="168" t="s">
        <v>199</v>
      </c>
      <c r="D70" s="289">
        <v>760</v>
      </c>
      <c r="E70" s="155"/>
      <c r="F70" s="157"/>
      <c r="G70" s="157"/>
      <c r="H70" s="170">
        <v>0.96</v>
      </c>
      <c r="I70" s="157">
        <f t="shared" si="48"/>
        <v>729.6</v>
      </c>
      <c r="J70" s="157">
        <f t="shared" si="47"/>
        <v>875.52</v>
      </c>
      <c r="K70" s="158">
        <f t="shared" si="45"/>
        <v>729.6</v>
      </c>
      <c r="L70" s="204">
        <f t="shared" si="45"/>
        <v>875.52</v>
      </c>
      <c r="M70" s="178" t="s">
        <v>183</v>
      </c>
      <c r="N70" s="831">
        <v>238</v>
      </c>
      <c r="O70" s="832">
        <f>H70*N70*1.2</f>
        <v>274.17599999999999</v>
      </c>
    </row>
    <row r="71" spans="1:16" s="178" customFormat="1" ht="18.75" customHeight="1" x14ac:dyDescent="0.25">
      <c r="A71" s="153">
        <f>A66+1</f>
        <v>39</v>
      </c>
      <c r="B71" s="205" t="s">
        <v>252</v>
      </c>
      <c r="C71" s="153" t="s">
        <v>72</v>
      </c>
      <c r="D71" s="289">
        <v>936</v>
      </c>
      <c r="E71" s="158">
        <f>1.35*667</f>
        <v>900.45</v>
      </c>
      <c r="F71" s="157">
        <f t="shared" ref="F71" si="49">ROUND(E71*D71,2)</f>
        <v>842821.2</v>
      </c>
      <c r="G71" s="157">
        <f t="shared" ref="G71" si="50">ROUND(F71*1.2,2)</f>
        <v>1011385.44</v>
      </c>
      <c r="H71" s="155"/>
      <c r="I71" s="157"/>
      <c r="J71" s="157"/>
      <c r="K71" s="158">
        <f t="shared" si="45"/>
        <v>842821.2</v>
      </c>
      <c r="L71" s="204">
        <f t="shared" si="45"/>
        <v>1011385.44</v>
      </c>
      <c r="M71" s="178" t="s">
        <v>183</v>
      </c>
      <c r="N71" s="833">
        <v>561.79999999999995</v>
      </c>
      <c r="O71" s="834">
        <f>E71*N71*1.2</f>
        <v>607047.37199999997</v>
      </c>
    </row>
    <row r="72" spans="1:16" s="178" customFormat="1" ht="18.75" customHeight="1" x14ac:dyDescent="0.25">
      <c r="A72" s="203" t="s">
        <v>253</v>
      </c>
      <c r="B72" s="202" t="s">
        <v>254</v>
      </c>
      <c r="C72" s="168" t="s">
        <v>72</v>
      </c>
      <c r="D72" s="289">
        <v>936</v>
      </c>
      <c r="E72" s="155"/>
      <c r="F72" s="157"/>
      <c r="G72" s="157"/>
      <c r="H72" s="206">
        <v>473.02</v>
      </c>
      <c r="I72" s="157">
        <f>ROUND(H72*D72,2)</f>
        <v>442746.72</v>
      </c>
      <c r="J72" s="157">
        <f t="shared" ref="J72" si="51">ROUND(I72*1.2,2)</f>
        <v>531296.06000000006</v>
      </c>
      <c r="K72" s="158">
        <f t="shared" si="45"/>
        <v>442746.72</v>
      </c>
      <c r="L72" s="204">
        <f t="shared" si="45"/>
        <v>531296.06000000006</v>
      </c>
      <c r="M72" s="178" t="s">
        <v>183</v>
      </c>
      <c r="N72" s="833">
        <v>561.79999999999995</v>
      </c>
      <c r="O72" s="835">
        <f>H72*N72*1.2</f>
        <v>318891.16319999989</v>
      </c>
    </row>
    <row r="73" spans="1:16" ht="24.75" customHeight="1" x14ac:dyDescent="0.25">
      <c r="A73" s="108"/>
      <c r="B73" s="207" t="s">
        <v>255</v>
      </c>
      <c r="C73" s="179"/>
      <c r="D73" s="194"/>
      <c r="E73" s="165"/>
      <c r="F73" s="166"/>
      <c r="G73" s="166"/>
      <c r="H73" s="182"/>
      <c r="I73" s="117"/>
      <c r="J73" s="117"/>
      <c r="K73" s="165"/>
      <c r="L73" s="117"/>
      <c r="N73" s="836"/>
      <c r="O73" s="837">
        <f>SUM(O64:O72)</f>
        <v>1256092.1351999999</v>
      </c>
      <c r="P73" s="290" t="s">
        <v>468</v>
      </c>
    </row>
    <row r="74" spans="1:16" ht="24.75" customHeight="1" x14ac:dyDescent="0.25">
      <c r="A74" s="100">
        <f>A71+1</f>
        <v>40</v>
      </c>
      <c r="B74" s="99" t="s">
        <v>130</v>
      </c>
      <c r="C74" s="100" t="s">
        <v>72</v>
      </c>
      <c r="D74" s="101">
        <v>226.1</v>
      </c>
      <c r="E74" s="186">
        <v>3500</v>
      </c>
      <c r="F74" s="186">
        <f t="shared" ref="F74:F79" si="52">ROUND(E74*D74,2)</f>
        <v>791350</v>
      </c>
      <c r="G74" s="186">
        <f t="shared" ref="G74:G79" si="53">ROUND(F74*1.2,2)</f>
        <v>949620</v>
      </c>
      <c r="H74" s="104"/>
      <c r="I74" s="186"/>
      <c r="J74" s="186"/>
      <c r="K74" s="123">
        <f t="shared" ref="K74:L79" si="54">F74+I74</f>
        <v>791350</v>
      </c>
      <c r="L74" s="186">
        <f t="shared" si="54"/>
        <v>949620</v>
      </c>
      <c r="M74" s="24" t="s">
        <v>131</v>
      </c>
      <c r="O74" s="786">
        <f>L64+L67+L68+L69+L70+L71+L72-O73</f>
        <v>816347.3648000001</v>
      </c>
      <c r="P74" s="290" t="s">
        <v>467</v>
      </c>
    </row>
    <row r="75" spans="1:16" ht="24.75" customHeight="1" x14ac:dyDescent="0.25">
      <c r="A75" s="100">
        <f>A74+1</f>
        <v>41</v>
      </c>
      <c r="B75" s="99" t="s">
        <v>256</v>
      </c>
      <c r="C75" s="100" t="s">
        <v>84</v>
      </c>
      <c r="D75" s="195">
        <v>150.88</v>
      </c>
      <c r="E75" s="123">
        <v>4804.26</v>
      </c>
      <c r="F75" s="186">
        <f t="shared" si="52"/>
        <v>724866.75</v>
      </c>
      <c r="G75" s="186">
        <f t="shared" si="53"/>
        <v>869840.1</v>
      </c>
      <c r="H75" s="104"/>
      <c r="I75" s="186"/>
      <c r="J75" s="186"/>
      <c r="K75" s="123">
        <f t="shared" si="54"/>
        <v>724866.75</v>
      </c>
      <c r="L75" s="186">
        <f t="shared" si="54"/>
        <v>869840.1</v>
      </c>
      <c r="M75" s="6" t="s">
        <v>257</v>
      </c>
    </row>
    <row r="76" spans="1:16" ht="24.75" customHeight="1" x14ac:dyDescent="0.25">
      <c r="A76" s="17">
        <f t="shared" ref="A76:A79" si="55">A75+1</f>
        <v>42</v>
      </c>
      <c r="B76" s="18" t="s">
        <v>132</v>
      </c>
      <c r="C76" s="17" t="s">
        <v>84</v>
      </c>
      <c r="D76" s="33">
        <v>7.22</v>
      </c>
      <c r="E76" s="21">
        <f>ROUND(65055.24/(297.03*0.05),2)</f>
        <v>4380.38</v>
      </c>
      <c r="F76" s="21">
        <f t="shared" si="52"/>
        <v>31626.34</v>
      </c>
      <c r="G76" s="21">
        <f t="shared" si="53"/>
        <v>37951.61</v>
      </c>
      <c r="H76" s="20"/>
      <c r="I76" s="21"/>
      <c r="J76" s="21"/>
      <c r="K76" s="23">
        <f t="shared" si="54"/>
        <v>31626.34</v>
      </c>
      <c r="L76" s="21">
        <f t="shared" si="54"/>
        <v>37951.61</v>
      </c>
      <c r="M76" s="6" t="s">
        <v>258</v>
      </c>
    </row>
    <row r="77" spans="1:16" ht="24.75" customHeight="1" x14ac:dyDescent="0.25">
      <c r="A77" s="100">
        <f t="shared" si="55"/>
        <v>43</v>
      </c>
      <c r="B77" s="99" t="s">
        <v>259</v>
      </c>
      <c r="C77" s="100" t="s">
        <v>75</v>
      </c>
      <c r="D77" s="208">
        <f>ROUND(30.67/3/1.75/0.17,0)</f>
        <v>34</v>
      </c>
      <c r="E77" s="186">
        <v>3982.45</v>
      </c>
      <c r="F77" s="186">
        <f t="shared" si="52"/>
        <v>135403.29999999999</v>
      </c>
      <c r="G77" s="186">
        <f t="shared" si="53"/>
        <v>162483.96</v>
      </c>
      <c r="H77" s="104"/>
      <c r="I77" s="186"/>
      <c r="J77" s="186"/>
      <c r="K77" s="123">
        <f t="shared" si="54"/>
        <v>135403.29999999999</v>
      </c>
      <c r="L77" s="186">
        <f t="shared" si="54"/>
        <v>162483.96</v>
      </c>
    </row>
    <row r="78" spans="1:16" ht="24.75" customHeight="1" x14ac:dyDescent="0.25">
      <c r="A78" s="100">
        <f t="shared" si="55"/>
        <v>44</v>
      </c>
      <c r="B78" s="99" t="s">
        <v>260</v>
      </c>
      <c r="C78" s="100" t="s">
        <v>84</v>
      </c>
      <c r="D78" s="101">
        <v>127.36</v>
      </c>
      <c r="E78" s="123">
        <v>4380.38</v>
      </c>
      <c r="F78" s="186">
        <f t="shared" si="52"/>
        <v>557885.19999999995</v>
      </c>
      <c r="G78" s="186">
        <f t="shared" si="53"/>
        <v>669462.24</v>
      </c>
      <c r="H78" s="186"/>
      <c r="I78" s="186"/>
      <c r="J78" s="186"/>
      <c r="K78" s="123">
        <f t="shared" si="54"/>
        <v>557885.19999999995</v>
      </c>
      <c r="L78" s="186">
        <f t="shared" si="54"/>
        <v>669462.24</v>
      </c>
      <c r="M78" s="6" t="s">
        <v>261</v>
      </c>
    </row>
    <row r="79" spans="1:16" ht="24.75" customHeight="1" x14ac:dyDescent="0.25">
      <c r="A79" s="153">
        <f t="shared" si="55"/>
        <v>45</v>
      </c>
      <c r="B79" s="209" t="s">
        <v>135</v>
      </c>
      <c r="C79" s="100" t="s">
        <v>84</v>
      </c>
      <c r="D79" s="101">
        <f>150.88+7.22+127.36+30.67</f>
        <v>316.13</v>
      </c>
      <c r="E79" s="186">
        <v>649.53</v>
      </c>
      <c r="F79" s="186">
        <f t="shared" si="52"/>
        <v>205335.92</v>
      </c>
      <c r="G79" s="186">
        <f t="shared" si="53"/>
        <v>246403.1</v>
      </c>
      <c r="H79" s="104"/>
      <c r="I79" s="186"/>
      <c r="J79" s="186"/>
      <c r="K79" s="123">
        <f t="shared" si="54"/>
        <v>205335.92</v>
      </c>
      <c r="L79" s="186">
        <f t="shared" si="54"/>
        <v>246403.1</v>
      </c>
      <c r="M79" s="24" t="s">
        <v>131</v>
      </c>
      <c r="O79" s="827">
        <f>L79-D79*СВОД!$P$2*1.2</f>
        <v>129276.93500000001</v>
      </c>
    </row>
    <row r="80" spans="1:16" ht="24.75" customHeight="1" x14ac:dyDescent="0.25">
      <c r="A80" s="108"/>
      <c r="B80" s="193" t="s">
        <v>262</v>
      </c>
      <c r="C80" s="179"/>
      <c r="D80" s="194"/>
      <c r="E80" s="165"/>
      <c r="F80" s="166"/>
      <c r="G80" s="166"/>
      <c r="H80" s="182"/>
      <c r="I80" s="117"/>
      <c r="J80" s="117"/>
      <c r="K80" s="165"/>
      <c r="L80" s="117"/>
    </row>
    <row r="81" spans="1:15" ht="24.75" customHeight="1" x14ac:dyDescent="0.25">
      <c r="A81" s="100">
        <f>A79+1</f>
        <v>46</v>
      </c>
      <c r="B81" s="99" t="s">
        <v>260</v>
      </c>
      <c r="C81" s="100" t="s">
        <v>84</v>
      </c>
      <c r="D81" s="101">
        <v>84.4</v>
      </c>
      <c r="E81" s="123">
        <v>4380.38</v>
      </c>
      <c r="F81" s="186">
        <f t="shared" ref="F81:F82" si="56">ROUND(E81*D81,2)</f>
        <v>369704.07</v>
      </c>
      <c r="G81" s="186">
        <f t="shared" ref="G81:G82" si="57">ROUND(F81*1.2,2)</f>
        <v>443644.88</v>
      </c>
      <c r="H81" s="186"/>
      <c r="I81" s="186"/>
      <c r="J81" s="186"/>
      <c r="K81" s="123">
        <f t="shared" ref="K81:L82" si="58">F81+I81</f>
        <v>369704.07</v>
      </c>
      <c r="L81" s="186">
        <f t="shared" si="58"/>
        <v>443644.88</v>
      </c>
      <c r="M81" s="6" t="s">
        <v>261</v>
      </c>
    </row>
    <row r="82" spans="1:15" ht="24.75" customHeight="1" x14ac:dyDescent="0.25">
      <c r="A82" s="153">
        <f>A81+1</f>
        <v>47</v>
      </c>
      <c r="B82" s="209" t="s">
        <v>135</v>
      </c>
      <c r="C82" s="100" t="s">
        <v>84</v>
      </c>
      <c r="D82" s="101">
        <v>84.4</v>
      </c>
      <c r="E82" s="186">
        <v>649.53</v>
      </c>
      <c r="F82" s="186">
        <f t="shared" si="56"/>
        <v>54820.33</v>
      </c>
      <c r="G82" s="186">
        <f t="shared" si="57"/>
        <v>65784.399999999994</v>
      </c>
      <c r="H82" s="104"/>
      <c r="I82" s="186"/>
      <c r="J82" s="186"/>
      <c r="K82" s="123">
        <f t="shared" si="58"/>
        <v>54820.33</v>
      </c>
      <c r="L82" s="186">
        <f t="shared" si="58"/>
        <v>65784.399999999994</v>
      </c>
      <c r="M82" s="24" t="s">
        <v>131</v>
      </c>
      <c r="O82" s="827">
        <f>L82-D82*СВОД!$P$2*1.2</f>
        <v>34514.199999999997</v>
      </c>
    </row>
    <row r="83" spans="1:15" ht="24.75" customHeight="1" x14ac:dyDescent="0.25">
      <c r="A83" s="108"/>
      <c r="B83" s="193" t="s">
        <v>263</v>
      </c>
      <c r="C83" s="179"/>
      <c r="D83" s="194"/>
      <c r="E83" s="165"/>
      <c r="F83" s="166"/>
      <c r="G83" s="166"/>
      <c r="H83" s="182"/>
      <c r="I83" s="117"/>
      <c r="J83" s="117"/>
      <c r="K83" s="165"/>
      <c r="L83" s="117"/>
    </row>
    <row r="84" spans="1:15" ht="24.75" customHeight="1" x14ac:dyDescent="0.25">
      <c r="A84" s="100">
        <f>A82+1</f>
        <v>48</v>
      </c>
      <c r="B84" s="99" t="s">
        <v>264</v>
      </c>
      <c r="C84" s="100" t="s">
        <v>84</v>
      </c>
      <c r="D84" s="101">
        <v>43.2</v>
      </c>
      <c r="E84" s="123">
        <v>4380.38</v>
      </c>
      <c r="F84" s="186">
        <f t="shared" ref="F84:F88" si="59">ROUND(E84*D84,2)</f>
        <v>189232.42</v>
      </c>
      <c r="G84" s="186">
        <f t="shared" ref="G84:G88" si="60">ROUND(F84*1.2,2)</f>
        <v>227078.9</v>
      </c>
      <c r="H84" s="186"/>
      <c r="I84" s="186"/>
      <c r="J84" s="186"/>
      <c r="K84" s="123">
        <f t="shared" ref="K84:L88" si="61">F84+I84</f>
        <v>189232.42</v>
      </c>
      <c r="L84" s="186">
        <f t="shared" si="61"/>
        <v>227078.9</v>
      </c>
      <c r="M84" s="6" t="s">
        <v>261</v>
      </c>
    </row>
    <row r="85" spans="1:15" ht="24.75" customHeight="1" x14ac:dyDescent="0.25">
      <c r="A85" s="100">
        <f>A84+1</f>
        <v>49</v>
      </c>
      <c r="B85" s="99" t="s">
        <v>256</v>
      </c>
      <c r="C85" s="100" t="s">
        <v>84</v>
      </c>
      <c r="D85" s="195">
        <v>6.04</v>
      </c>
      <c r="E85" s="123">
        <v>4804.26</v>
      </c>
      <c r="F85" s="186">
        <f t="shared" si="59"/>
        <v>29017.73</v>
      </c>
      <c r="G85" s="186">
        <f t="shared" si="60"/>
        <v>34821.279999999999</v>
      </c>
      <c r="H85" s="104"/>
      <c r="I85" s="186"/>
      <c r="J85" s="186"/>
      <c r="K85" s="123">
        <f t="shared" si="61"/>
        <v>29017.73</v>
      </c>
      <c r="L85" s="186">
        <f t="shared" si="61"/>
        <v>34821.279999999999</v>
      </c>
      <c r="M85" s="6" t="s">
        <v>257</v>
      </c>
    </row>
    <row r="86" spans="1:15" ht="24.75" customHeight="1" x14ac:dyDescent="0.25">
      <c r="A86" s="100">
        <f t="shared" ref="A86:A88" si="62">A85+1</f>
        <v>50</v>
      </c>
      <c r="B86" s="99" t="s">
        <v>265</v>
      </c>
      <c r="C86" s="100" t="s">
        <v>84</v>
      </c>
      <c r="D86" s="101">
        <v>25.67</v>
      </c>
      <c r="E86" s="123">
        <v>4380.38</v>
      </c>
      <c r="F86" s="186">
        <f t="shared" si="59"/>
        <v>112444.35</v>
      </c>
      <c r="G86" s="186">
        <f t="shared" si="60"/>
        <v>134933.22</v>
      </c>
      <c r="H86" s="186"/>
      <c r="I86" s="186"/>
      <c r="J86" s="186"/>
      <c r="K86" s="123">
        <f t="shared" si="61"/>
        <v>112444.35</v>
      </c>
      <c r="L86" s="186">
        <f t="shared" si="61"/>
        <v>134933.22</v>
      </c>
      <c r="M86" s="6" t="s">
        <v>261</v>
      </c>
    </row>
    <row r="87" spans="1:15" ht="24.75" customHeight="1" x14ac:dyDescent="0.25">
      <c r="A87" s="100">
        <f t="shared" si="62"/>
        <v>51</v>
      </c>
      <c r="B87" s="99" t="s">
        <v>266</v>
      </c>
      <c r="C87" s="100" t="s">
        <v>84</v>
      </c>
      <c r="D87" s="101">
        <v>15.1</v>
      </c>
      <c r="E87" s="123">
        <v>4380.38</v>
      </c>
      <c r="F87" s="186">
        <f t="shared" si="59"/>
        <v>66143.740000000005</v>
      </c>
      <c r="G87" s="186">
        <f t="shared" si="60"/>
        <v>79372.490000000005</v>
      </c>
      <c r="H87" s="186"/>
      <c r="I87" s="186"/>
      <c r="J87" s="186"/>
      <c r="K87" s="123">
        <f t="shared" si="61"/>
        <v>66143.740000000005</v>
      </c>
      <c r="L87" s="186">
        <f t="shared" si="61"/>
        <v>79372.490000000005</v>
      </c>
      <c r="M87" s="6" t="s">
        <v>261</v>
      </c>
    </row>
    <row r="88" spans="1:15" ht="24.75" customHeight="1" x14ac:dyDescent="0.25">
      <c r="A88" s="153">
        <f t="shared" si="62"/>
        <v>52</v>
      </c>
      <c r="B88" s="209" t="s">
        <v>135</v>
      </c>
      <c r="C88" s="100" t="s">
        <v>84</v>
      </c>
      <c r="D88" s="101">
        <f>43.2+6.04+25.67+15.1</f>
        <v>90.009999999999991</v>
      </c>
      <c r="E88" s="186">
        <v>649.53</v>
      </c>
      <c r="F88" s="186">
        <f t="shared" si="59"/>
        <v>58464.2</v>
      </c>
      <c r="G88" s="186">
        <f t="shared" si="60"/>
        <v>70157.039999999994</v>
      </c>
      <c r="H88" s="104"/>
      <c r="I88" s="186"/>
      <c r="J88" s="186"/>
      <c r="K88" s="123">
        <f t="shared" si="61"/>
        <v>58464.2</v>
      </c>
      <c r="L88" s="186">
        <f t="shared" si="61"/>
        <v>70157.039999999994</v>
      </c>
      <c r="M88" s="24" t="s">
        <v>131</v>
      </c>
      <c r="O88" s="827">
        <f>L88-D88*СВОД!$P$2*1.2</f>
        <v>36808.334999999999</v>
      </c>
    </row>
    <row r="89" spans="1:15" ht="24.75" customHeight="1" x14ac:dyDescent="0.25">
      <c r="A89" s="108"/>
      <c r="B89" s="193" t="s">
        <v>267</v>
      </c>
      <c r="C89" s="116"/>
      <c r="D89" s="109"/>
      <c r="E89" s="119"/>
      <c r="F89" s="166"/>
      <c r="G89" s="166"/>
      <c r="H89" s="117"/>
      <c r="I89" s="117"/>
      <c r="J89" s="117"/>
      <c r="K89" s="165"/>
      <c r="L89" s="117"/>
    </row>
    <row r="90" spans="1:15" ht="24.75" customHeight="1" x14ac:dyDescent="0.25">
      <c r="A90" s="108"/>
      <c r="B90" s="193" t="s">
        <v>181</v>
      </c>
      <c r="C90" s="116"/>
      <c r="D90" s="109"/>
      <c r="E90" s="119"/>
      <c r="F90" s="166"/>
      <c r="G90" s="166"/>
      <c r="H90" s="117"/>
      <c r="I90" s="117"/>
      <c r="J90" s="117"/>
      <c r="K90" s="165"/>
      <c r="L90" s="117"/>
    </row>
    <row r="91" spans="1:15" ht="24" customHeight="1" x14ac:dyDescent="0.25">
      <c r="A91" s="17">
        <f>A88+1</f>
        <v>53</v>
      </c>
      <c r="B91" s="18" t="s">
        <v>83</v>
      </c>
      <c r="C91" s="17" t="s">
        <v>84</v>
      </c>
      <c r="D91" s="33">
        <v>157</v>
      </c>
      <c r="E91" s="23">
        <v>308.75</v>
      </c>
      <c r="F91" s="21">
        <f t="shared" ref="F91:F95" si="63">ROUND(E91*D91,2)</f>
        <v>48473.75</v>
      </c>
      <c r="G91" s="21">
        <f t="shared" ref="G91:G97" si="64">ROUND(F91*1.2,2)</f>
        <v>58168.5</v>
      </c>
      <c r="H91" s="22"/>
      <c r="I91" s="21"/>
      <c r="J91" s="21"/>
      <c r="K91" s="23">
        <f t="shared" ref="K91:L97" si="65">F91+I91</f>
        <v>48473.75</v>
      </c>
      <c r="L91" s="21">
        <f t="shared" si="65"/>
        <v>58168.5</v>
      </c>
      <c r="M91" s="6" t="s">
        <v>184</v>
      </c>
    </row>
    <row r="92" spans="1:15" ht="24" customHeight="1" x14ac:dyDescent="0.25">
      <c r="A92" s="17">
        <f>A91+1</f>
        <v>54</v>
      </c>
      <c r="B92" s="18" t="s">
        <v>85</v>
      </c>
      <c r="C92" s="17" t="s">
        <v>84</v>
      </c>
      <c r="D92" s="19">
        <v>3</v>
      </c>
      <c r="E92" s="23">
        <v>1688.15</v>
      </c>
      <c r="F92" s="21">
        <f t="shared" si="63"/>
        <v>5064.45</v>
      </c>
      <c r="G92" s="21">
        <f t="shared" si="64"/>
        <v>6077.34</v>
      </c>
      <c r="H92" s="22"/>
      <c r="I92" s="21"/>
      <c r="J92" s="21"/>
      <c r="K92" s="23">
        <f t="shared" si="65"/>
        <v>5064.45</v>
      </c>
      <c r="L92" s="21">
        <f t="shared" si="65"/>
        <v>6077.34</v>
      </c>
      <c r="M92" s="6" t="s">
        <v>184</v>
      </c>
    </row>
    <row r="93" spans="1:15" ht="24.75" customHeight="1" x14ac:dyDescent="0.25">
      <c r="A93" s="17">
        <f t="shared" ref="A93:A97" si="66">A92+1</f>
        <v>55</v>
      </c>
      <c r="B93" s="18" t="s">
        <v>86</v>
      </c>
      <c r="C93" s="17" t="s">
        <v>84</v>
      </c>
      <c r="D93" s="19">
        <v>3</v>
      </c>
      <c r="E93" s="23">
        <v>854.05</v>
      </c>
      <c r="F93" s="21">
        <f t="shared" si="63"/>
        <v>2562.15</v>
      </c>
      <c r="G93" s="21">
        <f t="shared" si="64"/>
        <v>3074.58</v>
      </c>
      <c r="H93" s="21"/>
      <c r="I93" s="21"/>
      <c r="J93" s="21"/>
      <c r="K93" s="23">
        <f t="shared" si="65"/>
        <v>2562.15</v>
      </c>
      <c r="L93" s="21">
        <f t="shared" si="65"/>
        <v>3074.58</v>
      </c>
      <c r="M93" s="6" t="s">
        <v>184</v>
      </c>
    </row>
    <row r="94" spans="1:15" ht="24.75" customHeight="1" x14ac:dyDescent="0.25">
      <c r="A94" s="17">
        <f t="shared" si="66"/>
        <v>56</v>
      </c>
      <c r="B94" s="18" t="s">
        <v>87</v>
      </c>
      <c r="C94" s="17" t="s">
        <v>84</v>
      </c>
      <c r="D94" s="33">
        <v>187</v>
      </c>
      <c r="E94" s="23">
        <v>118.75</v>
      </c>
      <c r="F94" s="21">
        <f t="shared" si="63"/>
        <v>22206.25</v>
      </c>
      <c r="G94" s="21">
        <f t="shared" si="64"/>
        <v>26647.5</v>
      </c>
      <c r="H94" s="22"/>
      <c r="I94" s="21"/>
      <c r="J94" s="21"/>
      <c r="K94" s="23">
        <f t="shared" si="65"/>
        <v>22206.25</v>
      </c>
      <c r="L94" s="21">
        <f t="shared" si="65"/>
        <v>26647.5</v>
      </c>
      <c r="M94" s="6" t="s">
        <v>184</v>
      </c>
    </row>
    <row r="95" spans="1:15" ht="24.75" customHeight="1" x14ac:dyDescent="0.25">
      <c r="A95" s="17">
        <f t="shared" si="66"/>
        <v>57</v>
      </c>
      <c r="B95" s="18" t="s">
        <v>88</v>
      </c>
      <c r="C95" s="17" t="s">
        <v>84</v>
      </c>
      <c r="D95" s="33">
        <v>187</v>
      </c>
      <c r="E95" s="23">
        <v>188.1</v>
      </c>
      <c r="F95" s="21">
        <f t="shared" si="63"/>
        <v>35174.699999999997</v>
      </c>
      <c r="G95" s="21">
        <f t="shared" si="64"/>
        <v>42209.64</v>
      </c>
      <c r="H95" s="23"/>
      <c r="I95" s="21"/>
      <c r="J95" s="21"/>
      <c r="K95" s="23">
        <f t="shared" si="65"/>
        <v>35174.699999999997</v>
      </c>
      <c r="L95" s="21">
        <f t="shared" si="65"/>
        <v>42209.64</v>
      </c>
      <c r="M95" s="6" t="s">
        <v>184</v>
      </c>
    </row>
    <row r="96" spans="1:15" s="178" customFormat="1" ht="18.75" customHeight="1" x14ac:dyDescent="0.25">
      <c r="A96" s="153">
        <f t="shared" si="66"/>
        <v>58</v>
      </c>
      <c r="B96" s="152" t="s">
        <v>89</v>
      </c>
      <c r="C96" s="153" t="s">
        <v>80</v>
      </c>
      <c r="D96" s="154">
        <f>299.4+252</f>
        <v>551.4</v>
      </c>
      <c r="E96" s="158">
        <v>308.75</v>
      </c>
      <c r="F96" s="157">
        <f>ROUND(E96*D96,2)</f>
        <v>170244.75</v>
      </c>
      <c r="G96" s="157">
        <f t="shared" si="64"/>
        <v>204293.7</v>
      </c>
      <c r="H96" s="158"/>
      <c r="I96" s="157"/>
      <c r="J96" s="157"/>
      <c r="K96" s="158">
        <f t="shared" si="65"/>
        <v>170244.75</v>
      </c>
      <c r="L96" s="157">
        <f t="shared" si="65"/>
        <v>204293.7</v>
      </c>
      <c r="M96" s="178" t="s">
        <v>184</v>
      </c>
      <c r="N96" s="803" t="s">
        <v>563</v>
      </c>
      <c r="O96" s="784">
        <f>L96-47.4*E96*1.2</f>
        <v>186732</v>
      </c>
    </row>
    <row r="97" spans="1:15" ht="24" customHeight="1" x14ac:dyDescent="0.25">
      <c r="A97" s="17">
        <f t="shared" si="66"/>
        <v>59</v>
      </c>
      <c r="B97" s="18" t="s">
        <v>185</v>
      </c>
      <c r="C97" s="17" t="s">
        <v>84</v>
      </c>
      <c r="D97" s="173">
        <f>(252+299.4)/1.9</f>
        <v>290.21052631578948</v>
      </c>
      <c r="E97" s="23">
        <v>237.5</v>
      </c>
      <c r="F97" s="21">
        <f t="shared" ref="F97" si="67">ROUND(E97*D97,2)</f>
        <v>68925</v>
      </c>
      <c r="G97" s="21">
        <f t="shared" si="64"/>
        <v>82710</v>
      </c>
      <c r="H97" s="22"/>
      <c r="I97" s="21"/>
      <c r="J97" s="21"/>
      <c r="K97" s="23">
        <f t="shared" si="65"/>
        <v>68925</v>
      </c>
      <c r="L97" s="21">
        <f t="shared" si="65"/>
        <v>82710</v>
      </c>
    </row>
    <row r="98" spans="1:15" ht="24.75" customHeight="1" x14ac:dyDescent="0.25">
      <c r="A98" s="108"/>
      <c r="B98" s="193" t="s">
        <v>268</v>
      </c>
      <c r="C98" s="116"/>
      <c r="D98" s="109"/>
      <c r="E98" s="119"/>
      <c r="F98" s="166"/>
      <c r="G98" s="166"/>
      <c r="H98" s="117"/>
      <c r="I98" s="117"/>
      <c r="J98" s="117"/>
      <c r="K98" s="165"/>
      <c r="L98" s="117"/>
    </row>
    <row r="99" spans="1:15" ht="24.75" customHeight="1" x14ac:dyDescent="0.25">
      <c r="A99" s="100">
        <f>A96+1</f>
        <v>59</v>
      </c>
      <c r="B99" s="99" t="s">
        <v>269</v>
      </c>
      <c r="C99" s="100" t="s">
        <v>84</v>
      </c>
      <c r="D99" s="208">
        <v>30</v>
      </c>
      <c r="E99" s="123">
        <v>4380.38</v>
      </c>
      <c r="F99" s="186">
        <f t="shared" ref="F99" si="68">ROUND(E99*D99,2)</f>
        <v>131411.4</v>
      </c>
      <c r="G99" s="186">
        <f t="shared" ref="G99:G101" si="69">ROUND(F99*1.2,2)</f>
        <v>157693.68</v>
      </c>
      <c r="H99" s="186"/>
      <c r="I99" s="186"/>
      <c r="J99" s="186"/>
      <c r="K99" s="123">
        <f t="shared" ref="K99:L101" si="70">F99+I99</f>
        <v>131411.4</v>
      </c>
      <c r="L99" s="186">
        <f t="shared" si="70"/>
        <v>157693.68</v>
      </c>
      <c r="M99" s="6" t="s">
        <v>261</v>
      </c>
    </row>
    <row r="100" spans="1:15" ht="24.75" customHeight="1" x14ac:dyDescent="0.25">
      <c r="A100" s="17">
        <f>A99+1</f>
        <v>60</v>
      </c>
      <c r="B100" s="18" t="s">
        <v>270</v>
      </c>
      <c r="C100" s="17" t="s">
        <v>75</v>
      </c>
      <c r="D100" s="19">
        <v>6</v>
      </c>
      <c r="E100" s="23">
        <v>46569.95</v>
      </c>
      <c r="F100" s="21">
        <f>ROUND(E100*D100,2)</f>
        <v>279419.7</v>
      </c>
      <c r="G100" s="21">
        <f t="shared" si="69"/>
        <v>335303.64</v>
      </c>
      <c r="H100" s="23"/>
      <c r="I100" s="21"/>
      <c r="J100" s="21"/>
      <c r="K100" s="23">
        <f t="shared" si="70"/>
        <v>279419.7</v>
      </c>
      <c r="L100" s="21">
        <f t="shared" si="70"/>
        <v>335303.64</v>
      </c>
      <c r="M100" s="6" t="s">
        <v>33</v>
      </c>
    </row>
    <row r="101" spans="1:15" ht="24.75" customHeight="1" x14ac:dyDescent="0.25">
      <c r="A101" s="153">
        <f>A100+1</f>
        <v>61</v>
      </c>
      <c r="B101" s="209" t="s">
        <v>135</v>
      </c>
      <c r="C101" s="100" t="s">
        <v>84</v>
      </c>
      <c r="D101" s="101">
        <v>49.2</v>
      </c>
      <c r="E101" s="186">
        <v>649.53</v>
      </c>
      <c r="F101" s="186">
        <f t="shared" ref="F101" si="71">ROUND(E101*D101,2)</f>
        <v>31956.880000000001</v>
      </c>
      <c r="G101" s="186">
        <f t="shared" si="69"/>
        <v>38348.26</v>
      </c>
      <c r="H101" s="104"/>
      <c r="I101" s="186"/>
      <c r="J101" s="186"/>
      <c r="K101" s="123">
        <f t="shared" si="70"/>
        <v>31956.880000000001</v>
      </c>
      <c r="L101" s="186">
        <f t="shared" si="70"/>
        <v>38348.26</v>
      </c>
      <c r="O101" s="827">
        <f>L101-D101*СВОД!$P$2*1.2</f>
        <v>20119.660000000003</v>
      </c>
    </row>
    <row r="102" spans="1:15" ht="24.75" customHeight="1" x14ac:dyDescent="0.25">
      <c r="A102" s="108"/>
      <c r="B102" s="193" t="s">
        <v>271</v>
      </c>
      <c r="C102" s="116"/>
      <c r="D102" s="109"/>
      <c r="E102" s="119"/>
      <c r="F102" s="166"/>
      <c r="G102" s="166"/>
      <c r="H102" s="117"/>
      <c r="I102" s="117"/>
      <c r="J102" s="117"/>
      <c r="K102" s="165"/>
      <c r="L102" s="117"/>
    </row>
    <row r="103" spans="1:15" ht="24.75" customHeight="1" x14ac:dyDescent="0.25">
      <c r="A103" s="100">
        <f>A101+1</f>
        <v>62</v>
      </c>
      <c r="B103" s="99" t="s">
        <v>272</v>
      </c>
      <c r="C103" s="100" t="s">
        <v>80</v>
      </c>
      <c r="D103" s="101">
        <v>4.62</v>
      </c>
      <c r="E103" s="123">
        <f>135637.63*0.7</f>
        <v>94946.341</v>
      </c>
      <c r="F103" s="186">
        <f>ROUND(E103*D103,2)</f>
        <v>438652.1</v>
      </c>
      <c r="G103" s="186">
        <f t="shared" ref="G103:G107" si="72">ROUND(F103*1.2,2)</f>
        <v>526382.52</v>
      </c>
      <c r="H103" s="123"/>
      <c r="I103" s="186"/>
      <c r="J103" s="186"/>
      <c r="K103" s="123">
        <f t="shared" ref="K103:L107" si="73">F103+I103</f>
        <v>438652.1</v>
      </c>
      <c r="L103" s="186">
        <f t="shared" si="73"/>
        <v>526382.52</v>
      </c>
    </row>
    <row r="104" spans="1:15" s="178" customFormat="1" ht="24.75" customHeight="1" x14ac:dyDescent="0.25">
      <c r="A104" s="153">
        <f>A103+1</f>
        <v>63</v>
      </c>
      <c r="B104" s="152" t="s">
        <v>273</v>
      </c>
      <c r="C104" s="153" t="s">
        <v>80</v>
      </c>
      <c r="D104" s="154">
        <v>6.82</v>
      </c>
      <c r="E104" s="158">
        <f>135637.63*0.7</f>
        <v>94946.341</v>
      </c>
      <c r="F104" s="157">
        <f>ROUND(E104*D104,2)</f>
        <v>647534.05000000005</v>
      </c>
      <c r="G104" s="157">
        <f t="shared" si="72"/>
        <v>777040.86</v>
      </c>
      <c r="H104" s="158"/>
      <c r="I104" s="157"/>
      <c r="J104" s="157"/>
      <c r="K104" s="158">
        <f t="shared" si="73"/>
        <v>647534.05000000005</v>
      </c>
      <c r="L104" s="793">
        <f t="shared" si="73"/>
        <v>777040.86</v>
      </c>
      <c r="M104" s="172"/>
      <c r="N104" s="794" t="s">
        <v>1249</v>
      </c>
      <c r="O104" s="784">
        <v>300000</v>
      </c>
    </row>
    <row r="105" spans="1:15" ht="24.75" customHeight="1" x14ac:dyDescent="0.25">
      <c r="A105" s="153">
        <f>A104+1</f>
        <v>64</v>
      </c>
      <c r="B105" s="99" t="s">
        <v>274</v>
      </c>
      <c r="C105" s="184" t="s">
        <v>80</v>
      </c>
      <c r="D105" s="195">
        <f>11.44</f>
        <v>11.44</v>
      </c>
      <c r="E105" s="123">
        <v>450</v>
      </c>
      <c r="F105" s="186">
        <f t="shared" ref="F105:F107" si="74">ROUND(E105*D105,2)</f>
        <v>5148</v>
      </c>
      <c r="G105" s="186">
        <f t="shared" si="72"/>
        <v>6177.6</v>
      </c>
      <c r="H105" s="187"/>
      <c r="I105" s="186"/>
      <c r="J105" s="186"/>
      <c r="K105" s="123">
        <f t="shared" si="73"/>
        <v>5148</v>
      </c>
      <c r="L105" s="186">
        <f t="shared" si="73"/>
        <v>6177.6</v>
      </c>
      <c r="O105" s="827">
        <f>L105-D105*СВОД!$P$2*1.2</f>
        <v>1939.0800000000008</v>
      </c>
    </row>
    <row r="106" spans="1:15" ht="24.75" customHeight="1" x14ac:dyDescent="0.25">
      <c r="A106" s="100">
        <f t="shared" ref="A106:A107" si="75">A105+1</f>
        <v>65</v>
      </c>
      <c r="B106" s="99" t="s">
        <v>204</v>
      </c>
      <c r="C106" s="184" t="s">
        <v>80</v>
      </c>
      <c r="D106" s="195">
        <f>11.44</f>
        <v>11.44</v>
      </c>
      <c r="E106" s="123">
        <v>308.75</v>
      </c>
      <c r="F106" s="186">
        <f t="shared" si="74"/>
        <v>3532.1</v>
      </c>
      <c r="G106" s="186">
        <f t="shared" si="72"/>
        <v>4238.5200000000004</v>
      </c>
      <c r="H106" s="187"/>
      <c r="I106" s="186"/>
      <c r="J106" s="186"/>
      <c r="K106" s="123">
        <f t="shared" si="73"/>
        <v>3532.1</v>
      </c>
      <c r="L106" s="186">
        <f t="shared" si="73"/>
        <v>4238.5200000000004</v>
      </c>
      <c r="M106" s="6" t="s">
        <v>205</v>
      </c>
      <c r="O106" s="6"/>
    </row>
    <row r="107" spans="1:15" ht="24.75" customHeight="1" x14ac:dyDescent="0.25">
      <c r="A107" s="153">
        <f t="shared" si="75"/>
        <v>66</v>
      </c>
      <c r="B107" s="99" t="s">
        <v>275</v>
      </c>
      <c r="C107" s="184" t="s">
        <v>80</v>
      </c>
      <c r="D107" s="195">
        <f>11.44</f>
        <v>11.44</v>
      </c>
      <c r="E107" s="123">
        <v>450</v>
      </c>
      <c r="F107" s="186">
        <f t="shared" si="74"/>
        <v>5148</v>
      </c>
      <c r="G107" s="186">
        <f t="shared" si="72"/>
        <v>6177.6</v>
      </c>
      <c r="H107" s="187"/>
      <c r="I107" s="186"/>
      <c r="J107" s="186"/>
      <c r="K107" s="123">
        <f t="shared" si="73"/>
        <v>5148</v>
      </c>
      <c r="L107" s="186">
        <f t="shared" si="73"/>
        <v>6177.6</v>
      </c>
      <c r="O107" s="827">
        <f>L107-D107*СВОД!$P$2*1.2</f>
        <v>1939.0800000000008</v>
      </c>
    </row>
    <row r="108" spans="1:15" ht="24.75" customHeight="1" x14ac:dyDescent="0.25">
      <c r="A108" s="108"/>
      <c r="B108" s="193" t="s">
        <v>276</v>
      </c>
      <c r="C108" s="116"/>
      <c r="D108" s="109"/>
      <c r="E108" s="119"/>
      <c r="F108" s="166"/>
      <c r="G108" s="166"/>
      <c r="H108" s="117"/>
      <c r="I108" s="117"/>
      <c r="J108" s="117"/>
      <c r="K108" s="165"/>
      <c r="L108" s="117"/>
    </row>
    <row r="109" spans="1:15" ht="24.75" customHeight="1" x14ac:dyDescent="0.25">
      <c r="A109" s="17">
        <f>A105+1</f>
        <v>65</v>
      </c>
      <c r="B109" s="174" t="s">
        <v>202</v>
      </c>
      <c r="C109" s="175" t="s">
        <v>72</v>
      </c>
      <c r="D109" s="190">
        <v>8.4600000000000009</v>
      </c>
      <c r="E109" s="23">
        <v>1979.8</v>
      </c>
      <c r="F109" s="21">
        <f t="shared" ref="F109:F110" si="76">ROUND(E109*D109,2)</f>
        <v>16749.11</v>
      </c>
      <c r="G109" s="21">
        <f t="shared" ref="G109:G110" si="77">ROUND(F109*1.2,2)</f>
        <v>20098.93</v>
      </c>
      <c r="H109" s="22"/>
      <c r="I109" s="21"/>
      <c r="J109" s="21"/>
      <c r="K109" s="23">
        <f t="shared" ref="K109:L115" si="78">F109+I109</f>
        <v>16749.11</v>
      </c>
      <c r="L109" s="21">
        <f t="shared" si="78"/>
        <v>20098.93</v>
      </c>
    </row>
    <row r="110" spans="1:15" ht="45" x14ac:dyDescent="0.25">
      <c r="A110" s="17">
        <f>A109+1</f>
        <v>66</v>
      </c>
      <c r="B110" s="174" t="s">
        <v>207</v>
      </c>
      <c r="C110" s="175" t="s">
        <v>72</v>
      </c>
      <c r="D110" s="190">
        <v>6.25</v>
      </c>
      <c r="E110" s="23">
        <v>2230.6</v>
      </c>
      <c r="F110" s="21">
        <f t="shared" si="76"/>
        <v>13941.25</v>
      </c>
      <c r="G110" s="21">
        <f t="shared" si="77"/>
        <v>16729.5</v>
      </c>
      <c r="H110" s="22"/>
      <c r="I110" s="21"/>
      <c r="J110" s="21"/>
      <c r="K110" s="23">
        <f t="shared" si="78"/>
        <v>13941.25</v>
      </c>
      <c r="L110" s="21">
        <f t="shared" si="78"/>
        <v>16729.5</v>
      </c>
    </row>
    <row r="111" spans="1:15" ht="22.5" customHeight="1" x14ac:dyDescent="0.25">
      <c r="A111" s="188" t="s">
        <v>277</v>
      </c>
      <c r="B111" s="26" t="s">
        <v>209</v>
      </c>
      <c r="C111" s="125" t="s">
        <v>199</v>
      </c>
      <c r="D111" s="196">
        <v>8</v>
      </c>
      <c r="E111" s="29"/>
      <c r="F111" s="30"/>
      <c r="G111" s="30"/>
      <c r="H111" s="30">
        <v>158.3365</v>
      </c>
      <c r="I111" s="30">
        <f>ROUND(H111*D111,2)</f>
        <v>1266.69</v>
      </c>
      <c r="J111" s="30">
        <f>ROUND(I111*1.2,2)</f>
        <v>1520.03</v>
      </c>
      <c r="K111" s="32">
        <f t="shared" si="78"/>
        <v>1266.69</v>
      </c>
      <c r="L111" s="30">
        <f t="shared" si="78"/>
        <v>1520.03</v>
      </c>
      <c r="M111" s="64"/>
    </row>
    <row r="112" spans="1:15" ht="33" customHeight="1" x14ac:dyDescent="0.25">
      <c r="A112" s="100">
        <f>A110+1</f>
        <v>67</v>
      </c>
      <c r="B112" s="99" t="s">
        <v>278</v>
      </c>
      <c r="C112" s="100" t="s">
        <v>279</v>
      </c>
      <c r="D112" s="208">
        <v>2</v>
      </c>
      <c r="E112" s="123">
        <v>4334</v>
      </c>
      <c r="F112" s="186">
        <f t="shared" ref="F112:F115" si="79">ROUND(E112*D112,2)</f>
        <v>8668</v>
      </c>
      <c r="G112" s="186">
        <f t="shared" ref="G112:G115" si="80">ROUND(F112*1.2,2)</f>
        <v>10401.6</v>
      </c>
      <c r="H112" s="187"/>
      <c r="I112" s="186"/>
      <c r="J112" s="186"/>
      <c r="K112" s="123">
        <f t="shared" si="78"/>
        <v>8668</v>
      </c>
      <c r="L112" s="186">
        <f t="shared" si="78"/>
        <v>10401.6</v>
      </c>
    </row>
    <row r="113" spans="1:15" ht="24.75" customHeight="1" x14ac:dyDescent="0.25">
      <c r="A113" s="100">
        <f>A112+1</f>
        <v>68</v>
      </c>
      <c r="B113" s="99" t="s">
        <v>280</v>
      </c>
      <c r="C113" s="184" t="s">
        <v>75</v>
      </c>
      <c r="D113" s="208">
        <v>32</v>
      </c>
      <c r="E113" s="123">
        <v>277.08333333333331</v>
      </c>
      <c r="F113" s="186">
        <f t="shared" si="79"/>
        <v>8866.67</v>
      </c>
      <c r="G113" s="186">
        <f t="shared" si="80"/>
        <v>10640</v>
      </c>
      <c r="H113" s="187"/>
      <c r="I113" s="186"/>
      <c r="J113" s="186"/>
      <c r="K113" s="123">
        <f t="shared" si="78"/>
        <v>8866.67</v>
      </c>
      <c r="L113" s="186">
        <f t="shared" si="78"/>
        <v>10640</v>
      </c>
    </row>
    <row r="114" spans="1:15" ht="24.75" customHeight="1" x14ac:dyDescent="0.25">
      <c r="A114" s="100">
        <f>A113+1</f>
        <v>69</v>
      </c>
      <c r="B114" s="99" t="s">
        <v>281</v>
      </c>
      <c r="C114" s="184" t="s">
        <v>84</v>
      </c>
      <c r="D114" s="101">
        <v>0.32</v>
      </c>
      <c r="E114" s="123">
        <v>4380.38</v>
      </c>
      <c r="F114" s="186">
        <f t="shared" si="79"/>
        <v>1401.72</v>
      </c>
      <c r="G114" s="186">
        <f t="shared" si="80"/>
        <v>1682.06</v>
      </c>
      <c r="H114" s="186"/>
      <c r="I114" s="186"/>
      <c r="J114" s="186"/>
      <c r="K114" s="123">
        <f t="shared" si="78"/>
        <v>1401.72</v>
      </c>
      <c r="L114" s="186">
        <f t="shared" si="78"/>
        <v>1682.06</v>
      </c>
      <c r="M114" s="6" t="s">
        <v>261</v>
      </c>
    </row>
    <row r="115" spans="1:15" ht="24.75" customHeight="1" x14ac:dyDescent="0.25">
      <c r="A115" s="153">
        <f>A114+1</f>
        <v>70</v>
      </c>
      <c r="B115" s="99" t="s">
        <v>274</v>
      </c>
      <c r="C115" s="184" t="s">
        <v>80</v>
      </c>
      <c r="D115" s="210">
        <v>0.76800000000000002</v>
      </c>
      <c r="E115" s="123">
        <v>450</v>
      </c>
      <c r="F115" s="186">
        <f t="shared" si="79"/>
        <v>345.6</v>
      </c>
      <c r="G115" s="186">
        <f t="shared" si="80"/>
        <v>414.72</v>
      </c>
      <c r="H115" s="187"/>
      <c r="I115" s="186"/>
      <c r="J115" s="186"/>
      <c r="K115" s="123">
        <f t="shared" si="78"/>
        <v>345.6</v>
      </c>
      <c r="L115" s="186">
        <f t="shared" si="78"/>
        <v>414.72</v>
      </c>
      <c r="O115" s="827">
        <f>L115-D115*СВОД!$P$2*1.2</f>
        <v>130.17600000000004</v>
      </c>
    </row>
    <row r="116" spans="1:15" s="85" customFormat="1" ht="24" customHeight="1" x14ac:dyDescent="0.3">
      <c r="A116" s="877" t="s">
        <v>121</v>
      </c>
      <c r="B116" s="878"/>
      <c r="C116" s="878"/>
      <c r="D116" s="878"/>
      <c r="E116" s="879"/>
      <c r="F116" s="211">
        <f>SUM(F7:F115)</f>
        <v>43619082.51000002</v>
      </c>
      <c r="G116" s="211">
        <f>ROUND(F116*1.2,2)</f>
        <v>52342899.009999998</v>
      </c>
      <c r="H116" s="212"/>
      <c r="I116" s="211">
        <f>SUM(I7:I115)</f>
        <v>25742098.169999998</v>
      </c>
      <c r="J116" s="211">
        <f>ROUND(I116*1.2,2)</f>
        <v>30890517.800000001</v>
      </c>
      <c r="K116" s="211">
        <f>SUM(K7:K115)</f>
        <v>69361180.679999992</v>
      </c>
      <c r="L116" s="211">
        <f>ROUND(K116*1.2,2)</f>
        <v>83233416.819999993</v>
      </c>
      <c r="O116" s="784">
        <f>SUM(O9:O115)-O73-O72-O71-O70-O69-O68-O67-O64</f>
        <v>21029694.608299993</v>
      </c>
    </row>
    <row r="118" spans="1:15" x14ac:dyDescent="0.25">
      <c r="K118" s="213"/>
    </row>
    <row r="120" spans="1:15" x14ac:dyDescent="0.25">
      <c r="B120" s="86" t="s">
        <v>122</v>
      </c>
    </row>
    <row r="121" spans="1:15" x14ac:dyDescent="0.25">
      <c r="B121" s="88" t="s">
        <v>123</v>
      </c>
    </row>
  </sheetData>
  <mergeCells count="22">
    <mergeCell ref="N64:N66"/>
    <mergeCell ref="O64:O66"/>
    <mergeCell ref="H64:H66"/>
    <mergeCell ref="I64:I66"/>
    <mergeCell ref="J64:J66"/>
    <mergeCell ref="K64:K66"/>
    <mergeCell ref="L64:L66"/>
    <mergeCell ref="A116:E116"/>
    <mergeCell ref="B6:D6"/>
    <mergeCell ref="C64:C66"/>
    <mergeCell ref="D64:D66"/>
    <mergeCell ref="E64:E66"/>
    <mergeCell ref="F64:F66"/>
    <mergeCell ref="G64:G6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A624-366B-4580-AA20-0427E87F80E4}">
  <sheetPr>
    <tabColor rgb="FFFFFF00"/>
  </sheetPr>
  <dimension ref="A1:O164"/>
  <sheetViews>
    <sheetView view="pageBreakPreview" topLeftCell="A70" zoomScale="85" zoomScaleNormal="100" zoomScaleSheetLayoutView="85" workbookViewId="0">
      <selection activeCell="H82" sqref="H82"/>
    </sheetView>
  </sheetViews>
  <sheetFormatPr defaultColWidth="8.85546875" defaultRowHeight="15" x14ac:dyDescent="0.25"/>
  <cols>
    <col min="1" max="1" width="8.85546875" style="44"/>
    <col min="2" max="2" width="65.140625" style="44" customWidth="1"/>
    <col min="3" max="3" width="9.28515625" style="44" customWidth="1"/>
    <col min="4" max="4" width="11" style="44" bestFit="1" customWidth="1"/>
    <col min="5" max="5" width="15.140625" style="44" customWidth="1"/>
    <col min="6" max="6" width="16" style="44" customWidth="1"/>
    <col min="7" max="7" width="17.140625" style="150" customWidth="1"/>
    <col min="8" max="8" width="16.140625" style="150" customWidth="1"/>
    <col min="9" max="12" width="16.140625" style="44" customWidth="1"/>
    <col min="13" max="13" width="32.140625" style="44" customWidth="1"/>
    <col min="14" max="14" width="50.85546875" style="215" customWidth="1"/>
    <col min="15" max="15" width="25" style="44" customWidth="1"/>
    <col min="16" max="16384" width="8.85546875" style="44"/>
  </cols>
  <sheetData>
    <row r="1" spans="1:15" ht="14.45" customHeight="1" x14ac:dyDescent="0.25">
      <c r="A1" s="883" t="s">
        <v>26</v>
      </c>
      <c r="B1" s="886" t="s">
        <v>57</v>
      </c>
      <c r="C1" s="889" t="s">
        <v>58</v>
      </c>
      <c r="D1" s="889" t="s">
        <v>59</v>
      </c>
      <c r="E1" s="890" t="s">
        <v>60</v>
      </c>
      <c r="F1" s="891"/>
      <c r="G1" s="891"/>
      <c r="H1" s="891"/>
      <c r="I1" s="891"/>
      <c r="J1" s="891"/>
      <c r="K1" s="891"/>
      <c r="L1" s="891"/>
    </row>
    <row r="2" spans="1:15" ht="14.45" customHeight="1" x14ac:dyDescent="0.25">
      <c r="A2" s="884"/>
      <c r="B2" s="887"/>
      <c r="C2" s="889"/>
      <c r="D2" s="889"/>
      <c r="E2" s="892"/>
      <c r="F2" s="893"/>
      <c r="G2" s="893"/>
      <c r="H2" s="893"/>
      <c r="I2" s="893"/>
      <c r="J2" s="893"/>
      <c r="K2" s="893"/>
      <c r="L2" s="893"/>
    </row>
    <row r="3" spans="1:15" ht="27.75" customHeight="1" x14ac:dyDescent="0.25">
      <c r="A3" s="884"/>
      <c r="B3" s="887"/>
      <c r="C3" s="889"/>
      <c r="D3" s="889"/>
      <c r="E3" s="889" t="s">
        <v>61</v>
      </c>
      <c r="F3" s="889"/>
      <c r="G3" s="889"/>
      <c r="H3" s="889" t="s">
        <v>62</v>
      </c>
      <c r="I3" s="889"/>
      <c r="J3" s="889"/>
      <c r="K3" s="910" t="s">
        <v>63</v>
      </c>
      <c r="L3" s="910"/>
    </row>
    <row r="4" spans="1:15" ht="56.1" customHeight="1" x14ac:dyDescent="0.25">
      <c r="A4" s="885"/>
      <c r="B4" s="888"/>
      <c r="C4" s="889"/>
      <c r="D4" s="889"/>
      <c r="E4" s="7" t="s">
        <v>64</v>
      </c>
      <c r="F4" s="7" t="s">
        <v>65</v>
      </c>
      <c r="G4" s="89" t="s">
        <v>66</v>
      </c>
      <c r="H4" s="7" t="s">
        <v>64</v>
      </c>
      <c r="I4" s="7" t="s">
        <v>65</v>
      </c>
      <c r="J4" s="89" t="s">
        <v>66</v>
      </c>
      <c r="K4" s="7" t="s">
        <v>67</v>
      </c>
      <c r="L4" s="90" t="s">
        <v>68</v>
      </c>
    </row>
    <row r="5" spans="1: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44"/>
    </row>
    <row r="6" spans="1:15" ht="20.25" customHeight="1" x14ac:dyDescent="0.25">
      <c r="A6" s="11"/>
      <c r="B6" s="880" t="s">
        <v>282</v>
      </c>
      <c r="C6" s="881"/>
      <c r="D6" s="881"/>
      <c r="E6" s="12"/>
      <c r="F6" s="13"/>
      <c r="G6" s="14"/>
      <c r="H6" s="14"/>
      <c r="I6" s="14"/>
      <c r="J6" s="14"/>
      <c r="K6" s="14"/>
      <c r="L6" s="91"/>
    </row>
    <row r="7" spans="1:15" ht="18" customHeight="1" x14ac:dyDescent="0.25">
      <c r="A7" s="35"/>
      <c r="B7" s="140" t="s">
        <v>283</v>
      </c>
      <c r="C7" s="35"/>
      <c r="D7" s="35"/>
      <c r="E7" s="38"/>
      <c r="F7" s="39"/>
      <c r="G7" s="39"/>
      <c r="H7" s="40"/>
      <c r="I7" s="39"/>
      <c r="J7" s="39"/>
      <c r="K7" s="41"/>
      <c r="L7" s="42"/>
    </row>
    <row r="8" spans="1:15" s="252" customFormat="1" ht="18" customHeight="1" x14ac:dyDescent="0.25">
      <c r="A8" s="151">
        <v>1</v>
      </c>
      <c r="B8" s="152" t="s">
        <v>130</v>
      </c>
      <c r="C8" s="153" t="s">
        <v>72</v>
      </c>
      <c r="D8" s="154">
        <v>137.91999999999999</v>
      </c>
      <c r="E8" s="157">
        <v>3500</v>
      </c>
      <c r="F8" s="156">
        <v>482720</v>
      </c>
      <c r="G8" s="156">
        <v>579264</v>
      </c>
      <c r="H8" s="158"/>
      <c r="I8" s="156"/>
      <c r="J8" s="156"/>
      <c r="K8" s="250">
        <v>482720</v>
      </c>
      <c r="L8" s="156">
        <v>579264</v>
      </c>
      <c r="M8" s="160" t="s">
        <v>131</v>
      </c>
      <c r="N8" s="285" t="s">
        <v>466</v>
      </c>
    </row>
    <row r="9" spans="1:15" ht="18.75" customHeight="1" x14ac:dyDescent="0.25">
      <c r="A9" s="94">
        <v>2</v>
      </c>
      <c r="B9" s="132" t="s">
        <v>284</v>
      </c>
      <c r="C9" s="94" t="s">
        <v>75</v>
      </c>
      <c r="D9" s="216">
        <v>297</v>
      </c>
      <c r="E9" s="23">
        <v>1055.02</v>
      </c>
      <c r="F9" s="96">
        <v>313340.94</v>
      </c>
      <c r="G9" s="96">
        <v>376009.13</v>
      </c>
      <c r="H9" s="20"/>
      <c r="I9" s="96"/>
      <c r="J9" s="96"/>
      <c r="K9" s="97">
        <v>313340.94</v>
      </c>
      <c r="L9" s="134">
        <v>376009.13</v>
      </c>
    </row>
    <row r="10" spans="1:15" ht="18.75" customHeight="1" x14ac:dyDescent="0.25">
      <c r="A10" s="94">
        <v>3</v>
      </c>
      <c r="B10" s="18" t="s">
        <v>285</v>
      </c>
      <c r="C10" s="94" t="s">
        <v>84</v>
      </c>
      <c r="D10" s="217">
        <v>347.03</v>
      </c>
      <c r="E10" s="23">
        <v>4380.38</v>
      </c>
      <c r="F10" s="96">
        <v>1520123.27</v>
      </c>
      <c r="G10" s="96">
        <v>1824147.92</v>
      </c>
      <c r="H10" s="20"/>
      <c r="I10" s="96"/>
      <c r="J10" s="96"/>
      <c r="K10" s="97">
        <v>1520123.27</v>
      </c>
      <c r="L10" s="134">
        <v>1824147.92</v>
      </c>
    </row>
    <row r="11" spans="1:15" ht="18.75" customHeight="1" x14ac:dyDescent="0.25">
      <c r="A11" s="94">
        <v>4</v>
      </c>
      <c r="B11" s="18" t="s">
        <v>286</v>
      </c>
      <c r="C11" s="94" t="s">
        <v>84</v>
      </c>
      <c r="D11" s="217">
        <v>547.91999999999996</v>
      </c>
      <c r="E11" s="23">
        <v>304</v>
      </c>
      <c r="F11" s="96">
        <v>166567.67999999999</v>
      </c>
      <c r="G11" s="96">
        <v>199881.22</v>
      </c>
      <c r="H11" s="20"/>
      <c r="I11" s="96"/>
      <c r="J11" s="96"/>
      <c r="K11" s="97">
        <v>166567.67999999999</v>
      </c>
      <c r="L11" s="134">
        <v>199881.22</v>
      </c>
    </row>
    <row r="12" spans="1:15" ht="20.25" customHeight="1" x14ac:dyDescent="0.25">
      <c r="A12" s="98">
        <v>5</v>
      </c>
      <c r="B12" s="99" t="s">
        <v>287</v>
      </c>
      <c r="C12" s="100" t="s">
        <v>84</v>
      </c>
      <c r="D12" s="101">
        <v>104.89</v>
      </c>
      <c r="E12" s="186">
        <v>4462.1288515406159</v>
      </c>
      <c r="F12" s="103">
        <v>468032.7</v>
      </c>
      <c r="G12" s="103">
        <v>561639.24</v>
      </c>
      <c r="H12" s="104"/>
      <c r="I12" s="103"/>
      <c r="J12" s="103"/>
      <c r="K12" s="105">
        <v>468032.7</v>
      </c>
      <c r="L12" s="103">
        <v>561639.24</v>
      </c>
      <c r="M12" s="64"/>
    </row>
    <row r="13" spans="1:15" ht="32.25" customHeight="1" x14ac:dyDescent="0.25">
      <c r="A13" s="98">
        <v>6</v>
      </c>
      <c r="B13" s="121" t="s">
        <v>288</v>
      </c>
      <c r="C13" s="100" t="s">
        <v>84</v>
      </c>
      <c r="D13" s="218">
        <v>17.91</v>
      </c>
      <c r="E13" s="123">
        <v>4380.38</v>
      </c>
      <c r="F13" s="103">
        <v>78452.61</v>
      </c>
      <c r="G13" s="103">
        <v>94143.13</v>
      </c>
      <c r="H13" s="104"/>
      <c r="I13" s="103"/>
      <c r="J13" s="103"/>
      <c r="K13" s="105">
        <v>78452.61</v>
      </c>
      <c r="L13" s="124">
        <v>94143.13</v>
      </c>
    </row>
    <row r="14" spans="1:15" ht="20.25" customHeight="1" x14ac:dyDescent="0.25">
      <c r="A14" s="219"/>
      <c r="B14" s="220" t="s">
        <v>134</v>
      </c>
      <c r="C14" s="116"/>
      <c r="D14" s="109"/>
      <c r="E14" s="221"/>
      <c r="F14" s="118"/>
      <c r="G14" s="118"/>
      <c r="H14" s="119"/>
      <c r="I14" s="111"/>
      <c r="J14" s="111"/>
      <c r="K14" s="112"/>
      <c r="L14" s="222"/>
      <c r="M14" s="64"/>
    </row>
    <row r="15" spans="1:15" s="159" customFormat="1" ht="18.75" customHeight="1" x14ac:dyDescent="0.25">
      <c r="A15" s="151">
        <v>7</v>
      </c>
      <c r="B15" s="132" t="s">
        <v>135</v>
      </c>
      <c r="C15" s="94" t="s">
        <v>80</v>
      </c>
      <c r="D15" s="97">
        <v>1728.42</v>
      </c>
      <c r="E15" s="21">
        <v>431.37</v>
      </c>
      <c r="F15" s="96">
        <v>745588.54</v>
      </c>
      <c r="G15" s="96">
        <v>894706.25</v>
      </c>
      <c r="H15" s="20"/>
      <c r="I15" s="96"/>
      <c r="J15" s="96"/>
      <c r="K15" s="97">
        <v>745588.54</v>
      </c>
      <c r="L15" s="764">
        <v>894706.25</v>
      </c>
      <c r="M15" s="788" t="s">
        <v>136</v>
      </c>
      <c r="N15" s="782"/>
      <c r="O15" s="827">
        <f>L15-D15*СВОД!$P$2*1.2</f>
        <v>254326.64</v>
      </c>
    </row>
    <row r="16" spans="1:15" ht="18.75" customHeight="1" x14ac:dyDescent="0.25">
      <c r="A16" s="35"/>
      <c r="B16" s="140" t="s">
        <v>181</v>
      </c>
      <c r="C16" s="35"/>
      <c r="D16" s="223"/>
      <c r="E16" s="38"/>
      <c r="F16" s="39"/>
      <c r="G16" s="39"/>
      <c r="H16" s="40"/>
      <c r="I16" s="39"/>
      <c r="J16" s="39"/>
      <c r="K16" s="41"/>
      <c r="L16" s="42"/>
    </row>
    <row r="17" spans="1:15" ht="21.75" customHeight="1" x14ac:dyDescent="0.25">
      <c r="A17" s="94">
        <v>8</v>
      </c>
      <c r="B17" s="18" t="s">
        <v>83</v>
      </c>
      <c r="C17" s="17" t="s">
        <v>84</v>
      </c>
      <c r="D17" s="97">
        <v>319.26</v>
      </c>
      <c r="E17" s="23">
        <v>308.75</v>
      </c>
      <c r="F17" s="96">
        <v>98571.53</v>
      </c>
      <c r="G17" s="96">
        <v>118285.84</v>
      </c>
      <c r="H17" s="114"/>
      <c r="I17" s="115"/>
      <c r="J17" s="115"/>
      <c r="K17" s="23">
        <v>98571.53</v>
      </c>
      <c r="L17" s="21">
        <v>118285.84</v>
      </c>
      <c r="M17" s="6"/>
    </row>
    <row r="18" spans="1:15" ht="18.75" customHeight="1" x14ac:dyDescent="0.25">
      <c r="A18" s="94">
        <v>9</v>
      </c>
      <c r="B18" s="132" t="s">
        <v>289</v>
      </c>
      <c r="C18" s="94" t="s">
        <v>84</v>
      </c>
      <c r="D18" s="224">
        <v>56.2</v>
      </c>
      <c r="E18" s="23">
        <v>1688.15</v>
      </c>
      <c r="F18" s="96">
        <v>94874.03</v>
      </c>
      <c r="G18" s="96">
        <v>113848.84</v>
      </c>
      <c r="H18" s="20"/>
      <c r="I18" s="96"/>
      <c r="J18" s="96"/>
      <c r="K18" s="97">
        <v>94874.03</v>
      </c>
      <c r="L18" s="134">
        <v>113848.84</v>
      </c>
    </row>
    <row r="19" spans="1:15" ht="18.75" customHeight="1" x14ac:dyDescent="0.25">
      <c r="A19" s="94">
        <v>10</v>
      </c>
      <c r="B19" s="132" t="s">
        <v>86</v>
      </c>
      <c r="C19" s="94" t="s">
        <v>84</v>
      </c>
      <c r="D19" s="97">
        <v>7.38</v>
      </c>
      <c r="E19" s="23">
        <v>854.05</v>
      </c>
      <c r="F19" s="96">
        <v>6302.89</v>
      </c>
      <c r="G19" s="96">
        <v>7563.47</v>
      </c>
      <c r="H19" s="20"/>
      <c r="I19" s="96"/>
      <c r="J19" s="96"/>
      <c r="K19" s="97">
        <v>6302.89</v>
      </c>
      <c r="L19" s="134">
        <v>7563.47</v>
      </c>
      <c r="M19" s="225"/>
    </row>
    <row r="20" spans="1:15" ht="22.5" customHeight="1" x14ac:dyDescent="0.25">
      <c r="A20" s="94">
        <v>10</v>
      </c>
      <c r="B20" s="18" t="s">
        <v>290</v>
      </c>
      <c r="C20" s="17" t="s">
        <v>84</v>
      </c>
      <c r="D20" s="33">
        <v>7.38</v>
      </c>
      <c r="E20" s="23">
        <v>188.1</v>
      </c>
      <c r="F20" s="96">
        <v>1388.18</v>
      </c>
      <c r="G20" s="96">
        <v>1665.82</v>
      </c>
      <c r="H20" s="23"/>
      <c r="I20" s="96"/>
      <c r="J20" s="96"/>
      <c r="K20" s="23">
        <v>1388.18</v>
      </c>
      <c r="L20" s="21">
        <v>1665.82</v>
      </c>
      <c r="M20" s="6"/>
    </row>
    <row r="21" spans="1:15" ht="18.75" customHeight="1" x14ac:dyDescent="0.25">
      <c r="A21" s="94">
        <v>11</v>
      </c>
      <c r="B21" s="132" t="s">
        <v>291</v>
      </c>
      <c r="C21" s="94" t="s">
        <v>80</v>
      </c>
      <c r="D21" s="97">
        <v>92.76</v>
      </c>
      <c r="E21" s="23">
        <v>308.75</v>
      </c>
      <c r="F21" s="96">
        <v>28639.65</v>
      </c>
      <c r="G21" s="96">
        <v>34367.58</v>
      </c>
      <c r="H21" s="20"/>
      <c r="I21" s="96"/>
      <c r="J21" s="96"/>
      <c r="K21" s="97">
        <v>28639.65</v>
      </c>
      <c r="L21" s="134">
        <v>34367.58</v>
      </c>
      <c r="M21" s="225"/>
    </row>
    <row r="22" spans="1:15" ht="21.75" customHeight="1" x14ac:dyDescent="0.25">
      <c r="A22" s="94"/>
      <c r="B22" s="46" t="s">
        <v>292</v>
      </c>
      <c r="C22" s="45"/>
      <c r="D22" s="48"/>
      <c r="E22" s="48"/>
      <c r="F22" s="49"/>
      <c r="G22" s="49"/>
      <c r="H22" s="50"/>
      <c r="I22" s="49"/>
      <c r="J22" s="49"/>
      <c r="K22" s="48"/>
      <c r="L22" s="49"/>
      <c r="M22" s="82"/>
    </row>
    <row r="23" spans="1:15" s="159" customFormat="1" ht="18.75" customHeight="1" x14ac:dyDescent="0.25">
      <c r="A23" s="151">
        <v>12</v>
      </c>
      <c r="B23" s="809" t="s">
        <v>141</v>
      </c>
      <c r="C23" s="810" t="s">
        <v>77</v>
      </c>
      <c r="D23" s="811">
        <v>4376.62</v>
      </c>
      <c r="E23" s="812">
        <v>183.58</v>
      </c>
      <c r="F23" s="813">
        <v>803459.9</v>
      </c>
      <c r="G23" s="813">
        <v>964151.88</v>
      </c>
      <c r="H23" s="814"/>
      <c r="I23" s="813"/>
      <c r="J23" s="813"/>
      <c r="K23" s="812">
        <v>803459.9</v>
      </c>
      <c r="L23" s="815">
        <v>964151.88</v>
      </c>
      <c r="M23" s="816"/>
      <c r="N23" s="782" t="s">
        <v>1244</v>
      </c>
      <c r="O23" s="789">
        <f>L23-D23*93</f>
        <v>557126.22</v>
      </c>
    </row>
    <row r="24" spans="1:15" s="159" customFormat="1" ht="23.25" customHeight="1" x14ac:dyDescent="0.25">
      <c r="A24" s="151" t="s">
        <v>102</v>
      </c>
      <c r="B24" s="817" t="s">
        <v>142</v>
      </c>
      <c r="C24" s="151" t="s">
        <v>77</v>
      </c>
      <c r="D24" s="151">
        <v>4814.2820000000002</v>
      </c>
      <c r="E24" s="158"/>
      <c r="F24" s="156"/>
      <c r="G24" s="156"/>
      <c r="H24" s="155">
        <v>153.33000000000001</v>
      </c>
      <c r="I24" s="156">
        <v>738173.86</v>
      </c>
      <c r="J24" s="156">
        <v>885808.63</v>
      </c>
      <c r="K24" s="250">
        <v>738173.86</v>
      </c>
      <c r="L24" s="251">
        <v>885808.63</v>
      </c>
      <c r="M24" s="780"/>
      <c r="N24" s="782" t="s">
        <v>1245</v>
      </c>
      <c r="O24" s="771">
        <f>L24-D24*100</f>
        <v>404380.43</v>
      </c>
    </row>
    <row r="25" spans="1:15" ht="20.25" customHeight="1" x14ac:dyDescent="0.25">
      <c r="A25" s="98">
        <v>13</v>
      </c>
      <c r="B25" s="121" t="s">
        <v>293</v>
      </c>
      <c r="C25" s="98" t="s">
        <v>84</v>
      </c>
      <c r="D25" s="122">
        <v>764.67</v>
      </c>
      <c r="E25" s="123">
        <v>1055.45</v>
      </c>
      <c r="F25" s="103">
        <v>807070.95</v>
      </c>
      <c r="G25" s="103">
        <v>968485.14</v>
      </c>
      <c r="H25" s="104"/>
      <c r="I25" s="103"/>
      <c r="J25" s="103"/>
      <c r="K25" s="105">
        <v>807070.95</v>
      </c>
      <c r="L25" s="124">
        <v>968485.14</v>
      </c>
    </row>
    <row r="26" spans="1:15" ht="18.75" customHeight="1" x14ac:dyDescent="0.25">
      <c r="A26" s="25" t="s">
        <v>105</v>
      </c>
      <c r="B26" s="26" t="s">
        <v>145</v>
      </c>
      <c r="C26" s="125" t="s">
        <v>84</v>
      </c>
      <c r="D26" s="126">
        <v>841.13700000000006</v>
      </c>
      <c r="E26" s="29"/>
      <c r="F26" s="127"/>
      <c r="G26" s="127"/>
      <c r="H26" s="30">
        <v>1427.76</v>
      </c>
      <c r="I26" s="127">
        <v>1200941.76</v>
      </c>
      <c r="J26" s="127">
        <v>1441130.11</v>
      </c>
      <c r="K26" s="129">
        <v>1200941.76</v>
      </c>
      <c r="L26" s="130">
        <v>1441130.11</v>
      </c>
      <c r="M26" s="131"/>
    </row>
    <row r="27" spans="1:15" ht="18.75" customHeight="1" x14ac:dyDescent="0.25">
      <c r="A27" s="94">
        <v>14</v>
      </c>
      <c r="B27" s="132" t="s">
        <v>290</v>
      </c>
      <c r="C27" s="94" t="s">
        <v>84</v>
      </c>
      <c r="D27" s="133">
        <v>1308.51</v>
      </c>
      <c r="E27" s="23">
        <v>188.1</v>
      </c>
      <c r="F27" s="96">
        <v>246130.73</v>
      </c>
      <c r="G27" s="96">
        <v>295356.88</v>
      </c>
      <c r="H27" s="20"/>
      <c r="I27" s="96"/>
      <c r="J27" s="96"/>
      <c r="K27" s="97">
        <v>246130.73</v>
      </c>
      <c r="L27" s="134">
        <v>295356.88</v>
      </c>
    </row>
    <row r="28" spans="1:15" ht="18.75" customHeight="1" x14ac:dyDescent="0.25">
      <c r="A28" s="25">
        <v>15</v>
      </c>
      <c r="B28" s="26" t="s">
        <v>294</v>
      </c>
      <c r="C28" s="125" t="s">
        <v>84</v>
      </c>
      <c r="D28" s="126">
        <v>398.62</v>
      </c>
      <c r="E28" s="29">
        <v>1666.3</v>
      </c>
      <c r="F28" s="127">
        <v>664220.51</v>
      </c>
      <c r="G28" s="127">
        <v>797064.61</v>
      </c>
      <c r="H28" s="30"/>
      <c r="I28" s="127"/>
      <c r="J28" s="127"/>
      <c r="K28" s="129">
        <v>664220.51</v>
      </c>
      <c r="L28" s="130">
        <v>797064.61</v>
      </c>
      <c r="M28" s="131"/>
    </row>
    <row r="29" spans="1:15" ht="22.5" customHeight="1" x14ac:dyDescent="0.25">
      <c r="A29" s="94" t="s">
        <v>155</v>
      </c>
      <c r="B29" s="18" t="s">
        <v>295</v>
      </c>
      <c r="C29" s="17" t="s">
        <v>84</v>
      </c>
      <c r="D29" s="33">
        <v>502.26120000000003</v>
      </c>
      <c r="E29" s="23"/>
      <c r="F29" s="96"/>
      <c r="G29" s="96"/>
      <c r="H29" s="23">
        <v>3805.7</v>
      </c>
      <c r="I29" s="96">
        <v>1911455.45</v>
      </c>
      <c r="J29" s="96">
        <v>2293746.54</v>
      </c>
      <c r="K29" s="23">
        <v>1911455.45</v>
      </c>
      <c r="L29" s="21">
        <v>2293746.54</v>
      </c>
      <c r="M29" s="6"/>
    </row>
    <row r="30" spans="1:15" ht="18.75" customHeight="1" x14ac:dyDescent="0.25">
      <c r="A30" s="94">
        <v>16</v>
      </c>
      <c r="B30" s="132" t="s">
        <v>296</v>
      </c>
      <c r="C30" s="94" t="s">
        <v>84</v>
      </c>
      <c r="D30" s="133">
        <v>467.16</v>
      </c>
      <c r="E30" s="23">
        <v>1666.3</v>
      </c>
      <c r="F30" s="96">
        <v>778428.71</v>
      </c>
      <c r="G30" s="96">
        <v>934114.45</v>
      </c>
      <c r="H30" s="20"/>
      <c r="I30" s="96"/>
      <c r="J30" s="96"/>
      <c r="K30" s="97">
        <v>778428.71</v>
      </c>
      <c r="L30" s="134">
        <v>934114.45</v>
      </c>
    </row>
    <row r="31" spans="1:15" ht="18.75" customHeight="1" x14ac:dyDescent="0.25">
      <c r="A31" s="25" t="s">
        <v>159</v>
      </c>
      <c r="B31" s="26" t="s">
        <v>297</v>
      </c>
      <c r="C31" s="125" t="s">
        <v>84</v>
      </c>
      <c r="D31" s="126">
        <v>588.62160000000006</v>
      </c>
      <c r="E31" s="29"/>
      <c r="F31" s="127"/>
      <c r="G31" s="127"/>
      <c r="H31" s="30">
        <v>4206.6000000000004</v>
      </c>
      <c r="I31" s="127">
        <v>2476095.62</v>
      </c>
      <c r="J31" s="127">
        <v>2971314.74</v>
      </c>
      <c r="K31" s="129">
        <v>2476095.62</v>
      </c>
      <c r="L31" s="130">
        <v>2971314.74</v>
      </c>
      <c r="M31" s="131"/>
    </row>
    <row r="32" spans="1:15" ht="30" customHeight="1" x14ac:dyDescent="0.25">
      <c r="A32" s="94">
        <v>17</v>
      </c>
      <c r="B32" s="132" t="s">
        <v>152</v>
      </c>
      <c r="C32" s="94" t="s">
        <v>77</v>
      </c>
      <c r="D32" s="133">
        <v>5839.53</v>
      </c>
      <c r="E32" s="23">
        <v>1516</v>
      </c>
      <c r="F32" s="96">
        <v>8852727.4800000004</v>
      </c>
      <c r="G32" s="96">
        <v>10623272.98</v>
      </c>
      <c r="H32" s="20"/>
      <c r="I32" s="96"/>
      <c r="J32" s="96"/>
      <c r="K32" s="97">
        <v>8852727.4800000004</v>
      </c>
      <c r="L32" s="134">
        <v>10623272.98</v>
      </c>
      <c r="M32" s="44" t="s">
        <v>298</v>
      </c>
    </row>
    <row r="33" spans="1:13" ht="30" customHeight="1" x14ac:dyDescent="0.25">
      <c r="A33" s="25" t="s">
        <v>299</v>
      </c>
      <c r="B33" s="26" t="s">
        <v>153</v>
      </c>
      <c r="C33" s="125" t="s">
        <v>80</v>
      </c>
      <c r="D33" s="126">
        <v>1013.7424080000001</v>
      </c>
      <c r="E33" s="29"/>
      <c r="F33" s="127"/>
      <c r="G33" s="127"/>
      <c r="H33" s="30">
        <v>4407.05</v>
      </c>
      <c r="I33" s="127">
        <v>4467613.4800000004</v>
      </c>
      <c r="J33" s="127">
        <v>5361136.18</v>
      </c>
      <c r="K33" s="129">
        <v>4467613.4800000004</v>
      </c>
      <c r="L33" s="130">
        <v>5361136.18</v>
      </c>
      <c r="M33" s="131"/>
    </row>
    <row r="34" spans="1:13" ht="29.25" customHeight="1" x14ac:dyDescent="0.25">
      <c r="A34" s="94">
        <v>18</v>
      </c>
      <c r="B34" s="132" t="s">
        <v>150</v>
      </c>
      <c r="C34" s="94" t="s">
        <v>77</v>
      </c>
      <c r="D34" s="135">
        <v>5772.55</v>
      </c>
      <c r="E34" s="23">
        <v>1083</v>
      </c>
      <c r="F34" s="96">
        <v>6251671.6500000004</v>
      </c>
      <c r="G34" s="96">
        <v>7502005.9800000004</v>
      </c>
      <c r="H34" s="20"/>
      <c r="I34" s="96"/>
      <c r="J34" s="96"/>
      <c r="K34" s="97">
        <v>6251671.6500000004</v>
      </c>
      <c r="L34" s="134">
        <v>7502005.9800000004</v>
      </c>
      <c r="M34" s="138"/>
    </row>
    <row r="35" spans="1:13" ht="29.25" customHeight="1" x14ac:dyDescent="0.25">
      <c r="A35" s="25" t="s">
        <v>164</v>
      </c>
      <c r="B35" s="26" t="s">
        <v>151</v>
      </c>
      <c r="C35" s="125" t="s">
        <v>80</v>
      </c>
      <c r="D35" s="136">
        <v>715.7962</v>
      </c>
      <c r="E35" s="29"/>
      <c r="F35" s="127"/>
      <c r="G35" s="127"/>
      <c r="H35" s="30">
        <v>4407.05</v>
      </c>
      <c r="I35" s="127">
        <v>3154549.64</v>
      </c>
      <c r="J35" s="127">
        <v>3785459.57</v>
      </c>
      <c r="K35" s="129">
        <v>3154549.64</v>
      </c>
      <c r="L35" s="130">
        <v>3785459.57</v>
      </c>
      <c r="M35" s="138" t="s">
        <v>300</v>
      </c>
    </row>
    <row r="36" spans="1:13" ht="23.25" customHeight="1" x14ac:dyDescent="0.25">
      <c r="A36" s="94">
        <v>19</v>
      </c>
      <c r="B36" s="132" t="s">
        <v>154</v>
      </c>
      <c r="C36" s="94" t="s">
        <v>75</v>
      </c>
      <c r="D36" s="135">
        <v>315</v>
      </c>
      <c r="E36" s="23">
        <v>1555.15</v>
      </c>
      <c r="F36" s="96">
        <v>489872.25</v>
      </c>
      <c r="G36" s="96">
        <v>587846.69999999995</v>
      </c>
      <c r="H36" s="20"/>
      <c r="I36" s="96"/>
      <c r="J36" s="96"/>
      <c r="K36" s="97">
        <v>489872.25</v>
      </c>
      <c r="L36" s="134">
        <v>587846.69999999995</v>
      </c>
    </row>
    <row r="37" spans="1:13" ht="31.5" customHeight="1" x14ac:dyDescent="0.25">
      <c r="A37" s="25" t="s">
        <v>167</v>
      </c>
      <c r="B37" s="26" t="s">
        <v>156</v>
      </c>
      <c r="C37" s="125" t="s">
        <v>75</v>
      </c>
      <c r="D37" s="136">
        <v>315</v>
      </c>
      <c r="E37" s="29"/>
      <c r="F37" s="127"/>
      <c r="G37" s="127"/>
      <c r="H37" s="30">
        <v>247</v>
      </c>
      <c r="I37" s="127">
        <v>77805</v>
      </c>
      <c r="J37" s="127">
        <v>93366</v>
      </c>
      <c r="K37" s="129">
        <v>77805</v>
      </c>
      <c r="L37" s="130">
        <v>93366</v>
      </c>
      <c r="M37" s="131"/>
    </row>
    <row r="38" spans="1:13" ht="18.75" customHeight="1" x14ac:dyDescent="0.25">
      <c r="A38" s="94"/>
      <c r="B38" s="132" t="s">
        <v>301</v>
      </c>
      <c r="C38" s="94"/>
      <c r="D38" s="133"/>
      <c r="E38" s="23"/>
      <c r="F38" s="96"/>
      <c r="G38" s="96"/>
      <c r="H38" s="20"/>
      <c r="I38" s="96"/>
      <c r="J38" s="96"/>
      <c r="K38" s="97"/>
      <c r="L38" s="134"/>
    </row>
    <row r="39" spans="1:13" ht="18.75" customHeight="1" x14ac:dyDescent="0.25">
      <c r="A39" s="25">
        <v>20</v>
      </c>
      <c r="B39" s="26" t="s">
        <v>302</v>
      </c>
      <c r="C39" s="125" t="s">
        <v>75</v>
      </c>
      <c r="D39" s="139">
        <v>76</v>
      </c>
      <c r="E39" s="29">
        <v>280.25</v>
      </c>
      <c r="F39" s="127">
        <v>21299</v>
      </c>
      <c r="G39" s="127">
        <v>25558.799999999999</v>
      </c>
      <c r="H39" s="30"/>
      <c r="I39" s="127"/>
      <c r="J39" s="127"/>
      <c r="K39" s="129">
        <v>21299</v>
      </c>
      <c r="L39" s="130">
        <v>25558.799999999999</v>
      </c>
      <c r="M39" s="131"/>
    </row>
    <row r="40" spans="1:13" ht="34.5" customHeight="1" x14ac:dyDescent="0.25">
      <c r="A40" s="35">
        <v>21</v>
      </c>
      <c r="B40" s="140" t="s">
        <v>303</v>
      </c>
      <c r="C40" s="35" t="s">
        <v>75</v>
      </c>
      <c r="D40" s="37">
        <v>152</v>
      </c>
      <c r="E40" s="38">
        <v>101.65</v>
      </c>
      <c r="F40" s="39">
        <v>15450.8</v>
      </c>
      <c r="G40" s="39">
        <v>18540.96</v>
      </c>
      <c r="H40" s="40"/>
      <c r="I40" s="39"/>
      <c r="J40" s="39"/>
      <c r="K40" s="41">
        <v>15450.8</v>
      </c>
      <c r="L40" s="42">
        <v>18540.96</v>
      </c>
    </row>
    <row r="41" spans="1:13" ht="21" customHeight="1" x14ac:dyDescent="0.25">
      <c r="A41" s="227">
        <v>22</v>
      </c>
      <c r="B41" s="132" t="s">
        <v>304</v>
      </c>
      <c r="C41" s="94" t="s">
        <v>75</v>
      </c>
      <c r="D41" s="228">
        <v>16</v>
      </c>
      <c r="E41" s="229">
        <v>2592.77</v>
      </c>
      <c r="F41" s="96">
        <v>41484.32</v>
      </c>
      <c r="G41" s="96">
        <v>49781.18</v>
      </c>
      <c r="H41" s="20"/>
      <c r="I41" s="96"/>
      <c r="J41" s="96"/>
      <c r="K41" s="97">
        <v>41484.32</v>
      </c>
      <c r="L41" s="96">
        <v>49781.18</v>
      </c>
      <c r="M41" s="82" t="s">
        <v>163</v>
      </c>
    </row>
    <row r="42" spans="1:13" ht="21" customHeight="1" x14ac:dyDescent="0.25">
      <c r="A42" s="17">
        <v>23</v>
      </c>
      <c r="B42" s="132" t="s">
        <v>305</v>
      </c>
      <c r="C42" s="94" t="s">
        <v>75</v>
      </c>
      <c r="D42" s="228">
        <v>8</v>
      </c>
      <c r="E42" s="229">
        <v>2592.77</v>
      </c>
      <c r="F42" s="96">
        <v>20742.16</v>
      </c>
      <c r="G42" s="96">
        <v>24890.59</v>
      </c>
      <c r="H42" s="20"/>
      <c r="I42" s="96"/>
      <c r="J42" s="96"/>
      <c r="K42" s="97">
        <v>20742.16</v>
      </c>
      <c r="L42" s="96">
        <v>24890.59</v>
      </c>
      <c r="M42" s="82" t="s">
        <v>163</v>
      </c>
    </row>
    <row r="43" spans="1:13" ht="21" customHeight="1" x14ac:dyDescent="0.25">
      <c r="A43" s="100" t="s">
        <v>306</v>
      </c>
      <c r="B43" s="121" t="s">
        <v>307</v>
      </c>
      <c r="C43" s="98" t="s">
        <v>308</v>
      </c>
      <c r="D43" s="230">
        <v>1</v>
      </c>
      <c r="E43" s="231"/>
      <c r="F43" s="103"/>
      <c r="G43" s="103"/>
      <c r="H43" s="104">
        <v>0</v>
      </c>
      <c r="I43" s="103">
        <v>0</v>
      </c>
      <c r="J43" s="103">
        <v>0</v>
      </c>
      <c r="K43" s="105">
        <v>0</v>
      </c>
      <c r="L43" s="103">
        <v>0</v>
      </c>
      <c r="M43" s="131"/>
    </row>
    <row r="44" spans="1:13" ht="27" customHeight="1" x14ac:dyDescent="0.25">
      <c r="A44" s="100">
        <v>24</v>
      </c>
      <c r="B44" s="121" t="s">
        <v>309</v>
      </c>
      <c r="C44" s="98" t="s">
        <v>75</v>
      </c>
      <c r="D44" s="230">
        <v>16</v>
      </c>
      <c r="E44" s="231">
        <v>12278.56</v>
      </c>
      <c r="F44" s="103">
        <v>196456.95999999999</v>
      </c>
      <c r="G44" s="103">
        <v>235748.35</v>
      </c>
      <c r="H44" s="104"/>
      <c r="I44" s="103"/>
      <c r="J44" s="103"/>
      <c r="K44" s="105">
        <v>196456.95999999999</v>
      </c>
      <c r="L44" s="103">
        <v>235748.35</v>
      </c>
      <c r="M44" s="131" t="s">
        <v>163</v>
      </c>
    </row>
    <row r="45" spans="1:13" ht="21" customHeight="1" x14ac:dyDescent="0.25">
      <c r="A45" s="25" t="s">
        <v>310</v>
      </c>
      <c r="B45" s="232" t="s">
        <v>311</v>
      </c>
      <c r="C45" s="233" t="s">
        <v>75</v>
      </c>
      <c r="D45" s="234">
        <v>16</v>
      </c>
      <c r="E45" s="127"/>
      <c r="F45" s="127"/>
      <c r="G45" s="127"/>
      <c r="H45" s="128">
        <v>2300</v>
      </c>
      <c r="I45" s="127">
        <v>36800</v>
      </c>
      <c r="J45" s="127">
        <v>44160</v>
      </c>
      <c r="K45" s="129">
        <v>36800</v>
      </c>
      <c r="L45" s="127">
        <v>44160</v>
      </c>
      <c r="M45" s="82" t="s">
        <v>143</v>
      </c>
    </row>
    <row r="46" spans="1:13" ht="33" customHeight="1" x14ac:dyDescent="0.25">
      <c r="A46" s="98" t="s">
        <v>312</v>
      </c>
      <c r="B46" s="121" t="s">
        <v>313</v>
      </c>
      <c r="C46" s="98" t="s">
        <v>75</v>
      </c>
      <c r="D46" s="235">
        <v>16</v>
      </c>
      <c r="E46" s="123"/>
      <c r="F46" s="103"/>
      <c r="G46" s="103"/>
      <c r="H46" s="104">
        <v>3183.7941666666661</v>
      </c>
      <c r="I46" s="103">
        <v>50940.71</v>
      </c>
      <c r="J46" s="103">
        <v>61128.85</v>
      </c>
      <c r="K46" s="105">
        <v>50940.71</v>
      </c>
      <c r="L46" s="124">
        <v>61128.85</v>
      </c>
      <c r="M46" s="131" t="s">
        <v>143</v>
      </c>
    </row>
    <row r="47" spans="1:13" ht="21" customHeight="1" x14ac:dyDescent="0.25">
      <c r="A47" s="25" t="s">
        <v>314</v>
      </c>
      <c r="B47" s="143" t="s">
        <v>315</v>
      </c>
      <c r="C47" s="144" t="s">
        <v>75</v>
      </c>
      <c r="D47" s="236">
        <v>48</v>
      </c>
      <c r="E47" s="32"/>
      <c r="F47" s="127"/>
      <c r="G47" s="127"/>
      <c r="H47" s="32">
        <v>95.833333333333343</v>
      </c>
      <c r="I47" s="127">
        <v>4600</v>
      </c>
      <c r="J47" s="127">
        <v>5520</v>
      </c>
      <c r="K47" s="129">
        <v>4600</v>
      </c>
      <c r="L47" s="130">
        <v>5520</v>
      </c>
      <c r="M47" s="82" t="s">
        <v>143</v>
      </c>
    </row>
    <row r="48" spans="1:13" ht="21" customHeight="1" x14ac:dyDescent="0.25">
      <c r="A48" s="25" t="s">
        <v>316</v>
      </c>
      <c r="B48" s="143" t="s">
        <v>317</v>
      </c>
      <c r="C48" s="144" t="s">
        <v>75</v>
      </c>
      <c r="D48" s="236">
        <v>2</v>
      </c>
      <c r="E48" s="32"/>
      <c r="F48" s="127"/>
      <c r="G48" s="127"/>
      <c r="H48" s="32">
        <v>3066.666666666667</v>
      </c>
      <c r="I48" s="127">
        <v>6133.33</v>
      </c>
      <c r="J48" s="127">
        <v>7360</v>
      </c>
      <c r="K48" s="129">
        <v>6133.33</v>
      </c>
      <c r="L48" s="130">
        <v>7360</v>
      </c>
      <c r="M48" s="82" t="s">
        <v>143</v>
      </c>
    </row>
    <row r="49" spans="1:13" ht="21" customHeight="1" x14ac:dyDescent="0.25">
      <c r="A49" s="25" t="s">
        <v>318</v>
      </c>
      <c r="B49" s="143" t="s">
        <v>319</v>
      </c>
      <c r="C49" s="144" t="s">
        <v>75</v>
      </c>
      <c r="D49" s="236">
        <v>8</v>
      </c>
      <c r="E49" s="32"/>
      <c r="F49" s="127"/>
      <c r="G49" s="127"/>
      <c r="H49" s="32">
        <v>2875</v>
      </c>
      <c r="I49" s="127">
        <v>23000</v>
      </c>
      <c r="J49" s="127">
        <v>27600</v>
      </c>
      <c r="K49" s="129">
        <v>23000</v>
      </c>
      <c r="L49" s="130">
        <v>27600</v>
      </c>
      <c r="M49" s="82" t="s">
        <v>143</v>
      </c>
    </row>
    <row r="50" spans="1:13" ht="21" customHeight="1" x14ac:dyDescent="0.25">
      <c r="A50" s="25" t="s">
        <v>320</v>
      </c>
      <c r="B50" s="143" t="s">
        <v>321</v>
      </c>
      <c r="C50" s="144" t="s">
        <v>75</v>
      </c>
      <c r="D50" s="236">
        <v>2</v>
      </c>
      <c r="E50" s="32"/>
      <c r="F50" s="127"/>
      <c r="G50" s="127"/>
      <c r="H50" s="32">
        <v>3737.4999999999995</v>
      </c>
      <c r="I50" s="127">
        <v>7475</v>
      </c>
      <c r="J50" s="127">
        <v>8970</v>
      </c>
      <c r="K50" s="129">
        <v>7475</v>
      </c>
      <c r="L50" s="130">
        <v>8970</v>
      </c>
      <c r="M50" s="82" t="s">
        <v>143</v>
      </c>
    </row>
    <row r="51" spans="1:13" ht="21" customHeight="1" x14ac:dyDescent="0.25">
      <c r="A51" s="25" t="s">
        <v>322</v>
      </c>
      <c r="B51" s="143" t="s">
        <v>323</v>
      </c>
      <c r="C51" s="144" t="s">
        <v>75</v>
      </c>
      <c r="D51" s="236">
        <v>2</v>
      </c>
      <c r="E51" s="32"/>
      <c r="F51" s="127"/>
      <c r="G51" s="127"/>
      <c r="H51" s="32">
        <v>2156.25</v>
      </c>
      <c r="I51" s="127">
        <v>4312.5</v>
      </c>
      <c r="J51" s="127">
        <v>5175</v>
      </c>
      <c r="K51" s="129">
        <v>4312.5</v>
      </c>
      <c r="L51" s="130">
        <v>5175</v>
      </c>
      <c r="M51" s="82" t="s">
        <v>143</v>
      </c>
    </row>
    <row r="52" spans="1:13" ht="21" customHeight="1" x14ac:dyDescent="0.25">
      <c r="A52" s="25" t="s">
        <v>324</v>
      </c>
      <c r="B52" s="143" t="s">
        <v>325</v>
      </c>
      <c r="C52" s="144" t="s">
        <v>75</v>
      </c>
      <c r="D52" s="236">
        <v>2</v>
      </c>
      <c r="E52" s="32"/>
      <c r="F52" s="127"/>
      <c r="G52" s="127"/>
      <c r="H52" s="32">
        <v>2156.25</v>
      </c>
      <c r="I52" s="127">
        <v>4312.5</v>
      </c>
      <c r="J52" s="127">
        <v>5175</v>
      </c>
      <c r="K52" s="129">
        <v>4312.5</v>
      </c>
      <c r="L52" s="130">
        <v>5175</v>
      </c>
      <c r="M52" s="82" t="s">
        <v>143</v>
      </c>
    </row>
    <row r="53" spans="1:13" ht="21" customHeight="1" x14ac:dyDescent="0.25">
      <c r="A53" s="25" t="s">
        <v>326</v>
      </c>
      <c r="B53" s="143" t="s">
        <v>327</v>
      </c>
      <c r="C53" s="144" t="s">
        <v>75</v>
      </c>
      <c r="D53" s="236">
        <v>2</v>
      </c>
      <c r="E53" s="32"/>
      <c r="F53" s="127"/>
      <c r="G53" s="127"/>
      <c r="H53" s="32">
        <v>2156.25</v>
      </c>
      <c r="I53" s="127">
        <v>4312.5</v>
      </c>
      <c r="J53" s="127">
        <v>5175</v>
      </c>
      <c r="K53" s="129">
        <v>4312.5</v>
      </c>
      <c r="L53" s="130">
        <v>5175</v>
      </c>
      <c r="M53" s="82" t="s">
        <v>143</v>
      </c>
    </row>
    <row r="54" spans="1:13" ht="21" customHeight="1" x14ac:dyDescent="0.25">
      <c r="A54" s="25" t="s">
        <v>328</v>
      </c>
      <c r="B54" s="143" t="s">
        <v>329</v>
      </c>
      <c r="C54" s="144" t="s">
        <v>75</v>
      </c>
      <c r="D54" s="236">
        <v>2</v>
      </c>
      <c r="E54" s="32"/>
      <c r="F54" s="127"/>
      <c r="G54" s="127"/>
      <c r="H54" s="32">
        <v>2156.25</v>
      </c>
      <c r="I54" s="127">
        <v>4312.5</v>
      </c>
      <c r="J54" s="127">
        <v>5175</v>
      </c>
      <c r="K54" s="129">
        <v>4312.5</v>
      </c>
      <c r="L54" s="130">
        <v>5175</v>
      </c>
      <c r="M54" s="82" t="s">
        <v>143</v>
      </c>
    </row>
    <row r="55" spans="1:13" ht="21" customHeight="1" x14ac:dyDescent="0.25">
      <c r="A55" s="25" t="s">
        <v>330</v>
      </c>
      <c r="B55" s="143" t="s">
        <v>331</v>
      </c>
      <c r="C55" s="144" t="s">
        <v>75</v>
      </c>
      <c r="D55" s="236">
        <v>2</v>
      </c>
      <c r="E55" s="32"/>
      <c r="F55" s="127"/>
      <c r="G55" s="127"/>
      <c r="H55" s="32">
        <v>2156.25</v>
      </c>
      <c r="I55" s="127">
        <v>4312.5</v>
      </c>
      <c r="J55" s="127">
        <v>5175</v>
      </c>
      <c r="K55" s="129">
        <v>4312.5</v>
      </c>
      <c r="L55" s="130">
        <v>5175</v>
      </c>
      <c r="M55" s="82" t="s">
        <v>143</v>
      </c>
    </row>
    <row r="56" spans="1:13" ht="21" customHeight="1" x14ac:dyDescent="0.25">
      <c r="A56" s="25" t="s">
        <v>332</v>
      </c>
      <c r="B56" s="143" t="s">
        <v>333</v>
      </c>
      <c r="C56" s="144" t="s">
        <v>75</v>
      </c>
      <c r="D56" s="236">
        <v>2</v>
      </c>
      <c r="E56" s="32"/>
      <c r="F56" s="127"/>
      <c r="G56" s="127"/>
      <c r="H56" s="32">
        <v>2156.25</v>
      </c>
      <c r="I56" s="127">
        <v>4312.5</v>
      </c>
      <c r="J56" s="127">
        <v>5175</v>
      </c>
      <c r="K56" s="129">
        <v>4312.5</v>
      </c>
      <c r="L56" s="130">
        <v>5175</v>
      </c>
      <c r="M56" s="82" t="s">
        <v>143</v>
      </c>
    </row>
    <row r="57" spans="1:13" ht="21" customHeight="1" x14ac:dyDescent="0.25">
      <c r="A57" s="25" t="s">
        <v>334</v>
      </c>
      <c r="B57" s="143" t="s">
        <v>335</v>
      </c>
      <c r="C57" s="144" t="s">
        <v>75</v>
      </c>
      <c r="D57" s="236">
        <v>2</v>
      </c>
      <c r="E57" s="32"/>
      <c r="F57" s="127"/>
      <c r="G57" s="127"/>
      <c r="H57" s="32">
        <v>3066.666666666667</v>
      </c>
      <c r="I57" s="127">
        <v>6133.33</v>
      </c>
      <c r="J57" s="127">
        <v>7360</v>
      </c>
      <c r="K57" s="129">
        <v>6133.33</v>
      </c>
      <c r="L57" s="130">
        <v>7360</v>
      </c>
      <c r="M57" s="82" t="s">
        <v>143</v>
      </c>
    </row>
    <row r="58" spans="1:13" ht="21" customHeight="1" x14ac:dyDescent="0.25">
      <c r="A58" s="25" t="s">
        <v>332</v>
      </c>
      <c r="B58" s="143" t="s">
        <v>333</v>
      </c>
      <c r="C58" s="144" t="s">
        <v>75</v>
      </c>
      <c r="D58" s="236">
        <v>2</v>
      </c>
      <c r="E58" s="32"/>
      <c r="F58" s="127"/>
      <c r="G58" s="127"/>
      <c r="H58" s="32">
        <f t="shared" ref="H58" si="0">2250/1.2*1.15</f>
        <v>2156.25</v>
      </c>
      <c r="I58" s="127">
        <f t="shared" ref="I58:I59" si="1">ROUND(H58*D58,2)</f>
        <v>4312.5</v>
      </c>
      <c r="J58" s="127">
        <f t="shared" ref="J58:J59" si="2">ROUND(I58*1.2,2)</f>
        <v>5175</v>
      </c>
      <c r="K58" s="129">
        <f t="shared" ref="K58:L59" si="3">F58+I58</f>
        <v>4312.5</v>
      </c>
      <c r="L58" s="130">
        <f t="shared" si="3"/>
        <v>5175</v>
      </c>
      <c r="M58" s="82" t="s">
        <v>143</v>
      </c>
    </row>
    <row r="59" spans="1:13" ht="21" customHeight="1" x14ac:dyDescent="0.25">
      <c r="A59" s="25" t="s">
        <v>334</v>
      </c>
      <c r="B59" s="143" t="s">
        <v>335</v>
      </c>
      <c r="C59" s="144" t="s">
        <v>75</v>
      </c>
      <c r="D59" s="236">
        <v>2</v>
      </c>
      <c r="E59" s="32"/>
      <c r="F59" s="127"/>
      <c r="G59" s="127"/>
      <c r="H59" s="32">
        <f>3200/1.2*1.15</f>
        <v>3066.666666666667</v>
      </c>
      <c r="I59" s="127">
        <f t="shared" si="1"/>
        <v>6133.33</v>
      </c>
      <c r="J59" s="127">
        <f t="shared" si="2"/>
        <v>7360</v>
      </c>
      <c r="K59" s="129">
        <f t="shared" si="3"/>
        <v>6133.33</v>
      </c>
      <c r="L59" s="130">
        <f t="shared" si="3"/>
        <v>7360</v>
      </c>
      <c r="M59" s="82" t="s">
        <v>143</v>
      </c>
    </row>
    <row r="60" spans="1:13" ht="34.5" customHeight="1" x14ac:dyDescent="0.25">
      <c r="A60" s="35"/>
      <c r="B60" s="237" t="s">
        <v>336</v>
      </c>
      <c r="C60" s="238"/>
      <c r="D60" s="239"/>
      <c r="E60" s="240"/>
      <c r="F60" s="241"/>
      <c r="G60" s="241"/>
      <c r="H60" s="242"/>
      <c r="I60" s="241"/>
      <c r="J60" s="241"/>
      <c r="K60" s="240"/>
      <c r="L60" s="243"/>
    </row>
    <row r="61" spans="1:13" ht="21.75" customHeight="1" x14ac:dyDescent="0.25">
      <c r="A61" s="227"/>
      <c r="B61" s="226" t="s">
        <v>302</v>
      </c>
      <c r="C61" s="45" t="s">
        <v>75</v>
      </c>
      <c r="D61" s="244">
        <v>22</v>
      </c>
      <c r="E61" s="245">
        <v>280.25</v>
      </c>
      <c r="F61" s="49">
        <f t="shared" ref="F61:F64" si="4">ROUND(E61*D61,2)</f>
        <v>6165.5</v>
      </c>
      <c r="G61" s="49">
        <f t="shared" ref="G61:G64" si="5">ROUND(F61*1.2,2)</f>
        <v>7398.6</v>
      </c>
      <c r="H61" s="51"/>
      <c r="I61" s="49"/>
      <c r="J61" s="49"/>
      <c r="K61" s="48">
        <f t="shared" ref="K61:L69" si="6">F61+I61</f>
        <v>6165.5</v>
      </c>
      <c r="L61" s="49">
        <f t="shared" si="6"/>
        <v>7398.6</v>
      </c>
      <c r="M61" s="82"/>
    </row>
    <row r="62" spans="1:13" ht="21.75" customHeight="1" x14ac:dyDescent="0.25">
      <c r="A62" s="227"/>
      <c r="B62" s="226" t="s">
        <v>303</v>
      </c>
      <c r="C62" s="45" t="s">
        <v>75</v>
      </c>
      <c r="D62" s="244">
        <v>44</v>
      </c>
      <c r="E62" s="245">
        <v>101.65</v>
      </c>
      <c r="F62" s="49">
        <f t="shared" si="4"/>
        <v>4472.6000000000004</v>
      </c>
      <c r="G62" s="49">
        <f t="shared" si="5"/>
        <v>5367.12</v>
      </c>
      <c r="H62" s="51"/>
      <c r="I62" s="49"/>
      <c r="J62" s="49"/>
      <c r="K62" s="48">
        <f t="shared" si="6"/>
        <v>4472.6000000000004</v>
      </c>
      <c r="L62" s="49">
        <f t="shared" si="6"/>
        <v>5367.12</v>
      </c>
      <c r="M62" s="82"/>
    </row>
    <row r="63" spans="1:13" ht="21.75" customHeight="1" x14ac:dyDescent="0.25">
      <c r="A63" s="227"/>
      <c r="B63" s="226" t="s">
        <v>337</v>
      </c>
      <c r="C63" s="45" t="s">
        <v>75</v>
      </c>
      <c r="D63" s="244">
        <v>44</v>
      </c>
      <c r="E63" s="245">
        <v>32.299999999999997</v>
      </c>
      <c r="F63" s="49">
        <f t="shared" si="4"/>
        <v>1421.2</v>
      </c>
      <c r="G63" s="49">
        <f t="shared" si="5"/>
        <v>1705.44</v>
      </c>
      <c r="H63" s="51"/>
      <c r="I63" s="49"/>
      <c r="J63" s="49"/>
      <c r="K63" s="48">
        <f t="shared" si="6"/>
        <v>1421.2</v>
      </c>
      <c r="L63" s="49">
        <f t="shared" si="6"/>
        <v>1705.44</v>
      </c>
      <c r="M63" s="82"/>
    </row>
    <row r="64" spans="1:13" ht="21.75" customHeight="1" x14ac:dyDescent="0.25">
      <c r="A64" s="227"/>
      <c r="B64" s="226" t="s">
        <v>338</v>
      </c>
      <c r="C64" s="45" t="s">
        <v>75</v>
      </c>
      <c r="D64" s="244">
        <v>22</v>
      </c>
      <c r="E64" s="245">
        <v>194.75</v>
      </c>
      <c r="F64" s="49">
        <f t="shared" si="4"/>
        <v>4284.5</v>
      </c>
      <c r="G64" s="49">
        <f t="shared" si="5"/>
        <v>5141.3999999999996</v>
      </c>
      <c r="H64" s="51"/>
      <c r="I64" s="49"/>
      <c r="J64" s="49"/>
      <c r="K64" s="48">
        <f t="shared" si="6"/>
        <v>4284.5</v>
      </c>
      <c r="L64" s="49">
        <f t="shared" si="6"/>
        <v>5141.3999999999996</v>
      </c>
      <c r="M64" s="82"/>
    </row>
    <row r="65" spans="1:15" ht="24" customHeight="1" x14ac:dyDescent="0.25">
      <c r="A65" s="25"/>
      <c r="B65" s="246" t="s">
        <v>339</v>
      </c>
      <c r="C65" s="69" t="s">
        <v>75</v>
      </c>
      <c r="D65" s="247">
        <v>22</v>
      </c>
      <c r="E65" s="62"/>
      <c r="F65" s="62"/>
      <c r="G65" s="62"/>
      <c r="H65" s="62">
        <v>0</v>
      </c>
      <c r="I65" s="62">
        <f t="shared" ref="I65:I69" si="7">ROUND(H65*D65,2)</f>
        <v>0</v>
      </c>
      <c r="J65" s="62">
        <f t="shared" ref="J65:J69" si="8">ROUND(I65*1.2,2)</f>
        <v>0</v>
      </c>
      <c r="K65" s="63">
        <f t="shared" si="6"/>
        <v>0</v>
      </c>
      <c r="L65" s="62">
        <f t="shared" si="6"/>
        <v>0</v>
      </c>
      <c r="M65" s="82"/>
    </row>
    <row r="66" spans="1:15" ht="24" customHeight="1" x14ac:dyDescent="0.25">
      <c r="A66" s="25"/>
      <c r="B66" s="246" t="s">
        <v>340</v>
      </c>
      <c r="C66" s="69" t="s">
        <v>75</v>
      </c>
      <c r="D66" s="247">
        <v>44</v>
      </c>
      <c r="E66" s="62"/>
      <c r="F66" s="62"/>
      <c r="G66" s="62"/>
      <c r="H66" s="62">
        <v>0</v>
      </c>
      <c r="I66" s="62">
        <f t="shared" si="7"/>
        <v>0</v>
      </c>
      <c r="J66" s="62">
        <f t="shared" si="8"/>
        <v>0</v>
      </c>
      <c r="K66" s="63">
        <f t="shared" si="6"/>
        <v>0</v>
      </c>
      <c r="L66" s="62">
        <f t="shared" si="6"/>
        <v>0</v>
      </c>
      <c r="M66" s="82"/>
    </row>
    <row r="67" spans="1:15" ht="24" customHeight="1" x14ac:dyDescent="0.25">
      <c r="A67" s="25"/>
      <c r="B67" s="246" t="s">
        <v>341</v>
      </c>
      <c r="C67" s="69" t="s">
        <v>75</v>
      </c>
      <c r="D67" s="247">
        <v>22</v>
      </c>
      <c r="E67" s="62"/>
      <c r="F67" s="62"/>
      <c r="G67" s="62"/>
      <c r="H67" s="62">
        <v>0</v>
      </c>
      <c r="I67" s="62">
        <f t="shared" si="7"/>
        <v>0</v>
      </c>
      <c r="J67" s="62">
        <f t="shared" si="8"/>
        <v>0</v>
      </c>
      <c r="K67" s="63">
        <f t="shared" si="6"/>
        <v>0</v>
      </c>
      <c r="L67" s="62">
        <f t="shared" si="6"/>
        <v>0</v>
      </c>
      <c r="M67" s="82"/>
    </row>
    <row r="68" spans="1:15" ht="24" customHeight="1" x14ac:dyDescent="0.25">
      <c r="A68" s="25"/>
      <c r="B68" s="246" t="s">
        <v>342</v>
      </c>
      <c r="C68" s="69" t="s">
        <v>75</v>
      </c>
      <c r="D68" s="247">
        <v>44</v>
      </c>
      <c r="E68" s="62"/>
      <c r="F68" s="62"/>
      <c r="G68" s="62"/>
      <c r="H68" s="62">
        <v>0</v>
      </c>
      <c r="I68" s="62">
        <f t="shared" si="7"/>
        <v>0</v>
      </c>
      <c r="J68" s="62">
        <f t="shared" si="8"/>
        <v>0</v>
      </c>
      <c r="K68" s="63">
        <f t="shared" si="6"/>
        <v>0</v>
      </c>
      <c r="L68" s="62">
        <f t="shared" si="6"/>
        <v>0</v>
      </c>
      <c r="M68" s="82"/>
    </row>
    <row r="69" spans="1:15" ht="24" customHeight="1" x14ac:dyDescent="0.25">
      <c r="A69" s="25"/>
      <c r="B69" s="246" t="s">
        <v>343</v>
      </c>
      <c r="C69" s="69" t="s">
        <v>75</v>
      </c>
      <c r="D69" s="247">
        <v>1</v>
      </c>
      <c r="E69" s="62"/>
      <c r="F69" s="62"/>
      <c r="G69" s="62"/>
      <c r="H69" s="62">
        <v>0</v>
      </c>
      <c r="I69" s="62">
        <f t="shared" si="7"/>
        <v>0</v>
      </c>
      <c r="J69" s="62">
        <f t="shared" si="8"/>
        <v>0</v>
      </c>
      <c r="K69" s="63">
        <f t="shared" si="6"/>
        <v>0</v>
      </c>
      <c r="L69" s="62">
        <f t="shared" si="6"/>
        <v>0</v>
      </c>
      <c r="M69" s="82"/>
    </row>
    <row r="70" spans="1:15" ht="23.25" customHeight="1" x14ac:dyDescent="0.25">
      <c r="A70" s="35"/>
      <c r="B70" s="140" t="s">
        <v>344</v>
      </c>
      <c r="C70" s="35"/>
      <c r="D70" s="37"/>
      <c r="E70" s="38"/>
      <c r="F70" s="39"/>
      <c r="G70" s="39"/>
      <c r="H70" s="40"/>
      <c r="I70" s="39"/>
      <c r="J70" s="39"/>
      <c r="K70" s="41"/>
      <c r="L70" s="42"/>
    </row>
    <row r="71" spans="1:15" s="159" customFormat="1" ht="29.25" customHeight="1" x14ac:dyDescent="0.25">
      <c r="A71" s="151">
        <f>A56+1</f>
        <v>45651</v>
      </c>
      <c r="B71" s="248" t="s">
        <v>345</v>
      </c>
      <c r="C71" s="151" t="s">
        <v>84</v>
      </c>
      <c r="D71" s="249">
        <v>835.4</v>
      </c>
      <c r="E71" s="158">
        <v>304.06</v>
      </c>
      <c r="F71" s="156">
        <f t="shared" ref="F71" si="9">ROUND(E71*D71,2)</f>
        <v>254011.72</v>
      </c>
      <c r="G71" s="156">
        <f t="shared" ref="G71" si="10">ROUND(F71*1.2,2)</f>
        <v>304814.06</v>
      </c>
      <c r="H71" s="155"/>
      <c r="I71" s="156"/>
      <c r="J71" s="156"/>
      <c r="K71" s="250">
        <f t="shared" ref="K71:L76" si="11">F71+I71</f>
        <v>254011.72</v>
      </c>
      <c r="L71" s="251">
        <f t="shared" si="11"/>
        <v>304814.06</v>
      </c>
      <c r="M71" s="160" t="s">
        <v>163</v>
      </c>
      <c r="N71" s="252"/>
    </row>
    <row r="72" spans="1:15" s="159" customFormat="1" ht="21" customHeight="1" x14ac:dyDescent="0.25">
      <c r="A72" s="203" t="s">
        <v>346</v>
      </c>
      <c r="B72" s="248" t="s">
        <v>165</v>
      </c>
      <c r="C72" s="151" t="s">
        <v>84</v>
      </c>
      <c r="D72" s="249">
        <f>D71*1.1</f>
        <v>918.94</v>
      </c>
      <c r="E72" s="158"/>
      <c r="F72" s="156"/>
      <c r="G72" s="156"/>
      <c r="H72" s="157">
        <v>1850</v>
      </c>
      <c r="I72" s="156">
        <f>ROUND(H72*D72,2)</f>
        <v>1700039</v>
      </c>
      <c r="J72" s="156">
        <f t="shared" ref="J72" si="12">ROUND(I72*1.2,2)</f>
        <v>2040046.8</v>
      </c>
      <c r="K72" s="250">
        <f t="shared" si="11"/>
        <v>1700039</v>
      </c>
      <c r="L72" s="251">
        <f t="shared" si="11"/>
        <v>2040046.8</v>
      </c>
      <c r="M72" s="171" t="s">
        <v>143</v>
      </c>
      <c r="N72" s="286" t="s">
        <v>347</v>
      </c>
      <c r="O72" s="771">
        <f>L72-H72*100*1.2</f>
        <v>1818046.8</v>
      </c>
    </row>
    <row r="73" spans="1:15" ht="21" customHeight="1" x14ac:dyDescent="0.25">
      <c r="A73" s="94">
        <f>A71+1</f>
        <v>45652</v>
      </c>
      <c r="B73" s="132" t="s">
        <v>168</v>
      </c>
      <c r="C73" s="94" t="s">
        <v>77</v>
      </c>
      <c r="D73" s="224">
        <v>835.4</v>
      </c>
      <c r="E73" s="23">
        <v>104.5</v>
      </c>
      <c r="F73" s="96">
        <f t="shared" ref="F73" si="13">ROUND(E73*D73,2)</f>
        <v>87299.3</v>
      </c>
      <c r="G73" s="96">
        <f t="shared" ref="G73" si="14">ROUND(F73*1.2,2)</f>
        <v>104759.16</v>
      </c>
      <c r="H73" s="20"/>
      <c r="I73" s="96"/>
      <c r="J73" s="96"/>
      <c r="K73" s="97">
        <f t="shared" si="11"/>
        <v>87299.3</v>
      </c>
      <c r="L73" s="134">
        <f t="shared" si="11"/>
        <v>104759.16</v>
      </c>
      <c r="M73" s="131"/>
    </row>
    <row r="74" spans="1:15" ht="21" customHeight="1" x14ac:dyDescent="0.25">
      <c r="A74" s="25" t="s">
        <v>348</v>
      </c>
      <c r="B74" s="143" t="s">
        <v>170</v>
      </c>
      <c r="C74" s="144" t="s">
        <v>171</v>
      </c>
      <c r="D74" s="145">
        <v>8.11</v>
      </c>
      <c r="E74" s="32"/>
      <c r="F74" s="127"/>
      <c r="G74" s="127"/>
      <c r="H74" s="30">
        <v>461.7</v>
      </c>
      <c r="I74" s="127">
        <f>ROUND(H74*D74,2)</f>
        <v>3744.39</v>
      </c>
      <c r="J74" s="127">
        <f t="shared" ref="J74:J76" si="15">ROUND(I74*1.2,2)</f>
        <v>4493.2700000000004</v>
      </c>
      <c r="K74" s="129">
        <f t="shared" si="11"/>
        <v>3744.39</v>
      </c>
      <c r="L74" s="130">
        <f t="shared" si="11"/>
        <v>4493.2700000000004</v>
      </c>
      <c r="M74" s="146"/>
    </row>
    <row r="75" spans="1:15" ht="21" customHeight="1" x14ac:dyDescent="0.25">
      <c r="A75" s="25" t="s">
        <v>349</v>
      </c>
      <c r="B75" s="143" t="s">
        <v>173</v>
      </c>
      <c r="C75" s="144" t="s">
        <v>171</v>
      </c>
      <c r="D75" s="145">
        <v>8.11</v>
      </c>
      <c r="E75" s="32"/>
      <c r="F75" s="127"/>
      <c r="G75" s="127"/>
      <c r="H75" s="30">
        <v>615.6</v>
      </c>
      <c r="I75" s="127">
        <f>ROUND(H75*D75,2)</f>
        <v>4992.5200000000004</v>
      </c>
      <c r="J75" s="127">
        <f t="shared" si="15"/>
        <v>5991.02</v>
      </c>
      <c r="K75" s="129">
        <f t="shared" si="11"/>
        <v>4992.5200000000004</v>
      </c>
      <c r="L75" s="130">
        <f t="shared" si="11"/>
        <v>5991.02</v>
      </c>
      <c r="M75" s="146"/>
    </row>
    <row r="76" spans="1:15" ht="21" customHeight="1" x14ac:dyDescent="0.25">
      <c r="A76" s="25" t="s">
        <v>350</v>
      </c>
      <c r="B76" s="143" t="s">
        <v>175</v>
      </c>
      <c r="C76" s="144" t="s">
        <v>171</v>
      </c>
      <c r="D76" s="145">
        <v>8.11</v>
      </c>
      <c r="E76" s="32"/>
      <c r="F76" s="127"/>
      <c r="G76" s="127"/>
      <c r="H76" s="30">
        <v>1201.75</v>
      </c>
      <c r="I76" s="127">
        <f>ROUND(H76*D76,2)</f>
        <v>9746.19</v>
      </c>
      <c r="J76" s="127">
        <f t="shared" si="15"/>
        <v>11695.43</v>
      </c>
      <c r="K76" s="129">
        <f t="shared" si="11"/>
        <v>9746.19</v>
      </c>
      <c r="L76" s="130">
        <f t="shared" si="11"/>
        <v>11695.43</v>
      </c>
      <c r="M76" s="146"/>
    </row>
    <row r="77" spans="1:15" ht="31.5" customHeight="1" x14ac:dyDescent="0.25">
      <c r="A77" s="35"/>
      <c r="B77" s="140" t="s">
        <v>351</v>
      </c>
      <c r="C77" s="35"/>
      <c r="D77" s="37"/>
      <c r="E77" s="38"/>
      <c r="F77" s="39"/>
      <c r="G77" s="39"/>
      <c r="H77" s="40"/>
      <c r="I77" s="39"/>
      <c r="J77" s="39"/>
      <c r="K77" s="41"/>
      <c r="L77" s="42"/>
    </row>
    <row r="78" spans="1:15" ht="21" customHeight="1" x14ac:dyDescent="0.25">
      <c r="A78" s="98">
        <f>A73+1</f>
        <v>45653</v>
      </c>
      <c r="B78" s="121" t="s">
        <v>352</v>
      </c>
      <c r="C78" s="98" t="s">
        <v>77</v>
      </c>
      <c r="D78" s="105">
        <v>18.27</v>
      </c>
      <c r="E78" s="123">
        <v>2101.14</v>
      </c>
      <c r="F78" s="103">
        <f t="shared" ref="F78" si="16">ROUND(E78*D78,2)</f>
        <v>38387.83</v>
      </c>
      <c r="G78" s="103">
        <f t="shared" ref="G78" si="17">ROUND(F78*1.2,2)</f>
        <v>46065.4</v>
      </c>
      <c r="H78" s="104"/>
      <c r="I78" s="103"/>
      <c r="J78" s="103"/>
      <c r="K78" s="105">
        <f t="shared" ref="K78:L79" si="18">F78+I78</f>
        <v>38387.83</v>
      </c>
      <c r="L78" s="124">
        <f t="shared" si="18"/>
        <v>46065.4</v>
      </c>
      <c r="M78" s="131" t="s">
        <v>163</v>
      </c>
    </row>
    <row r="79" spans="1:15" ht="21" customHeight="1" x14ac:dyDescent="0.25">
      <c r="A79" s="25" t="s">
        <v>353</v>
      </c>
      <c r="B79" s="143" t="s">
        <v>354</v>
      </c>
      <c r="C79" s="144" t="s">
        <v>77</v>
      </c>
      <c r="D79" s="145">
        <v>18.27</v>
      </c>
      <c r="E79" s="32"/>
      <c r="F79" s="127"/>
      <c r="G79" s="127"/>
      <c r="H79" s="30">
        <f>1133.33/1.2*1.15</f>
        <v>1086.1079166666666</v>
      </c>
      <c r="I79" s="127">
        <f>ROUND(H79*D79,2)</f>
        <v>19843.189999999999</v>
      </c>
      <c r="J79" s="127">
        <f t="shared" ref="J79" si="19">ROUND(I79*1.2,2)</f>
        <v>23811.83</v>
      </c>
      <c r="K79" s="129">
        <f t="shared" si="18"/>
        <v>19843.189999999999</v>
      </c>
      <c r="L79" s="130">
        <f t="shared" si="18"/>
        <v>23811.83</v>
      </c>
      <c r="M79" s="82" t="s">
        <v>143</v>
      </c>
    </row>
    <row r="80" spans="1:15" ht="18" customHeight="1" x14ac:dyDescent="0.25">
      <c r="A80" s="35"/>
      <c r="B80" s="92" t="s">
        <v>355</v>
      </c>
      <c r="C80" s="35"/>
      <c r="D80" s="93"/>
      <c r="E80" s="38"/>
      <c r="F80" s="39"/>
      <c r="G80" s="39"/>
      <c r="H80" s="40"/>
      <c r="I80" s="39"/>
      <c r="J80" s="39"/>
      <c r="K80" s="41"/>
      <c r="L80" s="42"/>
    </row>
    <row r="81" spans="1:13" ht="21" customHeight="1" x14ac:dyDescent="0.25">
      <c r="A81" s="94">
        <f>A78+1</f>
        <v>45654</v>
      </c>
      <c r="B81" s="132" t="s">
        <v>356</v>
      </c>
      <c r="C81" s="94" t="s">
        <v>72</v>
      </c>
      <c r="D81" s="217">
        <v>506</v>
      </c>
      <c r="E81" s="23">
        <v>4236.34</v>
      </c>
      <c r="F81" s="96">
        <f t="shared" ref="F81" si="20">ROUND(E81*D81,2)</f>
        <v>2143588.04</v>
      </c>
      <c r="G81" s="96">
        <f t="shared" ref="G81" si="21">ROUND(F81*1.2,2)</f>
        <v>2572305.65</v>
      </c>
      <c r="H81" s="20"/>
      <c r="I81" s="96"/>
      <c r="J81" s="96"/>
      <c r="K81" s="97">
        <f t="shared" ref="K81:L87" si="22">F81+I81</f>
        <v>2143588.04</v>
      </c>
      <c r="L81" s="134">
        <f t="shared" si="22"/>
        <v>2572305.65</v>
      </c>
    </row>
    <row r="82" spans="1:13" ht="21" customHeight="1" x14ac:dyDescent="0.25">
      <c r="A82" s="765" t="s">
        <v>357</v>
      </c>
      <c r="B82" s="26" t="s">
        <v>358</v>
      </c>
      <c r="C82" s="125" t="s">
        <v>72</v>
      </c>
      <c r="D82" s="253">
        <v>506</v>
      </c>
      <c r="E82" s="32"/>
      <c r="F82" s="127"/>
      <c r="G82" s="127"/>
      <c r="H82" s="847">
        <v>6479</v>
      </c>
      <c r="I82" s="127">
        <f>ROUND(H82*D82,2)</f>
        <v>3278374</v>
      </c>
      <c r="J82" s="127">
        <f t="shared" ref="J82" si="23">ROUND(I82*1.2,2)</f>
        <v>3934048.8</v>
      </c>
      <c r="K82" s="129">
        <f t="shared" si="22"/>
        <v>3278374</v>
      </c>
      <c r="L82" s="130">
        <f t="shared" si="22"/>
        <v>3934048.8</v>
      </c>
      <c r="M82" s="82"/>
    </row>
    <row r="83" spans="1:13" ht="21" customHeight="1" x14ac:dyDescent="0.25">
      <c r="A83" s="94">
        <f>A81+1</f>
        <v>45655</v>
      </c>
      <c r="B83" s="132" t="s">
        <v>359</v>
      </c>
      <c r="C83" s="94" t="s">
        <v>72</v>
      </c>
      <c r="D83" s="217">
        <v>506</v>
      </c>
      <c r="E83" s="23">
        <v>526.29999999999995</v>
      </c>
      <c r="F83" s="96">
        <f t="shared" ref="F83" si="24">ROUND(E83*D83,2)</f>
        <v>266307.8</v>
      </c>
      <c r="G83" s="96">
        <f t="shared" ref="G83" si="25">ROUND(F83*1.2,2)</f>
        <v>319569.36</v>
      </c>
      <c r="H83" s="20"/>
      <c r="I83" s="96"/>
      <c r="J83" s="96"/>
      <c r="K83" s="97">
        <f t="shared" si="22"/>
        <v>266307.8</v>
      </c>
      <c r="L83" s="134">
        <f t="shared" si="22"/>
        <v>319569.36</v>
      </c>
    </row>
    <row r="84" spans="1:13" ht="21" customHeight="1" x14ac:dyDescent="0.25">
      <c r="A84" s="765" t="s">
        <v>360</v>
      </c>
      <c r="B84" s="26" t="s">
        <v>361</v>
      </c>
      <c r="C84" s="125" t="s">
        <v>72</v>
      </c>
      <c r="D84" s="253">
        <v>506</v>
      </c>
      <c r="E84" s="32"/>
      <c r="F84" s="127"/>
      <c r="G84" s="127"/>
      <c r="H84" s="32">
        <v>11704</v>
      </c>
      <c r="I84" s="127">
        <f>ROUND(H84*D84,2)</f>
        <v>5922224</v>
      </c>
      <c r="J84" s="127">
        <f t="shared" ref="J84:J86" si="26">ROUND(I84*1.2,2)</f>
        <v>7106668.7999999998</v>
      </c>
      <c r="K84" s="129">
        <f t="shared" si="22"/>
        <v>5922224</v>
      </c>
      <c r="L84" s="130">
        <f t="shared" si="22"/>
        <v>7106668.7999999998</v>
      </c>
      <c r="M84" s="82"/>
    </row>
    <row r="85" spans="1:13" ht="21" customHeight="1" x14ac:dyDescent="0.25">
      <c r="A85" s="25" t="s">
        <v>362</v>
      </c>
      <c r="B85" s="26" t="s">
        <v>363</v>
      </c>
      <c r="C85" s="125" t="s">
        <v>75</v>
      </c>
      <c r="D85" s="254">
        <v>2024</v>
      </c>
      <c r="E85" s="29"/>
      <c r="F85" s="127"/>
      <c r="G85" s="127"/>
      <c r="H85" s="128">
        <v>13.8</v>
      </c>
      <c r="I85" s="127">
        <f>ROUND(H85*D85,2)</f>
        <v>27931.200000000001</v>
      </c>
      <c r="J85" s="127">
        <f t="shared" si="26"/>
        <v>33517.440000000002</v>
      </c>
      <c r="K85" s="129">
        <f t="shared" si="22"/>
        <v>27931.200000000001</v>
      </c>
      <c r="L85" s="130">
        <f t="shared" si="22"/>
        <v>33517.440000000002</v>
      </c>
      <c r="M85" s="82" t="s">
        <v>143</v>
      </c>
    </row>
    <row r="86" spans="1:13" ht="21" customHeight="1" x14ac:dyDescent="0.25">
      <c r="A86" s="25" t="s">
        <v>364</v>
      </c>
      <c r="B86" s="26" t="s">
        <v>365</v>
      </c>
      <c r="C86" s="125" t="s">
        <v>75</v>
      </c>
      <c r="D86" s="254">
        <v>2024</v>
      </c>
      <c r="E86" s="29"/>
      <c r="F86" s="127"/>
      <c r="G86" s="127"/>
      <c r="H86" s="128">
        <v>16.87</v>
      </c>
      <c r="I86" s="127">
        <f>ROUND(H86*D86,2)</f>
        <v>34144.879999999997</v>
      </c>
      <c r="J86" s="127">
        <f t="shared" si="26"/>
        <v>40973.86</v>
      </c>
      <c r="K86" s="129">
        <f t="shared" si="22"/>
        <v>34144.879999999997</v>
      </c>
      <c r="L86" s="130">
        <f t="shared" si="22"/>
        <v>40973.86</v>
      </c>
      <c r="M86" s="82" t="s">
        <v>143</v>
      </c>
    </row>
    <row r="87" spans="1:13" ht="21" customHeight="1" x14ac:dyDescent="0.25">
      <c r="A87" s="94">
        <f>A83+1</f>
        <v>45656</v>
      </c>
      <c r="B87" s="132" t="s">
        <v>366</v>
      </c>
      <c r="C87" s="94" t="s">
        <v>84</v>
      </c>
      <c r="D87" s="217">
        <v>6.59</v>
      </c>
      <c r="E87" s="23">
        <v>1666.3</v>
      </c>
      <c r="F87" s="96">
        <f t="shared" ref="F87" si="27">ROUND(E87*D87,2)</f>
        <v>10980.92</v>
      </c>
      <c r="G87" s="96">
        <f t="shared" ref="G87" si="28">ROUND(F87*1.2,2)</f>
        <v>13177.1</v>
      </c>
      <c r="H87" s="20"/>
      <c r="I87" s="96"/>
      <c r="J87" s="96"/>
      <c r="K87" s="97">
        <f t="shared" si="22"/>
        <v>10980.92</v>
      </c>
      <c r="L87" s="134">
        <f t="shared" si="22"/>
        <v>13177.1</v>
      </c>
    </row>
    <row r="88" spans="1:13" ht="21" customHeight="1" x14ac:dyDescent="0.25">
      <c r="A88" s="25" t="s">
        <v>367</v>
      </c>
      <c r="B88" s="26" t="s">
        <v>368</v>
      </c>
      <c r="C88" s="125" t="s">
        <v>84</v>
      </c>
      <c r="D88" s="253">
        <f>ROUND(D87*1.26,2)</f>
        <v>8.3000000000000007</v>
      </c>
      <c r="E88" s="29"/>
      <c r="F88" s="127"/>
      <c r="G88" s="127"/>
      <c r="H88" s="30">
        <v>1299.5999999999999</v>
      </c>
      <c r="I88" s="127">
        <f>ROUND(H88*D88,2)</f>
        <v>10786.68</v>
      </c>
      <c r="J88" s="127">
        <f t="shared" ref="J88" si="29">ROUND(I88*1.2,2)</f>
        <v>12944.02</v>
      </c>
      <c r="K88" s="129">
        <f>F88+I88</f>
        <v>10786.68</v>
      </c>
      <c r="L88" s="130">
        <f>G88+J88</f>
        <v>12944.02</v>
      </c>
      <c r="M88" s="82"/>
    </row>
    <row r="89" spans="1:13" ht="21" customHeight="1" x14ac:dyDescent="0.25">
      <c r="A89" s="94">
        <f>A87+1</f>
        <v>45657</v>
      </c>
      <c r="B89" s="113" t="s">
        <v>369</v>
      </c>
      <c r="C89" s="94" t="s">
        <v>84</v>
      </c>
      <c r="D89" s="33">
        <v>16.48</v>
      </c>
      <c r="E89" s="23">
        <v>1310.05</v>
      </c>
      <c r="F89" s="96">
        <f t="shared" ref="F89" si="30">ROUND(E89*D89,2)</f>
        <v>21589.62</v>
      </c>
      <c r="G89" s="96">
        <f t="shared" ref="G89" si="31">ROUND(F89*1.2,2)</f>
        <v>25907.54</v>
      </c>
      <c r="H89" s="96"/>
      <c r="I89" s="96"/>
      <c r="J89" s="96"/>
      <c r="K89" s="97">
        <f t="shared" ref="K89:L97" si="32">F89+I89</f>
        <v>21589.62</v>
      </c>
      <c r="L89" s="96">
        <f t="shared" si="32"/>
        <v>25907.54</v>
      </c>
      <c r="M89" s="64"/>
    </row>
    <row r="90" spans="1:13" ht="21" customHeight="1" x14ac:dyDescent="0.25">
      <c r="A90" s="25" t="s">
        <v>226</v>
      </c>
      <c r="B90" s="26" t="s">
        <v>370</v>
      </c>
      <c r="C90" s="27" t="s">
        <v>84</v>
      </c>
      <c r="D90" s="34">
        <f>D89*1.1</f>
        <v>18.128000000000004</v>
      </c>
      <c r="E90" s="32"/>
      <c r="F90" s="127"/>
      <c r="G90" s="127"/>
      <c r="H90" s="30">
        <v>1427.76</v>
      </c>
      <c r="I90" s="127">
        <f>ROUND(H90*D90,2)</f>
        <v>25882.43</v>
      </c>
      <c r="J90" s="127">
        <f>ROUND(I90*1.2,2)</f>
        <v>31058.92</v>
      </c>
      <c r="K90" s="129">
        <f t="shared" si="32"/>
        <v>25882.43</v>
      </c>
      <c r="L90" s="127">
        <f t="shared" si="32"/>
        <v>31058.92</v>
      </c>
      <c r="M90" s="64"/>
    </row>
    <row r="91" spans="1:13" ht="21" customHeight="1" x14ac:dyDescent="0.25">
      <c r="A91" s="94">
        <f>A89+1</f>
        <v>45658</v>
      </c>
      <c r="B91" s="18" t="s">
        <v>290</v>
      </c>
      <c r="C91" s="17" t="s">
        <v>84</v>
      </c>
      <c r="D91" s="33">
        <v>16.48</v>
      </c>
      <c r="E91" s="23">
        <v>188.1</v>
      </c>
      <c r="F91" s="96">
        <f t="shared" ref="F91:F92" si="33">ROUND(E91*D91,2)</f>
        <v>3099.89</v>
      </c>
      <c r="G91" s="96">
        <f t="shared" ref="G91:G92" si="34">ROUND(F91*1.2,2)</f>
        <v>3719.87</v>
      </c>
      <c r="H91" s="23"/>
      <c r="I91" s="96"/>
      <c r="J91" s="96"/>
      <c r="K91" s="23">
        <f t="shared" si="32"/>
        <v>3099.89</v>
      </c>
      <c r="L91" s="21">
        <f t="shared" si="32"/>
        <v>3719.87</v>
      </c>
      <c r="M91" s="6"/>
    </row>
    <row r="92" spans="1:13" ht="21" customHeight="1" x14ac:dyDescent="0.25">
      <c r="A92" s="94">
        <f>A91+1</f>
        <v>45659</v>
      </c>
      <c r="B92" s="132" t="s">
        <v>371</v>
      </c>
      <c r="C92" s="94" t="s">
        <v>84</v>
      </c>
      <c r="D92" s="217">
        <v>163.94</v>
      </c>
      <c r="E92" s="23">
        <v>1666.3</v>
      </c>
      <c r="F92" s="96">
        <f t="shared" si="33"/>
        <v>273173.21999999997</v>
      </c>
      <c r="G92" s="96">
        <f t="shared" si="34"/>
        <v>327807.86</v>
      </c>
      <c r="H92" s="20"/>
      <c r="I92" s="96"/>
      <c r="J92" s="96"/>
      <c r="K92" s="97">
        <f t="shared" si="32"/>
        <v>273173.21999999997</v>
      </c>
      <c r="L92" s="134">
        <f t="shared" si="32"/>
        <v>327807.86</v>
      </c>
    </row>
    <row r="93" spans="1:13" ht="21" customHeight="1" x14ac:dyDescent="0.25">
      <c r="A93" s="25" t="s">
        <v>235</v>
      </c>
      <c r="B93" s="26" t="s">
        <v>368</v>
      </c>
      <c r="C93" s="125" t="s">
        <v>84</v>
      </c>
      <c r="D93" s="253">
        <f>ROUND(D92*1.26,2)</f>
        <v>206.56</v>
      </c>
      <c r="E93" s="29"/>
      <c r="F93" s="127"/>
      <c r="G93" s="127"/>
      <c r="H93" s="766">
        <v>1299.5999999999999</v>
      </c>
      <c r="I93" s="127">
        <f>ROUND(H93*D93,2)</f>
        <v>268445.38</v>
      </c>
      <c r="J93" s="127">
        <f t="shared" ref="J93" si="35">ROUND(I93*1.2,2)</f>
        <v>322134.46000000002</v>
      </c>
      <c r="K93" s="129">
        <f t="shared" si="32"/>
        <v>268445.38</v>
      </c>
      <c r="L93" s="130">
        <f t="shared" si="32"/>
        <v>322134.46000000002</v>
      </c>
      <c r="M93" s="762"/>
    </row>
    <row r="94" spans="1:13" ht="21" customHeight="1" x14ac:dyDescent="0.25">
      <c r="A94" s="94">
        <f>A92+1</f>
        <v>45660</v>
      </c>
      <c r="B94" s="174" t="s">
        <v>372</v>
      </c>
      <c r="C94" s="94" t="s">
        <v>84</v>
      </c>
      <c r="D94" s="133">
        <v>76.05</v>
      </c>
      <c r="E94" s="23">
        <v>1055.45</v>
      </c>
      <c r="F94" s="96">
        <f>ROUND(E94*D94,2)</f>
        <v>80266.97</v>
      </c>
      <c r="G94" s="96">
        <f>ROUND(F94*1.2,2)</f>
        <v>96320.36</v>
      </c>
      <c r="H94" s="20"/>
      <c r="I94" s="96"/>
      <c r="J94" s="96"/>
      <c r="K94" s="97">
        <f t="shared" si="32"/>
        <v>80266.97</v>
      </c>
      <c r="L94" s="134">
        <f t="shared" si="32"/>
        <v>96320.36</v>
      </c>
    </row>
    <row r="95" spans="1:13" ht="21" customHeight="1" x14ac:dyDescent="0.25">
      <c r="A95" s="25" t="s">
        <v>237</v>
      </c>
      <c r="B95" s="26" t="s">
        <v>370</v>
      </c>
      <c r="C95" s="125" t="s">
        <v>84</v>
      </c>
      <c r="D95" s="126">
        <f>D94*1.1</f>
        <v>83.655000000000001</v>
      </c>
      <c r="E95" s="29"/>
      <c r="F95" s="127"/>
      <c r="G95" s="127"/>
      <c r="H95" s="30">
        <v>1427.76</v>
      </c>
      <c r="I95" s="127">
        <f>ROUND(H95*D95,2)</f>
        <v>119439.26</v>
      </c>
      <c r="J95" s="127">
        <f t="shared" ref="J95" si="36">ROUND(I95*1.2,2)</f>
        <v>143327.10999999999</v>
      </c>
      <c r="K95" s="129">
        <f t="shared" si="32"/>
        <v>119439.26</v>
      </c>
      <c r="L95" s="130">
        <f t="shared" si="32"/>
        <v>143327.10999999999</v>
      </c>
      <c r="M95" s="131"/>
    </row>
    <row r="96" spans="1:13" ht="21" customHeight="1" x14ac:dyDescent="0.25">
      <c r="A96" s="94">
        <f>A94+1</f>
        <v>45661</v>
      </c>
      <c r="B96" s="18" t="s">
        <v>290</v>
      </c>
      <c r="C96" s="17" t="s">
        <v>84</v>
      </c>
      <c r="D96" s="33">
        <v>76.05</v>
      </c>
      <c r="E96" s="23">
        <v>188.1</v>
      </c>
      <c r="F96" s="96">
        <f t="shared" ref="F96:F97" si="37">ROUND(E96*D96,2)</f>
        <v>14305.01</v>
      </c>
      <c r="G96" s="96">
        <f t="shared" ref="G96:G97" si="38">ROUND(F96*1.2,2)</f>
        <v>17166.009999999998</v>
      </c>
      <c r="H96" s="23"/>
      <c r="I96" s="96"/>
      <c r="J96" s="96"/>
      <c r="K96" s="23">
        <f t="shared" si="32"/>
        <v>14305.01</v>
      </c>
      <c r="L96" s="21">
        <f t="shared" si="32"/>
        <v>17166.009999999998</v>
      </c>
      <c r="M96" s="6"/>
    </row>
    <row r="97" spans="1:13" ht="21" customHeight="1" x14ac:dyDescent="0.25">
      <c r="A97" s="94">
        <f>A96+1</f>
        <v>45662</v>
      </c>
      <c r="B97" s="174" t="s">
        <v>373</v>
      </c>
      <c r="C97" s="94" t="s">
        <v>84</v>
      </c>
      <c r="D97" s="173">
        <v>760.47</v>
      </c>
      <c r="E97" s="23">
        <v>1666.3</v>
      </c>
      <c r="F97" s="96">
        <f t="shared" si="37"/>
        <v>1267171.1599999999</v>
      </c>
      <c r="G97" s="96">
        <f t="shared" si="38"/>
        <v>1520605.39</v>
      </c>
      <c r="H97" s="20"/>
      <c r="I97" s="96"/>
      <c r="J97" s="96"/>
      <c r="K97" s="97">
        <f t="shared" si="32"/>
        <v>1267171.1599999999</v>
      </c>
      <c r="L97" s="134">
        <f t="shared" si="32"/>
        <v>1520605.39</v>
      </c>
    </row>
    <row r="98" spans="1:13" ht="21" customHeight="1" x14ac:dyDescent="0.25">
      <c r="A98" s="25" t="s">
        <v>374</v>
      </c>
      <c r="B98" s="26" t="s">
        <v>368</v>
      </c>
      <c r="C98" s="125" t="s">
        <v>84</v>
      </c>
      <c r="D98" s="253">
        <f>ROUND(D97*1.26,2)</f>
        <v>958.19</v>
      </c>
      <c r="E98" s="29"/>
      <c r="F98" s="127"/>
      <c r="G98" s="127"/>
      <c r="H98" s="766">
        <v>3805.7</v>
      </c>
      <c r="I98" s="127">
        <f>ROUND(H98*D98,2)</f>
        <v>3646583.68</v>
      </c>
      <c r="J98" s="127">
        <f t="shared" ref="J98" si="39">ROUND(I98*1.2,2)</f>
        <v>4375900.42</v>
      </c>
      <c r="K98" s="129">
        <f>F98+I98</f>
        <v>3646583.68</v>
      </c>
      <c r="L98" s="130">
        <f>G98+J98</f>
        <v>4375900.42</v>
      </c>
      <c r="M98" s="762"/>
    </row>
    <row r="99" spans="1:13" ht="18" customHeight="1" x14ac:dyDescent="0.25">
      <c r="A99" s="35"/>
      <c r="B99" s="140" t="s">
        <v>375</v>
      </c>
      <c r="C99" s="35"/>
      <c r="D99" s="37"/>
      <c r="E99" s="38"/>
      <c r="F99" s="39"/>
      <c r="G99" s="39"/>
      <c r="H99" s="40"/>
      <c r="I99" s="39"/>
      <c r="J99" s="39"/>
      <c r="K99" s="41"/>
      <c r="L99" s="42"/>
    </row>
    <row r="100" spans="1:13" ht="33" customHeight="1" x14ac:dyDescent="0.25">
      <c r="A100" s="98">
        <f>A97+1</f>
        <v>45663</v>
      </c>
      <c r="B100" s="121" t="s">
        <v>376</v>
      </c>
      <c r="C100" s="98" t="s">
        <v>77</v>
      </c>
      <c r="D100" s="141">
        <v>234.42</v>
      </c>
      <c r="E100" s="142">
        <f>308.75+188.1</f>
        <v>496.85</v>
      </c>
      <c r="F100" s="103">
        <f t="shared" ref="F100:F101" si="40">ROUND(E100*D100,2)</f>
        <v>116471.58</v>
      </c>
      <c r="G100" s="103">
        <f t="shared" ref="G100:G101" si="41">ROUND(F100*1.2,2)</f>
        <v>139765.9</v>
      </c>
      <c r="H100" s="104"/>
      <c r="I100" s="103"/>
      <c r="J100" s="103"/>
      <c r="K100" s="105">
        <f t="shared" ref="K100:L101" si="42">F100+I100</f>
        <v>116471.58</v>
      </c>
      <c r="L100" s="124">
        <f t="shared" si="42"/>
        <v>139765.9</v>
      </c>
      <c r="M100" s="146"/>
    </row>
    <row r="101" spans="1:13" ht="33" customHeight="1" x14ac:dyDescent="0.25">
      <c r="A101" s="98">
        <f>A100+1</f>
        <v>45664</v>
      </c>
      <c r="B101" s="121" t="s">
        <v>377</v>
      </c>
      <c r="C101" s="98" t="s">
        <v>77</v>
      </c>
      <c r="D101" s="141">
        <v>234.42</v>
      </c>
      <c r="E101" s="142">
        <f>157.6</f>
        <v>157.6</v>
      </c>
      <c r="F101" s="103">
        <f t="shared" si="40"/>
        <v>36944.589999999997</v>
      </c>
      <c r="G101" s="103">
        <f t="shared" si="41"/>
        <v>44333.51</v>
      </c>
      <c r="H101" s="104"/>
      <c r="I101" s="103"/>
      <c r="J101" s="103"/>
      <c r="K101" s="105">
        <f t="shared" si="42"/>
        <v>36944.589999999997</v>
      </c>
      <c r="L101" s="124">
        <f t="shared" si="42"/>
        <v>44333.51</v>
      </c>
    </row>
    <row r="102" spans="1:13" ht="18.75" customHeight="1" x14ac:dyDescent="0.25">
      <c r="A102" s="144" t="s">
        <v>244</v>
      </c>
      <c r="B102" s="143" t="s">
        <v>378</v>
      </c>
      <c r="C102" s="144" t="s">
        <v>77</v>
      </c>
      <c r="D102" s="145">
        <f>D101*1.1</f>
        <v>257.86200000000002</v>
      </c>
      <c r="E102" s="32"/>
      <c r="F102" s="127"/>
      <c r="G102" s="127"/>
      <c r="H102" s="29">
        <v>314.11</v>
      </c>
      <c r="I102" s="127">
        <f>ROUND(H102*D102,2)</f>
        <v>80997.03</v>
      </c>
      <c r="J102" s="127">
        <f t="shared" ref="J102:J103" si="43">ROUND(I102*1.2,2)</f>
        <v>97196.44</v>
      </c>
      <c r="K102" s="129">
        <f>F102+I102</f>
        <v>80997.03</v>
      </c>
      <c r="L102" s="130">
        <f>G102+J102</f>
        <v>97196.44</v>
      </c>
    </row>
    <row r="103" spans="1:13" ht="18.75" customHeight="1" x14ac:dyDescent="0.25">
      <c r="A103" s="144" t="s">
        <v>246</v>
      </c>
      <c r="B103" s="143" t="s">
        <v>379</v>
      </c>
      <c r="C103" s="144" t="s">
        <v>75</v>
      </c>
      <c r="D103" s="145">
        <v>675</v>
      </c>
      <c r="E103" s="32"/>
      <c r="F103" s="127"/>
      <c r="G103" s="127"/>
      <c r="H103" s="30">
        <v>148.54</v>
      </c>
      <c r="I103" s="127">
        <f>ROUND(H103*D103,2)</f>
        <v>100264.5</v>
      </c>
      <c r="J103" s="127">
        <f t="shared" si="43"/>
        <v>120317.4</v>
      </c>
      <c r="K103" s="129">
        <f t="shared" ref="K103:L105" si="44">F103+I103</f>
        <v>100264.5</v>
      </c>
      <c r="L103" s="130">
        <f t="shared" si="44"/>
        <v>120317.4</v>
      </c>
    </row>
    <row r="104" spans="1:13" ht="18.75" customHeight="1" x14ac:dyDescent="0.25">
      <c r="A104" s="94">
        <f>A101+1</f>
        <v>45665</v>
      </c>
      <c r="B104" s="132" t="s">
        <v>380</v>
      </c>
      <c r="C104" s="94" t="s">
        <v>77</v>
      </c>
      <c r="D104" s="224">
        <v>234.42</v>
      </c>
      <c r="E104" s="23">
        <v>1666.3</v>
      </c>
      <c r="F104" s="96">
        <f t="shared" ref="F104" si="45">ROUND(E104*D104,2)</f>
        <v>390614.05</v>
      </c>
      <c r="G104" s="96">
        <f t="shared" ref="G104" si="46">ROUND(F104*1.2,2)</f>
        <v>468736.86</v>
      </c>
      <c r="H104" s="20"/>
      <c r="I104" s="96"/>
      <c r="J104" s="96"/>
      <c r="K104" s="97">
        <f t="shared" si="44"/>
        <v>390614.05</v>
      </c>
      <c r="L104" s="134">
        <f t="shared" si="44"/>
        <v>468736.86</v>
      </c>
    </row>
    <row r="105" spans="1:13" ht="18.75" customHeight="1" x14ac:dyDescent="0.25">
      <c r="A105" s="144" t="s">
        <v>253</v>
      </c>
      <c r="B105" s="143" t="s">
        <v>381</v>
      </c>
      <c r="C105" s="144" t="s">
        <v>84</v>
      </c>
      <c r="D105" s="145">
        <f>D104*0.15*1.26</f>
        <v>44.30538</v>
      </c>
      <c r="E105" s="32"/>
      <c r="F105" s="127"/>
      <c r="G105" s="127"/>
      <c r="H105" s="766">
        <v>3805.7</v>
      </c>
      <c r="I105" s="127">
        <f>ROUND(H105*D105,2)</f>
        <v>168612.98</v>
      </c>
      <c r="J105" s="127">
        <f t="shared" ref="J105" si="47">ROUND(I105*1.2,2)</f>
        <v>202335.58</v>
      </c>
      <c r="K105" s="129">
        <f t="shared" si="44"/>
        <v>168612.98</v>
      </c>
      <c r="L105" s="130">
        <f t="shared" si="44"/>
        <v>202335.58</v>
      </c>
      <c r="M105" s="82"/>
    </row>
    <row r="106" spans="1:13" ht="26.25" customHeight="1" x14ac:dyDescent="0.25">
      <c r="A106" s="35"/>
      <c r="B106" s="140" t="s">
        <v>382</v>
      </c>
      <c r="C106" s="35"/>
      <c r="D106" s="37"/>
      <c r="E106" s="38"/>
      <c r="F106" s="39"/>
      <c r="G106" s="39"/>
      <c r="H106" s="40"/>
      <c r="I106" s="39"/>
      <c r="J106" s="39"/>
      <c r="K106" s="41"/>
      <c r="L106" s="42"/>
    </row>
    <row r="107" spans="1:13" ht="19.5" customHeight="1" x14ac:dyDescent="0.25">
      <c r="A107" s="219"/>
      <c r="B107" s="255" t="s">
        <v>197</v>
      </c>
      <c r="C107" s="219"/>
      <c r="D107" s="256"/>
      <c r="E107" s="257"/>
      <c r="F107" s="258"/>
      <c r="G107" s="258"/>
      <c r="H107" s="259"/>
      <c r="I107" s="258"/>
      <c r="J107" s="258"/>
      <c r="K107" s="260"/>
      <c r="L107" s="261"/>
    </row>
    <row r="108" spans="1:13" ht="21" customHeight="1" x14ac:dyDescent="0.25">
      <c r="A108" s="94">
        <f>A104+1</f>
        <v>45666</v>
      </c>
      <c r="B108" s="132" t="s">
        <v>383</v>
      </c>
      <c r="C108" s="94" t="s">
        <v>72</v>
      </c>
      <c r="D108" s="262">
        <f>2.5*4</f>
        <v>10</v>
      </c>
      <c r="E108" s="23">
        <f>2332.25*0.8</f>
        <v>1865.8000000000002</v>
      </c>
      <c r="F108" s="96">
        <f t="shared" ref="F108:F113" si="48">ROUND(E108*D108,2)</f>
        <v>18658</v>
      </c>
      <c r="G108" s="96">
        <f t="shared" ref="G108:G113" si="49">ROUND(F108*1.2,2)</f>
        <v>22389.599999999999</v>
      </c>
      <c r="H108" s="20"/>
      <c r="I108" s="96"/>
      <c r="J108" s="96"/>
      <c r="K108" s="97">
        <f t="shared" ref="K108:L113" si="50">F108+I108</f>
        <v>18658</v>
      </c>
      <c r="L108" s="134">
        <f t="shared" si="50"/>
        <v>22389.599999999999</v>
      </c>
      <c r="M108" s="44" t="s">
        <v>384</v>
      </c>
    </row>
    <row r="109" spans="1:13" ht="21" customHeight="1" x14ac:dyDescent="0.25">
      <c r="A109" s="98">
        <f>A108+1</f>
        <v>45667</v>
      </c>
      <c r="B109" s="121" t="s">
        <v>385</v>
      </c>
      <c r="C109" s="98" t="s">
        <v>77</v>
      </c>
      <c r="D109" s="141">
        <v>5.74</v>
      </c>
      <c r="E109" s="142">
        <f>ROUND(2029.62*0.7,2)</f>
        <v>1420.73</v>
      </c>
      <c r="F109" s="103">
        <f t="shared" si="48"/>
        <v>8154.99</v>
      </c>
      <c r="G109" s="103">
        <f t="shared" si="49"/>
        <v>9785.99</v>
      </c>
      <c r="H109" s="104"/>
      <c r="I109" s="103"/>
      <c r="J109" s="103"/>
      <c r="K109" s="105">
        <f t="shared" si="50"/>
        <v>8154.99</v>
      </c>
      <c r="L109" s="124">
        <f t="shared" si="50"/>
        <v>9785.99</v>
      </c>
      <c r="M109" s="131" t="s">
        <v>386</v>
      </c>
    </row>
    <row r="110" spans="1:13" ht="21" customHeight="1" x14ac:dyDescent="0.25">
      <c r="A110" s="98">
        <f t="shared" ref="A110:A113" si="51">A109+1</f>
        <v>45668</v>
      </c>
      <c r="B110" s="121" t="s">
        <v>387</v>
      </c>
      <c r="C110" s="98" t="s">
        <v>171</v>
      </c>
      <c r="D110" s="263">
        <f>2.45*3*1</f>
        <v>7.3500000000000005</v>
      </c>
      <c r="E110" s="142">
        <f>ROUND(135637.63*0.7/1000,2)</f>
        <v>94.95</v>
      </c>
      <c r="F110" s="103">
        <f t="shared" si="48"/>
        <v>697.88</v>
      </c>
      <c r="G110" s="103">
        <f t="shared" si="49"/>
        <v>837.46</v>
      </c>
      <c r="H110" s="104"/>
      <c r="I110" s="103"/>
      <c r="J110" s="103"/>
      <c r="K110" s="105">
        <f t="shared" si="50"/>
        <v>697.88</v>
      </c>
      <c r="L110" s="124">
        <f t="shared" si="50"/>
        <v>837.46</v>
      </c>
      <c r="M110" s="82" t="s">
        <v>388</v>
      </c>
    </row>
    <row r="111" spans="1:13" ht="21" customHeight="1" x14ac:dyDescent="0.25">
      <c r="A111" s="98">
        <f t="shared" si="51"/>
        <v>45669</v>
      </c>
      <c r="B111" s="121" t="s">
        <v>389</v>
      </c>
      <c r="C111" s="98" t="s">
        <v>171</v>
      </c>
      <c r="D111" s="263">
        <f>1.704*2.27*2</f>
        <v>7.7361599999999999</v>
      </c>
      <c r="E111" s="142">
        <f>ROUND(135637.63*0.7/1000,2)</f>
        <v>94.95</v>
      </c>
      <c r="F111" s="103">
        <f t="shared" si="48"/>
        <v>734.55</v>
      </c>
      <c r="G111" s="103">
        <f t="shared" si="49"/>
        <v>881.46</v>
      </c>
      <c r="H111" s="104"/>
      <c r="I111" s="103"/>
      <c r="J111" s="103"/>
      <c r="K111" s="105">
        <f t="shared" si="50"/>
        <v>734.55</v>
      </c>
      <c r="L111" s="124">
        <f t="shared" si="50"/>
        <v>881.46</v>
      </c>
      <c r="M111" s="82" t="s">
        <v>388</v>
      </c>
    </row>
    <row r="112" spans="1:13" ht="21" customHeight="1" x14ac:dyDescent="0.25">
      <c r="A112" s="98">
        <f t="shared" si="51"/>
        <v>45670</v>
      </c>
      <c r="B112" s="121" t="s">
        <v>390</v>
      </c>
      <c r="C112" s="98" t="s">
        <v>77</v>
      </c>
      <c r="D112" s="141">
        <v>2.1800000000000002</v>
      </c>
      <c r="E112" s="142">
        <f>ROUND(2029.62*0.7,2)</f>
        <v>1420.73</v>
      </c>
      <c r="F112" s="103">
        <f t="shared" si="48"/>
        <v>3097.19</v>
      </c>
      <c r="G112" s="103">
        <f t="shared" si="49"/>
        <v>3716.63</v>
      </c>
      <c r="H112" s="104"/>
      <c r="I112" s="103"/>
      <c r="J112" s="103"/>
      <c r="K112" s="105">
        <f t="shared" si="50"/>
        <v>3097.19</v>
      </c>
      <c r="L112" s="124">
        <f t="shared" si="50"/>
        <v>3716.63</v>
      </c>
      <c r="M112" s="131" t="s">
        <v>391</v>
      </c>
    </row>
    <row r="113" spans="1:15" s="159" customFormat="1" ht="21" customHeight="1" x14ac:dyDescent="0.25">
      <c r="A113" s="151">
        <f t="shared" si="51"/>
        <v>45671</v>
      </c>
      <c r="B113" s="132" t="s">
        <v>135</v>
      </c>
      <c r="C113" s="94" t="s">
        <v>80</v>
      </c>
      <c r="D113" s="97">
        <v>8.9499999999999993</v>
      </c>
      <c r="E113" s="21">
        <v>431.37</v>
      </c>
      <c r="F113" s="96">
        <f t="shared" si="48"/>
        <v>3860.76</v>
      </c>
      <c r="G113" s="96">
        <f t="shared" si="49"/>
        <v>4632.91</v>
      </c>
      <c r="H113" s="20"/>
      <c r="I113" s="96"/>
      <c r="J113" s="96"/>
      <c r="K113" s="97">
        <f t="shared" si="50"/>
        <v>3860.76</v>
      </c>
      <c r="L113" s="134">
        <f t="shared" si="50"/>
        <v>4632.91</v>
      </c>
      <c r="M113" s="788" t="s">
        <v>136</v>
      </c>
      <c r="N113" s="818" t="s">
        <v>1243</v>
      </c>
      <c r="O113" s="827">
        <f>L113-D113*СВОД!$P$2*1.2</f>
        <v>1316.9349999999999</v>
      </c>
    </row>
    <row r="114" spans="1:15" ht="19.5" customHeight="1" x14ac:dyDescent="0.25">
      <c r="A114" s="219"/>
      <c r="B114" s="255" t="s">
        <v>392</v>
      </c>
      <c r="C114" s="219"/>
      <c r="D114" s="256"/>
      <c r="E114" s="257"/>
      <c r="F114" s="258"/>
      <c r="G114" s="258"/>
      <c r="H114" s="259"/>
      <c r="I114" s="258"/>
      <c r="J114" s="258"/>
      <c r="K114" s="260"/>
      <c r="L114" s="261"/>
    </row>
    <row r="115" spans="1:15" ht="21" customHeight="1" x14ac:dyDescent="0.25">
      <c r="A115" s="94">
        <f>A113+1</f>
        <v>45672</v>
      </c>
      <c r="B115" s="132" t="s">
        <v>393</v>
      </c>
      <c r="C115" s="94" t="s">
        <v>72</v>
      </c>
      <c r="D115" s="224">
        <v>12.5</v>
      </c>
      <c r="E115" s="23">
        <v>2332.25</v>
      </c>
      <c r="F115" s="96">
        <f t="shared" ref="F115" si="52">ROUND(E115*D115,2)</f>
        <v>29153.13</v>
      </c>
      <c r="G115" s="96">
        <f t="shared" ref="G115" si="53">ROUND(F115*1.2,2)</f>
        <v>34983.760000000002</v>
      </c>
      <c r="H115" s="20"/>
      <c r="I115" s="96"/>
      <c r="J115" s="96"/>
      <c r="K115" s="97">
        <f t="shared" ref="K115:L119" si="54">F115+I115</f>
        <v>29153.13</v>
      </c>
      <c r="L115" s="134">
        <f t="shared" si="54"/>
        <v>34983.760000000002</v>
      </c>
    </row>
    <row r="116" spans="1:15" ht="21" customHeight="1" x14ac:dyDescent="0.25">
      <c r="A116" s="144" t="s">
        <v>394</v>
      </c>
      <c r="B116" s="143" t="s">
        <v>395</v>
      </c>
      <c r="C116" s="144" t="s">
        <v>75</v>
      </c>
      <c r="D116" s="236">
        <v>5</v>
      </c>
      <c r="E116" s="32"/>
      <c r="F116" s="127"/>
      <c r="G116" s="127"/>
      <c r="H116" s="32">
        <v>3805.7</v>
      </c>
      <c r="I116" s="127">
        <f>ROUND(H116*D116,2)</f>
        <v>19028.5</v>
      </c>
      <c r="J116" s="127">
        <f t="shared" ref="J116:J117" si="55">ROUND(I116*1.2,2)</f>
        <v>22834.2</v>
      </c>
      <c r="K116" s="129">
        <f t="shared" si="54"/>
        <v>19028.5</v>
      </c>
      <c r="L116" s="130">
        <f t="shared" si="54"/>
        <v>22834.2</v>
      </c>
    </row>
    <row r="117" spans="1:15" ht="21" customHeight="1" x14ac:dyDescent="0.25">
      <c r="A117" s="144" t="s">
        <v>396</v>
      </c>
      <c r="B117" s="143" t="s">
        <v>397</v>
      </c>
      <c r="C117" s="144" t="s">
        <v>75</v>
      </c>
      <c r="D117" s="236">
        <v>4</v>
      </c>
      <c r="E117" s="32"/>
      <c r="F117" s="127"/>
      <c r="G117" s="127"/>
      <c r="H117" s="32">
        <v>11416.63</v>
      </c>
      <c r="I117" s="127">
        <f>ROUND(H117*D117,2)</f>
        <v>45666.52</v>
      </c>
      <c r="J117" s="127">
        <f t="shared" si="55"/>
        <v>54799.82</v>
      </c>
      <c r="K117" s="129">
        <f t="shared" si="54"/>
        <v>45666.52</v>
      </c>
      <c r="L117" s="130">
        <f t="shared" si="54"/>
        <v>54799.82</v>
      </c>
    </row>
    <row r="118" spans="1:15" ht="21" customHeight="1" x14ac:dyDescent="0.25">
      <c r="A118" s="98">
        <f>A115+1</f>
        <v>45673</v>
      </c>
      <c r="B118" s="121" t="s">
        <v>398</v>
      </c>
      <c r="C118" s="98" t="s">
        <v>84</v>
      </c>
      <c r="D118" s="264">
        <v>0.2</v>
      </c>
      <c r="E118" s="123">
        <v>5753.2</v>
      </c>
      <c r="F118" s="103">
        <f t="shared" ref="F118" si="56">ROUND(E118*D118,2)</f>
        <v>1150.6400000000001</v>
      </c>
      <c r="G118" s="103">
        <f t="shared" ref="G118" si="57">ROUND(F118*1.2,2)</f>
        <v>1380.77</v>
      </c>
      <c r="H118" s="104"/>
      <c r="I118" s="103"/>
      <c r="J118" s="103"/>
      <c r="K118" s="105">
        <f t="shared" si="54"/>
        <v>1150.6400000000001</v>
      </c>
      <c r="L118" s="124">
        <f t="shared" si="54"/>
        <v>1380.77</v>
      </c>
    </row>
    <row r="119" spans="1:15" ht="21" customHeight="1" x14ac:dyDescent="0.25">
      <c r="A119" s="144" t="s">
        <v>399</v>
      </c>
      <c r="B119" s="143" t="s">
        <v>400</v>
      </c>
      <c r="C119" s="144" t="s">
        <v>84</v>
      </c>
      <c r="D119" s="265">
        <v>0.2</v>
      </c>
      <c r="E119" s="32"/>
      <c r="F119" s="127"/>
      <c r="G119" s="127"/>
      <c r="H119" s="32">
        <v>5307.65</v>
      </c>
      <c r="I119" s="127">
        <f>ROUND(H119*D119,2)</f>
        <v>1061.53</v>
      </c>
      <c r="J119" s="127">
        <f t="shared" ref="J119" si="58">ROUND(I119*1.2,2)</f>
        <v>1273.8399999999999</v>
      </c>
      <c r="K119" s="129">
        <f t="shared" si="54"/>
        <v>1061.53</v>
      </c>
      <c r="L119" s="130">
        <f t="shared" si="54"/>
        <v>1273.8399999999999</v>
      </c>
    </row>
    <row r="120" spans="1:15" ht="27.75" customHeight="1" x14ac:dyDescent="0.25">
      <c r="A120" s="35"/>
      <c r="B120" s="140" t="s">
        <v>401</v>
      </c>
      <c r="C120" s="35"/>
      <c r="D120" s="37"/>
      <c r="E120" s="38"/>
      <c r="F120" s="39"/>
      <c r="G120" s="39"/>
      <c r="H120" s="40"/>
      <c r="I120" s="39"/>
      <c r="J120" s="39"/>
      <c r="K120" s="41"/>
      <c r="L120" s="42"/>
    </row>
    <row r="121" spans="1:15" ht="32.25" customHeight="1" x14ac:dyDescent="0.25">
      <c r="A121" s="98">
        <f>A118+1</f>
        <v>45674</v>
      </c>
      <c r="B121" s="121" t="s">
        <v>402</v>
      </c>
      <c r="C121" s="98" t="s">
        <v>75</v>
      </c>
      <c r="D121" s="235">
        <v>4</v>
      </c>
      <c r="E121" s="123">
        <v>6852.75</v>
      </c>
      <c r="F121" s="103">
        <f t="shared" ref="F121" si="59">ROUND(E121*D121,2)</f>
        <v>27411</v>
      </c>
      <c r="G121" s="103">
        <f t="shared" ref="G121" si="60">ROUND(F121*1.2,2)</f>
        <v>32893.199999999997</v>
      </c>
      <c r="H121" s="104"/>
      <c r="I121" s="103"/>
      <c r="J121" s="103"/>
      <c r="K121" s="105">
        <f t="shared" ref="K121:L126" si="61">F121+I121</f>
        <v>27411</v>
      </c>
      <c r="L121" s="124">
        <f t="shared" si="61"/>
        <v>32893.199999999997</v>
      </c>
      <c r="M121" s="131" t="s">
        <v>163</v>
      </c>
    </row>
    <row r="122" spans="1:15" ht="21" customHeight="1" x14ac:dyDescent="0.25">
      <c r="A122" s="144" t="s">
        <v>403</v>
      </c>
      <c r="B122" s="143" t="s">
        <v>404</v>
      </c>
      <c r="C122" s="144" t="s">
        <v>75</v>
      </c>
      <c r="D122" s="236">
        <v>4</v>
      </c>
      <c r="E122" s="32"/>
      <c r="F122" s="127"/>
      <c r="G122" s="127"/>
      <c r="H122" s="32">
        <f>4800/1.2*1.15</f>
        <v>4600</v>
      </c>
      <c r="I122" s="127">
        <f>ROUND(H122*D122,2)</f>
        <v>18400</v>
      </c>
      <c r="J122" s="127">
        <f t="shared" ref="J122:J124" si="62">ROUND(I122*1.2,2)</f>
        <v>22080</v>
      </c>
      <c r="K122" s="129">
        <f t="shared" si="61"/>
        <v>18400</v>
      </c>
      <c r="L122" s="130">
        <f t="shared" si="61"/>
        <v>22080</v>
      </c>
      <c r="M122" s="82" t="s">
        <v>143</v>
      </c>
    </row>
    <row r="123" spans="1:15" ht="21" customHeight="1" x14ac:dyDescent="0.25">
      <c r="A123" s="144" t="s">
        <v>405</v>
      </c>
      <c r="B123" s="143" t="s">
        <v>315</v>
      </c>
      <c r="C123" s="144" t="s">
        <v>75</v>
      </c>
      <c r="D123" s="236">
        <v>8</v>
      </c>
      <c r="E123" s="32"/>
      <c r="F123" s="127"/>
      <c r="G123" s="127"/>
      <c r="H123" s="32">
        <f>100/1.2*1.15</f>
        <v>95.833333333333343</v>
      </c>
      <c r="I123" s="127">
        <f>ROUND(H123*D123,2)</f>
        <v>766.67</v>
      </c>
      <c r="J123" s="127">
        <f t="shared" si="62"/>
        <v>920</v>
      </c>
      <c r="K123" s="129">
        <f t="shared" si="61"/>
        <v>766.67</v>
      </c>
      <c r="L123" s="130">
        <f t="shared" si="61"/>
        <v>920</v>
      </c>
      <c r="M123" s="82" t="s">
        <v>143</v>
      </c>
    </row>
    <row r="124" spans="1:15" ht="30" customHeight="1" x14ac:dyDescent="0.25">
      <c r="A124" s="144" t="s">
        <v>406</v>
      </c>
      <c r="B124" s="143" t="s">
        <v>407</v>
      </c>
      <c r="C124" s="144" t="s">
        <v>75</v>
      </c>
      <c r="D124" s="236">
        <v>4</v>
      </c>
      <c r="E124" s="32"/>
      <c r="F124" s="127"/>
      <c r="G124" s="127"/>
      <c r="H124" s="32">
        <f>3200/1.2*1.15</f>
        <v>3066.666666666667</v>
      </c>
      <c r="I124" s="127">
        <f>ROUND(H124*D124,2)</f>
        <v>12266.67</v>
      </c>
      <c r="J124" s="127">
        <f t="shared" si="62"/>
        <v>14720</v>
      </c>
      <c r="K124" s="129">
        <f t="shared" si="61"/>
        <v>12266.67</v>
      </c>
      <c r="L124" s="130">
        <f t="shared" si="61"/>
        <v>14720</v>
      </c>
      <c r="M124" s="82" t="s">
        <v>143</v>
      </c>
    </row>
    <row r="125" spans="1:15" ht="35.25" customHeight="1" x14ac:dyDescent="0.25">
      <c r="A125" s="98">
        <f>A121+1</f>
        <v>45675</v>
      </c>
      <c r="B125" s="121" t="s">
        <v>408</v>
      </c>
      <c r="C125" s="98" t="s">
        <v>72</v>
      </c>
      <c r="D125" s="264">
        <v>6</v>
      </c>
      <c r="E125" s="123">
        <v>350</v>
      </c>
      <c r="F125" s="103">
        <f t="shared" ref="F125" si="63">ROUND(E125*D125,2)</f>
        <v>2100</v>
      </c>
      <c r="G125" s="103">
        <f t="shared" ref="G125" si="64">ROUND(F125*1.2,2)</f>
        <v>2520</v>
      </c>
      <c r="H125" s="104"/>
      <c r="I125" s="103"/>
      <c r="J125" s="103"/>
      <c r="K125" s="105">
        <f t="shared" si="61"/>
        <v>2100</v>
      </c>
      <c r="L125" s="124">
        <f t="shared" si="61"/>
        <v>2520</v>
      </c>
      <c r="M125" s="131" t="s">
        <v>163</v>
      </c>
    </row>
    <row r="126" spans="1:15" ht="24" customHeight="1" x14ac:dyDescent="0.25">
      <c r="A126" s="144" t="s">
        <v>409</v>
      </c>
      <c r="B126" s="143" t="s">
        <v>410</v>
      </c>
      <c r="C126" s="144" t="s">
        <v>171</v>
      </c>
      <c r="D126" s="265">
        <v>0.5</v>
      </c>
      <c r="E126" s="32"/>
      <c r="F126" s="127"/>
      <c r="G126" s="127"/>
      <c r="H126" s="32">
        <v>3684.31</v>
      </c>
      <c r="I126" s="127">
        <f t="shared" ref="I126" si="65">ROUND(H126*D126,2)</f>
        <v>1842.16</v>
      </c>
      <c r="J126" s="127">
        <f t="shared" ref="J126" si="66">ROUND(I126*1.2,2)</f>
        <v>2210.59</v>
      </c>
      <c r="K126" s="129">
        <f t="shared" si="61"/>
        <v>1842.16</v>
      </c>
      <c r="L126" s="130">
        <f t="shared" si="61"/>
        <v>2210.59</v>
      </c>
      <c r="M126" s="131"/>
    </row>
    <row r="127" spans="1:15" ht="27.75" customHeight="1" x14ac:dyDescent="0.25">
      <c r="A127" s="35"/>
      <c r="B127" s="140" t="s">
        <v>411</v>
      </c>
      <c r="C127" s="35"/>
      <c r="D127" s="37"/>
      <c r="E127" s="38"/>
      <c r="F127" s="39"/>
      <c r="G127" s="39"/>
      <c r="H127" s="40"/>
      <c r="I127" s="39"/>
      <c r="J127" s="39"/>
      <c r="K127" s="41"/>
      <c r="L127" s="42"/>
    </row>
    <row r="128" spans="1:15" ht="21.75" customHeight="1" x14ac:dyDescent="0.25">
      <c r="A128" s="106"/>
      <c r="B128" s="220" t="s">
        <v>197</v>
      </c>
      <c r="C128" s="108"/>
      <c r="D128" s="109"/>
      <c r="E128" s="165"/>
      <c r="F128" s="111"/>
      <c r="G128" s="111"/>
      <c r="H128" s="266"/>
      <c r="I128" s="111"/>
      <c r="J128" s="111"/>
      <c r="K128" s="165"/>
      <c r="L128" s="117"/>
      <c r="M128" s="64"/>
    </row>
    <row r="129" spans="1:13" ht="28.5" customHeight="1" x14ac:dyDescent="0.25">
      <c r="A129" s="100">
        <f>A125+1</f>
        <v>45676</v>
      </c>
      <c r="B129" s="99" t="s">
        <v>412</v>
      </c>
      <c r="C129" s="100" t="s">
        <v>84</v>
      </c>
      <c r="D129" s="267">
        <f>0.2+0.54+1.04+0.18+0.72+0.38+0.18</f>
        <v>3.2399999999999998</v>
      </c>
      <c r="E129" s="911">
        <f>14540/0.84*3.24</f>
        <v>56082.857142857145</v>
      </c>
      <c r="F129" s="911">
        <f>ROUND(E129*1,2)</f>
        <v>56082.86</v>
      </c>
      <c r="G129" s="911">
        <f t="shared" ref="G129:G140" si="67">ROUND(F129*1.2,2)</f>
        <v>67299.429999999993</v>
      </c>
      <c r="H129" s="911"/>
      <c r="I129" s="911"/>
      <c r="J129" s="911"/>
      <c r="K129" s="911">
        <f t="shared" ref="K129:L140" si="68">F129+I129</f>
        <v>56082.86</v>
      </c>
      <c r="L129" s="911">
        <f t="shared" si="68"/>
        <v>67299.429999999993</v>
      </c>
      <c r="M129" s="913" t="s">
        <v>413</v>
      </c>
    </row>
    <row r="130" spans="1:13" ht="21" customHeight="1" x14ac:dyDescent="0.25">
      <c r="A130" s="268" t="s">
        <v>414</v>
      </c>
      <c r="B130" s="99" t="s">
        <v>415</v>
      </c>
      <c r="C130" s="100" t="s">
        <v>75</v>
      </c>
      <c r="D130" s="269">
        <v>2</v>
      </c>
      <c r="E130" s="912"/>
      <c r="F130" s="912"/>
      <c r="G130" s="912"/>
      <c r="H130" s="912"/>
      <c r="I130" s="912"/>
      <c r="J130" s="912"/>
      <c r="K130" s="912"/>
      <c r="L130" s="912"/>
      <c r="M130" s="913"/>
    </row>
    <row r="131" spans="1:13" ht="21" customHeight="1" x14ac:dyDescent="0.25">
      <c r="A131" s="268" t="s">
        <v>416</v>
      </c>
      <c r="B131" s="99" t="s">
        <v>417</v>
      </c>
      <c r="C131" s="100" t="s">
        <v>75</v>
      </c>
      <c r="D131" s="269">
        <v>2</v>
      </c>
      <c r="E131" s="912"/>
      <c r="F131" s="912"/>
      <c r="G131" s="912"/>
      <c r="H131" s="912"/>
      <c r="I131" s="912"/>
      <c r="J131" s="912"/>
      <c r="K131" s="912"/>
      <c r="L131" s="912"/>
      <c r="M131" s="913"/>
    </row>
    <row r="132" spans="1:13" ht="21" customHeight="1" x14ac:dyDescent="0.25">
      <c r="A132" s="268" t="s">
        <v>418</v>
      </c>
      <c r="B132" s="99" t="s">
        <v>419</v>
      </c>
      <c r="C132" s="100" t="s">
        <v>75</v>
      </c>
      <c r="D132" s="269">
        <v>2</v>
      </c>
      <c r="E132" s="912"/>
      <c r="F132" s="912"/>
      <c r="G132" s="912"/>
      <c r="H132" s="912"/>
      <c r="I132" s="912"/>
      <c r="J132" s="912"/>
      <c r="K132" s="912"/>
      <c r="L132" s="912"/>
      <c r="M132" s="913"/>
    </row>
    <row r="133" spans="1:13" ht="21" customHeight="1" x14ac:dyDescent="0.25">
      <c r="A133" s="268" t="s">
        <v>420</v>
      </c>
      <c r="B133" s="99" t="s">
        <v>421</v>
      </c>
      <c r="C133" s="100" t="s">
        <v>75</v>
      </c>
      <c r="D133" s="269">
        <v>1</v>
      </c>
      <c r="E133" s="912"/>
      <c r="F133" s="912"/>
      <c r="G133" s="912"/>
      <c r="H133" s="912"/>
      <c r="I133" s="912"/>
      <c r="J133" s="912"/>
      <c r="K133" s="912"/>
      <c r="L133" s="912"/>
      <c r="M133" s="913"/>
    </row>
    <row r="134" spans="1:13" ht="21" customHeight="1" x14ac:dyDescent="0.25">
      <c r="A134" s="268" t="s">
        <v>422</v>
      </c>
      <c r="B134" s="99" t="s">
        <v>423</v>
      </c>
      <c r="C134" s="100" t="s">
        <v>75</v>
      </c>
      <c r="D134" s="269">
        <v>3</v>
      </c>
      <c r="E134" s="912"/>
      <c r="F134" s="912"/>
      <c r="G134" s="912"/>
      <c r="H134" s="912"/>
      <c r="I134" s="912"/>
      <c r="J134" s="912"/>
      <c r="K134" s="912"/>
      <c r="L134" s="912"/>
      <c r="M134" s="913"/>
    </row>
    <row r="135" spans="1:13" ht="21" customHeight="1" x14ac:dyDescent="0.25">
      <c r="A135" s="268" t="s">
        <v>424</v>
      </c>
      <c r="B135" s="99" t="s">
        <v>425</v>
      </c>
      <c r="C135" s="100" t="s">
        <v>75</v>
      </c>
      <c r="D135" s="269">
        <v>2</v>
      </c>
      <c r="E135" s="912"/>
      <c r="F135" s="912"/>
      <c r="G135" s="912"/>
      <c r="H135" s="912"/>
      <c r="I135" s="912"/>
      <c r="J135" s="912"/>
      <c r="K135" s="912"/>
      <c r="L135" s="912"/>
      <c r="M135" s="913"/>
    </row>
    <row r="136" spans="1:13" ht="21" customHeight="1" x14ac:dyDescent="0.25">
      <c r="A136" s="268" t="s">
        <v>426</v>
      </c>
      <c r="B136" s="99" t="s">
        <v>427</v>
      </c>
      <c r="C136" s="100" t="s">
        <v>75</v>
      </c>
      <c r="D136" s="269">
        <v>3</v>
      </c>
      <c r="E136" s="912"/>
      <c r="F136" s="912"/>
      <c r="G136" s="912"/>
      <c r="H136" s="912"/>
      <c r="I136" s="912"/>
      <c r="J136" s="912"/>
      <c r="K136" s="912"/>
      <c r="L136" s="912"/>
      <c r="M136" s="913"/>
    </row>
    <row r="137" spans="1:13" ht="21" customHeight="1" x14ac:dyDescent="0.25">
      <c r="A137" s="268" t="s">
        <v>428</v>
      </c>
      <c r="B137" s="99" t="s">
        <v>429</v>
      </c>
      <c r="C137" s="100" t="s">
        <v>75</v>
      </c>
      <c r="D137" s="208">
        <v>14</v>
      </c>
      <c r="E137" s="912"/>
      <c r="F137" s="912"/>
      <c r="G137" s="912"/>
      <c r="H137" s="912"/>
      <c r="I137" s="912"/>
      <c r="J137" s="912"/>
      <c r="K137" s="912"/>
      <c r="L137" s="912"/>
      <c r="M137" s="913"/>
    </row>
    <row r="138" spans="1:13" ht="21" customHeight="1" x14ac:dyDescent="0.25">
      <c r="A138" s="17">
        <f>A129+1</f>
        <v>45677</v>
      </c>
      <c r="B138" s="18" t="s">
        <v>430</v>
      </c>
      <c r="C138" s="17" t="s">
        <v>75</v>
      </c>
      <c r="D138" s="270">
        <v>3</v>
      </c>
      <c r="E138" s="271">
        <f>2170.75*0.7</f>
        <v>1519.5249999999999</v>
      </c>
      <c r="F138" s="271">
        <f>ROUND(E138*1,2)</f>
        <v>1519.53</v>
      </c>
      <c r="G138" s="271">
        <f t="shared" ref="G138" si="69">ROUND(F138*1.2,2)</f>
        <v>1823.44</v>
      </c>
      <c r="H138" s="271"/>
      <c r="I138" s="271"/>
      <c r="J138" s="271"/>
      <c r="K138" s="271">
        <f t="shared" ref="K138:L138" si="70">F138+I138</f>
        <v>1519.53</v>
      </c>
      <c r="L138" s="271">
        <f t="shared" si="70"/>
        <v>1823.44</v>
      </c>
      <c r="M138" s="64" t="s">
        <v>431</v>
      </c>
    </row>
    <row r="139" spans="1:13" ht="21" customHeight="1" x14ac:dyDescent="0.25">
      <c r="A139" s="100">
        <f>A138+1</f>
        <v>45678</v>
      </c>
      <c r="B139" s="99" t="s">
        <v>432</v>
      </c>
      <c r="C139" s="100" t="s">
        <v>72</v>
      </c>
      <c r="D139" s="269">
        <v>8</v>
      </c>
      <c r="E139" s="272">
        <f>1853.74*0.5</f>
        <v>926.87</v>
      </c>
      <c r="F139" s="272">
        <f>ROUND(E139*1,2)</f>
        <v>926.87</v>
      </c>
      <c r="G139" s="272">
        <f t="shared" si="67"/>
        <v>1112.24</v>
      </c>
      <c r="H139" s="272"/>
      <c r="I139" s="272"/>
      <c r="J139" s="272"/>
      <c r="K139" s="272">
        <f t="shared" si="68"/>
        <v>926.87</v>
      </c>
      <c r="L139" s="272">
        <f t="shared" si="68"/>
        <v>1112.24</v>
      </c>
      <c r="M139" s="64"/>
    </row>
    <row r="140" spans="1:13" ht="21" customHeight="1" x14ac:dyDescent="0.25">
      <c r="A140" s="17">
        <f t="shared" ref="A140" si="71">A139+1</f>
        <v>45679</v>
      </c>
      <c r="B140" s="18" t="s">
        <v>433</v>
      </c>
      <c r="C140" s="17" t="s">
        <v>72</v>
      </c>
      <c r="D140" s="270">
        <f>4.4+5.6</f>
        <v>10</v>
      </c>
      <c r="E140" s="271">
        <f>1149.5*0.7</f>
        <v>804.65</v>
      </c>
      <c r="F140" s="271">
        <f>ROUND(E140*1,2)</f>
        <v>804.65</v>
      </c>
      <c r="G140" s="271">
        <f t="shared" si="67"/>
        <v>965.58</v>
      </c>
      <c r="H140" s="271"/>
      <c r="I140" s="271"/>
      <c r="J140" s="271"/>
      <c r="K140" s="271">
        <f t="shared" si="68"/>
        <v>804.65</v>
      </c>
      <c r="L140" s="271">
        <f t="shared" si="68"/>
        <v>965.58</v>
      </c>
      <c r="M140" s="64" t="s">
        <v>431</v>
      </c>
    </row>
    <row r="141" spans="1:13" ht="19.5" customHeight="1" x14ac:dyDescent="0.25">
      <c r="A141" s="188"/>
      <c r="B141" s="220" t="s">
        <v>434</v>
      </c>
      <c r="C141" s="108"/>
      <c r="D141" s="201"/>
      <c r="E141" s="273"/>
      <c r="F141" s="274"/>
      <c r="G141" s="274"/>
      <c r="H141" s="275"/>
      <c r="I141" s="274"/>
      <c r="J141" s="274"/>
      <c r="K141" s="275"/>
      <c r="L141" s="274"/>
      <c r="M141" s="24"/>
    </row>
    <row r="142" spans="1:13" ht="30.75" customHeight="1" x14ac:dyDescent="0.25">
      <c r="A142" s="17">
        <f>A140+1</f>
        <v>45680</v>
      </c>
      <c r="B142" s="18" t="s">
        <v>435</v>
      </c>
      <c r="C142" s="17" t="s">
        <v>84</v>
      </c>
      <c r="D142" s="33">
        <f>0.3+0.54+0.52+0.18+0.59+0.2+0.06+0.02+0.08</f>
        <v>2.4900000000000002</v>
      </c>
      <c r="E142" s="23">
        <v>17265.68</v>
      </c>
      <c r="F142" s="96">
        <f t="shared" ref="F142" si="72">ROUND(E142*D142,2)</f>
        <v>42991.54</v>
      </c>
      <c r="G142" s="96">
        <f t="shared" ref="G142" si="73">ROUND(F142*1.2,2)</f>
        <v>51589.85</v>
      </c>
      <c r="H142" s="276"/>
      <c r="I142" s="96"/>
      <c r="J142" s="96"/>
      <c r="K142" s="23">
        <f t="shared" ref="K142:L158" si="74">F142+I142</f>
        <v>42991.54</v>
      </c>
      <c r="L142" s="21">
        <f t="shared" si="74"/>
        <v>51589.85</v>
      </c>
      <c r="M142" s="6"/>
    </row>
    <row r="143" spans="1:13" ht="18.75" customHeight="1" x14ac:dyDescent="0.25">
      <c r="A143" s="25" t="s">
        <v>436</v>
      </c>
      <c r="B143" s="277" t="s">
        <v>437</v>
      </c>
      <c r="C143" s="27" t="s">
        <v>75</v>
      </c>
      <c r="D143" s="28">
        <v>2</v>
      </c>
      <c r="E143" s="32"/>
      <c r="F143" s="127"/>
      <c r="G143" s="127"/>
      <c r="H143" s="278">
        <v>1427.85</v>
      </c>
      <c r="I143" s="127">
        <f t="shared" ref="I143:I152" si="75">ROUND(H143*D143,2)</f>
        <v>2855.7</v>
      </c>
      <c r="J143" s="127">
        <f t="shared" ref="J143:J152" si="76">ROUND(I143*1.2,2)</f>
        <v>3426.84</v>
      </c>
      <c r="K143" s="129">
        <f t="shared" si="74"/>
        <v>2855.7</v>
      </c>
      <c r="L143" s="127">
        <f t="shared" si="74"/>
        <v>3426.84</v>
      </c>
      <c r="M143" s="131"/>
    </row>
    <row r="144" spans="1:13" ht="18.75" customHeight="1" x14ac:dyDescent="0.25">
      <c r="A144" s="25" t="s">
        <v>438</v>
      </c>
      <c r="B144" s="277" t="s">
        <v>439</v>
      </c>
      <c r="C144" s="27" t="s">
        <v>75</v>
      </c>
      <c r="D144" s="28">
        <v>2</v>
      </c>
      <c r="E144" s="32"/>
      <c r="F144" s="127"/>
      <c r="G144" s="127"/>
      <c r="H144" s="278">
        <v>4075.5</v>
      </c>
      <c r="I144" s="127">
        <f t="shared" si="75"/>
        <v>8151</v>
      </c>
      <c r="J144" s="127">
        <f t="shared" si="76"/>
        <v>9781.2000000000007</v>
      </c>
      <c r="K144" s="129">
        <f t="shared" si="74"/>
        <v>8151</v>
      </c>
      <c r="L144" s="127">
        <f t="shared" si="74"/>
        <v>9781.2000000000007</v>
      </c>
      <c r="M144" s="131"/>
    </row>
    <row r="145" spans="1:15" ht="18.75" customHeight="1" x14ac:dyDescent="0.25">
      <c r="A145" s="25" t="s">
        <v>440</v>
      </c>
      <c r="B145" s="277" t="s">
        <v>441</v>
      </c>
      <c r="C145" s="27" t="s">
        <v>75</v>
      </c>
      <c r="D145" s="28">
        <v>1</v>
      </c>
      <c r="E145" s="32"/>
      <c r="F145" s="127"/>
      <c r="G145" s="127"/>
      <c r="H145" s="278">
        <v>10815.75</v>
      </c>
      <c r="I145" s="127">
        <f t="shared" si="75"/>
        <v>10815.75</v>
      </c>
      <c r="J145" s="127">
        <f t="shared" si="76"/>
        <v>12978.9</v>
      </c>
      <c r="K145" s="129">
        <f t="shared" si="74"/>
        <v>10815.75</v>
      </c>
      <c r="L145" s="127">
        <f t="shared" si="74"/>
        <v>12978.9</v>
      </c>
      <c r="M145" s="131"/>
    </row>
    <row r="146" spans="1:15" ht="18.75" customHeight="1" x14ac:dyDescent="0.25">
      <c r="A146" s="25" t="s">
        <v>442</v>
      </c>
      <c r="B146" s="277" t="s">
        <v>443</v>
      </c>
      <c r="C146" s="27" t="s">
        <v>75</v>
      </c>
      <c r="D146" s="28">
        <v>1</v>
      </c>
      <c r="E146" s="29"/>
      <c r="F146" s="127"/>
      <c r="G146" s="127"/>
      <c r="H146" s="278">
        <v>1657.75</v>
      </c>
      <c r="I146" s="127">
        <f t="shared" si="75"/>
        <v>1657.75</v>
      </c>
      <c r="J146" s="127">
        <f t="shared" si="76"/>
        <v>1989.3</v>
      </c>
      <c r="K146" s="129">
        <f t="shared" si="74"/>
        <v>1657.75</v>
      </c>
      <c r="L146" s="127">
        <f t="shared" si="74"/>
        <v>1989.3</v>
      </c>
      <c r="M146" s="131"/>
    </row>
    <row r="147" spans="1:15" ht="18.75" customHeight="1" x14ac:dyDescent="0.25">
      <c r="A147" s="25" t="s">
        <v>444</v>
      </c>
      <c r="B147" s="277" t="s">
        <v>445</v>
      </c>
      <c r="C147" s="27" t="s">
        <v>75</v>
      </c>
      <c r="D147" s="196">
        <v>1</v>
      </c>
      <c r="E147" s="32"/>
      <c r="F147" s="127"/>
      <c r="G147" s="127"/>
      <c r="H147" s="278">
        <v>10215.35</v>
      </c>
      <c r="I147" s="127">
        <f>ROUND(H147*D147,2)</f>
        <v>10215.35</v>
      </c>
      <c r="J147" s="127">
        <f>ROUND(I147*1.2,2)</f>
        <v>12258.42</v>
      </c>
      <c r="K147" s="129">
        <f t="shared" si="74"/>
        <v>10215.35</v>
      </c>
      <c r="L147" s="127">
        <f t="shared" si="74"/>
        <v>12258.42</v>
      </c>
      <c r="M147" s="131"/>
    </row>
    <row r="148" spans="1:15" ht="18.75" customHeight="1" x14ac:dyDescent="0.25">
      <c r="A148" s="25" t="s">
        <v>446</v>
      </c>
      <c r="B148" s="277" t="s">
        <v>447</v>
      </c>
      <c r="C148" s="27" t="s">
        <v>75</v>
      </c>
      <c r="D148" s="28">
        <v>2</v>
      </c>
      <c r="E148" s="32"/>
      <c r="F148" s="127"/>
      <c r="G148" s="127"/>
      <c r="H148" s="279">
        <v>3136</v>
      </c>
      <c r="I148" s="127">
        <f t="shared" si="75"/>
        <v>6272</v>
      </c>
      <c r="J148" s="127">
        <f t="shared" si="76"/>
        <v>7526.4</v>
      </c>
      <c r="K148" s="129">
        <f t="shared" si="74"/>
        <v>6272</v>
      </c>
      <c r="L148" s="127">
        <f t="shared" si="74"/>
        <v>7526.4</v>
      </c>
      <c r="M148" s="131" t="s">
        <v>143</v>
      </c>
    </row>
    <row r="149" spans="1:15" ht="18.75" customHeight="1" x14ac:dyDescent="0.25">
      <c r="A149" s="25" t="s">
        <v>448</v>
      </c>
      <c r="B149" s="277" t="s">
        <v>449</v>
      </c>
      <c r="C149" s="27" t="s">
        <v>75</v>
      </c>
      <c r="D149" s="28">
        <v>1</v>
      </c>
      <c r="E149" s="32"/>
      <c r="F149" s="127"/>
      <c r="G149" s="127"/>
      <c r="H149" s="279">
        <v>1379.4</v>
      </c>
      <c r="I149" s="127">
        <f t="shared" si="75"/>
        <v>1379.4</v>
      </c>
      <c r="J149" s="127">
        <f t="shared" si="76"/>
        <v>1655.28</v>
      </c>
      <c r="K149" s="129">
        <f t="shared" si="74"/>
        <v>1379.4</v>
      </c>
      <c r="L149" s="127">
        <f t="shared" si="74"/>
        <v>1655.28</v>
      </c>
      <c r="M149" s="131"/>
    </row>
    <row r="150" spans="1:15" ht="18.75" customHeight="1" x14ac:dyDescent="0.25">
      <c r="A150" s="25" t="s">
        <v>450</v>
      </c>
      <c r="B150" s="277" t="s">
        <v>451</v>
      </c>
      <c r="C150" s="27" t="s">
        <v>75</v>
      </c>
      <c r="D150" s="28">
        <v>1</v>
      </c>
      <c r="E150" s="32"/>
      <c r="F150" s="127"/>
      <c r="G150" s="127"/>
      <c r="H150" s="279">
        <v>754.45</v>
      </c>
      <c r="I150" s="127">
        <f t="shared" si="75"/>
        <v>754.45</v>
      </c>
      <c r="J150" s="127">
        <f t="shared" si="76"/>
        <v>905.34</v>
      </c>
      <c r="K150" s="129">
        <f t="shared" si="74"/>
        <v>754.45</v>
      </c>
      <c r="L150" s="127">
        <f t="shared" si="74"/>
        <v>905.34</v>
      </c>
      <c r="M150" s="131"/>
    </row>
    <row r="151" spans="1:15" ht="18.75" customHeight="1" x14ac:dyDescent="0.25">
      <c r="A151" s="25" t="s">
        <v>452</v>
      </c>
      <c r="B151" s="277" t="s">
        <v>453</v>
      </c>
      <c r="C151" s="27" t="s">
        <v>75</v>
      </c>
      <c r="D151" s="28">
        <v>4</v>
      </c>
      <c r="E151" s="32"/>
      <c r="F151" s="127"/>
      <c r="G151" s="127"/>
      <c r="H151" s="279">
        <v>3400</v>
      </c>
      <c r="I151" s="127">
        <f t="shared" si="75"/>
        <v>13600</v>
      </c>
      <c r="J151" s="127">
        <f t="shared" si="76"/>
        <v>16320</v>
      </c>
      <c r="K151" s="129">
        <f t="shared" si="74"/>
        <v>13600</v>
      </c>
      <c r="L151" s="127">
        <f t="shared" si="74"/>
        <v>16320</v>
      </c>
      <c r="M151" s="131" t="s">
        <v>143</v>
      </c>
    </row>
    <row r="152" spans="1:15" ht="18.75" customHeight="1" x14ac:dyDescent="0.25">
      <c r="A152" s="25" t="s">
        <v>454</v>
      </c>
      <c r="B152" s="277" t="s">
        <v>455</v>
      </c>
      <c r="C152" s="27" t="s">
        <v>75</v>
      </c>
      <c r="D152" s="28">
        <v>3</v>
      </c>
      <c r="E152" s="32"/>
      <c r="F152" s="127"/>
      <c r="G152" s="127"/>
      <c r="H152" s="278">
        <v>14421</v>
      </c>
      <c r="I152" s="127">
        <f t="shared" si="75"/>
        <v>43263</v>
      </c>
      <c r="J152" s="127">
        <f t="shared" si="76"/>
        <v>51915.6</v>
      </c>
      <c r="K152" s="129">
        <f t="shared" si="74"/>
        <v>43263</v>
      </c>
      <c r="L152" s="127">
        <f t="shared" si="74"/>
        <v>51915.6</v>
      </c>
      <c r="M152" s="131"/>
    </row>
    <row r="153" spans="1:15" ht="18" customHeight="1" x14ac:dyDescent="0.25">
      <c r="A153" s="94">
        <f>A142+1</f>
        <v>45681</v>
      </c>
      <c r="B153" s="132" t="s">
        <v>456</v>
      </c>
      <c r="C153" s="94" t="s">
        <v>84</v>
      </c>
      <c r="D153" s="280">
        <v>0.55000000000000004</v>
      </c>
      <c r="E153" s="23">
        <v>6459.05</v>
      </c>
      <c r="F153" s="96">
        <f t="shared" ref="F153" si="77">ROUND(E153*D153,2)</f>
        <v>3552.48</v>
      </c>
      <c r="G153" s="96">
        <f t="shared" ref="G153" si="78">ROUND(F153*1.2,2)</f>
        <v>4262.9799999999996</v>
      </c>
      <c r="H153" s="20"/>
      <c r="I153" s="96"/>
      <c r="J153" s="96"/>
      <c r="K153" s="97">
        <f t="shared" si="74"/>
        <v>3552.48</v>
      </c>
      <c r="L153" s="134">
        <f t="shared" si="74"/>
        <v>4262.9799999999996</v>
      </c>
    </row>
    <row r="154" spans="1:15" ht="18" customHeight="1" x14ac:dyDescent="0.25">
      <c r="A154" s="144" t="s">
        <v>457</v>
      </c>
      <c r="B154" s="143" t="s">
        <v>458</v>
      </c>
      <c r="C154" s="144" t="s">
        <v>75</v>
      </c>
      <c r="D154" s="281">
        <f>453*D153</f>
        <v>249.15000000000003</v>
      </c>
      <c r="E154" s="32"/>
      <c r="F154" s="127"/>
      <c r="G154" s="127"/>
      <c r="H154" s="32">
        <v>24</v>
      </c>
      <c r="I154" s="127">
        <f>ROUND(H154*D154,2)</f>
        <v>5979.6</v>
      </c>
      <c r="J154" s="127">
        <f t="shared" ref="J154" si="79">ROUND(I154*1.2,2)</f>
        <v>7175.52</v>
      </c>
      <c r="K154" s="129">
        <f t="shared" si="74"/>
        <v>5979.6</v>
      </c>
      <c r="L154" s="130">
        <f t="shared" si="74"/>
        <v>7175.52</v>
      </c>
    </row>
    <row r="155" spans="1:15" ht="27.75" customHeight="1" x14ac:dyDescent="0.25">
      <c r="A155" s="17">
        <f>A153+1</f>
        <v>45682</v>
      </c>
      <c r="B155" s="18" t="s">
        <v>459</v>
      </c>
      <c r="C155" s="17" t="s">
        <v>77</v>
      </c>
      <c r="D155" s="282">
        <v>21.385000000000002</v>
      </c>
      <c r="E155" s="23">
        <v>144.4</v>
      </c>
      <c r="F155" s="96">
        <f>ROUND(E155*D155,2)</f>
        <v>3087.99</v>
      </c>
      <c r="G155" s="96">
        <f t="shared" ref="G155" si="80">ROUND(F155*1.2,2)</f>
        <v>3705.59</v>
      </c>
      <c r="H155" s="23"/>
      <c r="I155" s="96"/>
      <c r="J155" s="96"/>
      <c r="K155" s="23">
        <f t="shared" si="74"/>
        <v>3087.99</v>
      </c>
      <c r="L155" s="21">
        <f t="shared" si="74"/>
        <v>3705.59</v>
      </c>
      <c r="M155" s="64"/>
    </row>
    <row r="156" spans="1:15" ht="17.25" customHeight="1" x14ac:dyDescent="0.25">
      <c r="A156" s="25" t="s">
        <v>460</v>
      </c>
      <c r="B156" s="277" t="s">
        <v>461</v>
      </c>
      <c r="C156" s="27" t="s">
        <v>462</v>
      </c>
      <c r="D156" s="283">
        <f>D155*0.3*20/16</f>
        <v>8.0193750000000001</v>
      </c>
      <c r="E156" s="32"/>
      <c r="F156" s="127"/>
      <c r="G156" s="127"/>
      <c r="H156" s="278">
        <v>237.5</v>
      </c>
      <c r="I156" s="127">
        <f>ROUND(H156*D156,2)</f>
        <v>1904.6</v>
      </c>
      <c r="J156" s="127">
        <f t="shared" ref="J156" si="81">ROUND(I156*1.2,2)</f>
        <v>2285.52</v>
      </c>
      <c r="K156" s="129">
        <f t="shared" si="74"/>
        <v>1904.6</v>
      </c>
      <c r="L156" s="127">
        <f t="shared" si="74"/>
        <v>2285.52</v>
      </c>
      <c r="M156" s="64"/>
    </row>
    <row r="157" spans="1:15" ht="28.5" customHeight="1" x14ac:dyDescent="0.25">
      <c r="A157" s="17">
        <f>A155+1</f>
        <v>45683</v>
      </c>
      <c r="B157" s="18" t="s">
        <v>463</v>
      </c>
      <c r="C157" s="17" t="s">
        <v>77</v>
      </c>
      <c r="D157" s="282">
        <v>21.385000000000002</v>
      </c>
      <c r="E157" s="23">
        <v>299.76</v>
      </c>
      <c r="F157" s="96">
        <f>ROUND(E157*D157,2)</f>
        <v>6410.37</v>
      </c>
      <c r="G157" s="96">
        <f t="shared" ref="G157" si="82">ROUND(F157*1.2,2)</f>
        <v>7692.44</v>
      </c>
      <c r="H157" s="23"/>
      <c r="I157" s="96"/>
      <c r="J157" s="96"/>
      <c r="K157" s="23">
        <f t="shared" si="74"/>
        <v>6410.37</v>
      </c>
      <c r="L157" s="21">
        <f t="shared" si="74"/>
        <v>7692.44</v>
      </c>
      <c r="M157" s="64"/>
    </row>
    <row r="158" spans="1:15" x14ac:dyDescent="0.25">
      <c r="A158" s="25" t="s">
        <v>464</v>
      </c>
      <c r="B158" s="277" t="s">
        <v>465</v>
      </c>
      <c r="C158" s="27" t="s">
        <v>171</v>
      </c>
      <c r="D158" s="34">
        <f>D157*2.5*2</f>
        <v>106.92500000000001</v>
      </c>
      <c r="E158" s="32"/>
      <c r="F158" s="127"/>
      <c r="G158" s="127"/>
      <c r="H158" s="278">
        <v>296.39999999999998</v>
      </c>
      <c r="I158" s="127">
        <f t="shared" ref="I158" si="83">ROUND(H158*D158,2)</f>
        <v>31692.57</v>
      </c>
      <c r="J158" s="127">
        <f t="shared" ref="J158" si="84">ROUND(I158*1.2,2)</f>
        <v>38031.08</v>
      </c>
      <c r="K158" s="32">
        <f t="shared" si="74"/>
        <v>31692.57</v>
      </c>
      <c r="L158" s="30">
        <f t="shared" si="74"/>
        <v>38031.08</v>
      </c>
      <c r="M158" s="64"/>
    </row>
    <row r="159" spans="1:15" ht="18" customHeight="1" x14ac:dyDescent="0.25">
      <c r="A159" s="219"/>
      <c r="B159" s="255" t="s">
        <v>134</v>
      </c>
      <c r="C159" s="219"/>
      <c r="D159" s="256"/>
      <c r="E159" s="257"/>
      <c r="F159" s="258"/>
      <c r="G159" s="258"/>
      <c r="H159" s="259"/>
      <c r="I159" s="258"/>
      <c r="J159" s="258"/>
      <c r="K159" s="260"/>
      <c r="L159" s="261"/>
    </row>
    <row r="160" spans="1:15" s="159" customFormat="1" ht="18" customHeight="1" x14ac:dyDescent="0.25">
      <c r="A160" s="151">
        <f>A157+1</f>
        <v>45684</v>
      </c>
      <c r="B160" s="132" t="s">
        <v>135</v>
      </c>
      <c r="C160" s="94" t="s">
        <v>80</v>
      </c>
      <c r="D160" s="284">
        <v>9.65</v>
      </c>
      <c r="E160" s="763">
        <v>431.37</v>
      </c>
      <c r="F160" s="96">
        <f t="shared" ref="F160" si="85">ROUND(E160*D160,2)</f>
        <v>4162.72</v>
      </c>
      <c r="G160" s="96">
        <f t="shared" ref="G160" si="86">ROUND(F160*1.2,2)</f>
        <v>4995.26</v>
      </c>
      <c r="H160" s="20"/>
      <c r="I160" s="96"/>
      <c r="J160" s="96"/>
      <c r="K160" s="97">
        <f t="shared" ref="K160:L160" si="87">F160+I160</f>
        <v>4162.72</v>
      </c>
      <c r="L160" s="134">
        <f t="shared" si="87"/>
        <v>4995.26</v>
      </c>
      <c r="M160" s="160" t="s">
        <v>136</v>
      </c>
      <c r="N160" s="818" t="s">
        <v>1243</v>
      </c>
      <c r="O160" s="827">
        <f>L160-D160*СВОД!$P$2*1.2</f>
        <v>1419.9350000000004</v>
      </c>
    </row>
    <row r="161" spans="1:15" ht="21.75" customHeight="1" x14ac:dyDescent="0.25">
      <c r="A161" s="862" t="s">
        <v>121</v>
      </c>
      <c r="B161" s="863"/>
      <c r="C161" s="863"/>
      <c r="D161" s="863"/>
      <c r="E161" s="864"/>
      <c r="F161" s="147">
        <f>SUM(F8:F160)</f>
        <v>28428730.090000004</v>
      </c>
      <c r="G161" s="148">
        <f>ROUND(F161*1.2,2)</f>
        <v>34114476.109999999</v>
      </c>
      <c r="H161" s="149"/>
      <c r="I161" s="147">
        <f>SUM(I8:I160)</f>
        <v>29857662.54000001</v>
      </c>
      <c r="J161" s="148">
        <f>ROUND(I161*1.2,2)</f>
        <v>35829195.049999997</v>
      </c>
      <c r="K161" s="147">
        <f>SUM(K8:K160)</f>
        <v>58286392.629999988</v>
      </c>
      <c r="L161" s="148">
        <f>ROUND(K161*1.2,2)</f>
        <v>69943671.159999996</v>
      </c>
    </row>
    <row r="163" spans="1:15" x14ac:dyDescent="0.25">
      <c r="B163" s="86" t="s">
        <v>122</v>
      </c>
    </row>
    <row r="164" spans="1:15" x14ac:dyDescent="0.25">
      <c r="B164" s="88" t="s">
        <v>123</v>
      </c>
      <c r="O164" s="777">
        <f>SUM(O15:O160)</f>
        <v>3036616.96</v>
      </c>
    </row>
  </sheetData>
  <mergeCells count="19">
    <mergeCell ref="J129:J137"/>
    <mergeCell ref="K129:K137"/>
    <mergeCell ref="L129:L137"/>
    <mergeCell ref="M129:M137"/>
    <mergeCell ref="A161:E161"/>
    <mergeCell ref="I129:I137"/>
    <mergeCell ref="B6:D6"/>
    <mergeCell ref="E129:E137"/>
    <mergeCell ref="F129:F137"/>
    <mergeCell ref="G129:G137"/>
    <mergeCell ref="H129:H13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71248-454E-4F5E-A103-53079CB845B8}">
  <sheetPr>
    <tabColor rgb="FFFFFF00"/>
  </sheetPr>
  <dimension ref="A1:R53"/>
  <sheetViews>
    <sheetView view="pageBreakPreview" zoomScale="85" zoomScaleNormal="100" zoomScaleSheetLayoutView="85" workbookViewId="0">
      <selection activeCell="B20" sqref="B20"/>
    </sheetView>
  </sheetViews>
  <sheetFormatPr defaultColWidth="8.85546875" defaultRowHeight="15" x14ac:dyDescent="0.25"/>
  <cols>
    <col min="1" max="1" width="8.85546875" style="44"/>
    <col min="2" max="2" width="65.140625" style="44" customWidth="1"/>
    <col min="3" max="3" width="9.28515625" style="44" customWidth="1"/>
    <col min="4" max="4" width="11" style="44" bestFit="1" customWidth="1"/>
    <col min="5" max="5" width="15.140625" style="44" customWidth="1"/>
    <col min="6" max="6" width="16" style="44" customWidth="1"/>
    <col min="7" max="7" width="17.140625" style="150" customWidth="1"/>
    <col min="8" max="8" width="16.140625" style="150" customWidth="1"/>
    <col min="9" max="12" width="16.140625" style="44" customWidth="1"/>
    <col min="13" max="13" width="52.42578125" style="44" customWidth="1"/>
    <col min="14" max="14" width="44.85546875" style="44" customWidth="1"/>
    <col min="15" max="15" width="34.5703125" style="44" customWidth="1"/>
    <col min="16" max="17" width="8.85546875" style="44"/>
    <col min="18" max="18" width="24.7109375" style="44" customWidth="1"/>
    <col min="19" max="16384" width="8.85546875" style="44"/>
  </cols>
  <sheetData>
    <row r="1" spans="1:15" ht="14.45" customHeight="1" x14ac:dyDescent="0.25">
      <c r="A1" s="883" t="s">
        <v>26</v>
      </c>
      <c r="B1" s="886" t="s">
        <v>57</v>
      </c>
      <c r="C1" s="889" t="s">
        <v>58</v>
      </c>
      <c r="D1" s="889" t="s">
        <v>59</v>
      </c>
      <c r="E1" s="890" t="s">
        <v>60</v>
      </c>
      <c r="F1" s="891"/>
      <c r="G1" s="891"/>
      <c r="H1" s="891"/>
      <c r="I1" s="891"/>
      <c r="J1" s="891"/>
      <c r="K1" s="891"/>
      <c r="L1" s="891"/>
    </row>
    <row r="2" spans="1:15" ht="14.45" customHeight="1" x14ac:dyDescent="0.25">
      <c r="A2" s="884"/>
      <c r="B2" s="887"/>
      <c r="C2" s="889"/>
      <c r="D2" s="889"/>
      <c r="E2" s="892"/>
      <c r="F2" s="893"/>
      <c r="G2" s="893"/>
      <c r="H2" s="893"/>
      <c r="I2" s="893"/>
      <c r="J2" s="893"/>
      <c r="K2" s="893"/>
      <c r="L2" s="893"/>
    </row>
    <row r="3" spans="1:15" ht="27.75" customHeight="1" x14ac:dyDescent="0.25">
      <c r="A3" s="884"/>
      <c r="B3" s="887"/>
      <c r="C3" s="889"/>
      <c r="D3" s="889"/>
      <c r="E3" s="889" t="s">
        <v>61</v>
      </c>
      <c r="F3" s="889"/>
      <c r="G3" s="889"/>
      <c r="H3" s="889" t="s">
        <v>62</v>
      </c>
      <c r="I3" s="889"/>
      <c r="J3" s="889"/>
      <c r="K3" s="910" t="s">
        <v>63</v>
      </c>
      <c r="L3" s="910"/>
    </row>
    <row r="4" spans="1:15" ht="56.1" customHeight="1" x14ac:dyDescent="0.25">
      <c r="A4" s="885"/>
      <c r="B4" s="888"/>
      <c r="C4" s="889"/>
      <c r="D4" s="889"/>
      <c r="E4" s="7" t="s">
        <v>64</v>
      </c>
      <c r="F4" s="7" t="s">
        <v>65</v>
      </c>
      <c r="G4" s="89" t="s">
        <v>66</v>
      </c>
      <c r="H4" s="7" t="s">
        <v>64</v>
      </c>
      <c r="I4" s="7" t="s">
        <v>65</v>
      </c>
      <c r="J4" s="89" t="s">
        <v>66</v>
      </c>
      <c r="K4" s="7" t="s">
        <v>67</v>
      </c>
      <c r="L4" s="90" t="s">
        <v>68</v>
      </c>
    </row>
    <row r="5" spans="1: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44"/>
    </row>
    <row r="6" spans="1:15" ht="20.25" customHeight="1" x14ac:dyDescent="0.25">
      <c r="A6" s="11"/>
      <c r="B6" s="880" t="s">
        <v>127</v>
      </c>
      <c r="C6" s="881"/>
      <c r="D6" s="881"/>
      <c r="E6" s="12"/>
      <c r="F6" s="13"/>
      <c r="G6" s="14"/>
      <c r="H6" s="14"/>
      <c r="I6" s="14"/>
      <c r="J6" s="14"/>
      <c r="K6" s="14"/>
      <c r="L6" s="91"/>
    </row>
    <row r="7" spans="1:15" ht="18" customHeight="1" x14ac:dyDescent="0.25">
      <c r="A7" s="35"/>
      <c r="B7" s="92" t="s">
        <v>128</v>
      </c>
      <c r="C7" s="35"/>
      <c r="D7" s="93"/>
      <c r="E7" s="38"/>
      <c r="F7" s="39"/>
      <c r="G7" s="39"/>
      <c r="H7" s="40"/>
      <c r="I7" s="39"/>
      <c r="J7" s="39"/>
      <c r="K7" s="41"/>
      <c r="L7" s="42"/>
      <c r="M7" s="6"/>
    </row>
    <row r="8" spans="1:15" ht="22.5" customHeight="1" x14ac:dyDescent="0.25">
      <c r="A8" s="94">
        <v>1</v>
      </c>
      <c r="B8" s="18" t="s">
        <v>129</v>
      </c>
      <c r="C8" s="95" t="s">
        <v>75</v>
      </c>
      <c r="D8" s="19">
        <v>84</v>
      </c>
      <c r="E8" s="21">
        <v>1055.02</v>
      </c>
      <c r="F8" s="96">
        <v>88621.68</v>
      </c>
      <c r="G8" s="96">
        <v>106346.02</v>
      </c>
      <c r="H8" s="20"/>
      <c r="I8" s="96"/>
      <c r="J8" s="96"/>
      <c r="K8" s="97">
        <v>88621.68</v>
      </c>
      <c r="L8" s="96">
        <v>106346.02</v>
      </c>
      <c r="M8" s="64"/>
    </row>
    <row r="9" spans="1:15" ht="22.5" customHeight="1" x14ac:dyDescent="0.25">
      <c r="A9" s="98">
        <v>2</v>
      </c>
      <c r="B9" s="99" t="s">
        <v>130</v>
      </c>
      <c r="C9" s="100" t="s">
        <v>72</v>
      </c>
      <c r="D9" s="101">
        <v>37.32</v>
      </c>
      <c r="E9" s="102">
        <v>3500</v>
      </c>
      <c r="F9" s="103">
        <v>130620</v>
      </c>
      <c r="G9" s="103">
        <v>156744</v>
      </c>
      <c r="H9" s="104"/>
      <c r="I9" s="103"/>
      <c r="J9" s="103"/>
      <c r="K9" s="105">
        <v>130620</v>
      </c>
      <c r="L9" s="103">
        <v>156744</v>
      </c>
      <c r="M9" s="68" t="s">
        <v>131</v>
      </c>
    </row>
    <row r="10" spans="1:15" ht="22.5" customHeight="1" x14ac:dyDescent="0.25">
      <c r="A10" s="94">
        <v>3</v>
      </c>
      <c r="B10" s="18" t="s">
        <v>132</v>
      </c>
      <c r="C10" s="17" t="s">
        <v>84</v>
      </c>
      <c r="D10" s="33">
        <v>266.74</v>
      </c>
      <c r="E10" s="21">
        <v>4380.38</v>
      </c>
      <c r="F10" s="96">
        <v>1168422.56</v>
      </c>
      <c r="G10" s="96">
        <v>1402107.07</v>
      </c>
      <c r="H10" s="20"/>
      <c r="I10" s="96"/>
      <c r="J10" s="96"/>
      <c r="K10" s="97">
        <v>1168422.56</v>
      </c>
      <c r="L10" s="96">
        <v>1402107.07</v>
      </c>
      <c r="M10" s="64"/>
    </row>
    <row r="11" spans="1:15" ht="22.5" customHeight="1" x14ac:dyDescent="0.25">
      <c r="A11" s="94">
        <v>4</v>
      </c>
      <c r="B11" s="18" t="s">
        <v>133</v>
      </c>
      <c r="C11" s="17" t="s">
        <v>84</v>
      </c>
      <c r="D11" s="33">
        <v>421.17</v>
      </c>
      <c r="E11" s="23">
        <v>304</v>
      </c>
      <c r="F11" s="96">
        <v>128035.68</v>
      </c>
      <c r="G11" s="96">
        <v>153642.82</v>
      </c>
      <c r="H11" s="96"/>
      <c r="I11" s="96"/>
      <c r="J11" s="96"/>
      <c r="K11" s="97">
        <v>128035.68</v>
      </c>
      <c r="L11" s="96">
        <v>153642.82</v>
      </c>
      <c r="M11" s="64"/>
    </row>
    <row r="12" spans="1:15" ht="20.25" customHeight="1" x14ac:dyDescent="0.25">
      <c r="A12" s="106"/>
      <c r="B12" s="107" t="s">
        <v>134</v>
      </c>
      <c r="C12" s="108"/>
      <c r="D12" s="109"/>
      <c r="E12" s="110"/>
      <c r="F12" s="111"/>
      <c r="G12" s="111"/>
      <c r="H12" s="111"/>
      <c r="I12" s="111"/>
      <c r="J12" s="111"/>
      <c r="K12" s="112"/>
      <c r="L12" s="111"/>
      <c r="M12" s="64"/>
    </row>
    <row r="13" spans="1:15" s="159" customFormat="1" ht="24" customHeight="1" x14ac:dyDescent="0.25">
      <c r="A13" s="151">
        <v>5</v>
      </c>
      <c r="B13" s="113" t="s">
        <v>135</v>
      </c>
      <c r="C13" s="17" t="s">
        <v>80</v>
      </c>
      <c r="D13" s="33">
        <v>1078.1400000000001</v>
      </c>
      <c r="E13" s="763">
        <v>431.37</v>
      </c>
      <c r="F13" s="96">
        <v>465077.25</v>
      </c>
      <c r="G13" s="96">
        <v>558092.69999999995</v>
      </c>
      <c r="H13" s="20"/>
      <c r="I13" s="96"/>
      <c r="J13" s="96"/>
      <c r="K13" s="97">
        <v>465077.25</v>
      </c>
      <c r="L13" s="763">
        <v>558092.69999999995</v>
      </c>
      <c r="M13" s="788" t="s">
        <v>136</v>
      </c>
      <c r="N13" s="808"/>
      <c r="O13" s="827">
        <f>L13-D13*СВОД!$P$2*1.2</f>
        <v>158641.8299999999</v>
      </c>
    </row>
    <row r="14" spans="1:15" ht="20.25" customHeight="1" x14ac:dyDescent="0.25">
      <c r="A14" s="35"/>
      <c r="B14" s="92" t="s">
        <v>137</v>
      </c>
      <c r="C14" s="35"/>
      <c r="D14" s="93"/>
      <c r="E14" s="38"/>
      <c r="F14" s="39"/>
      <c r="G14" s="39"/>
      <c r="H14" s="40"/>
      <c r="I14" s="39"/>
      <c r="J14" s="39"/>
      <c r="K14" s="41"/>
      <c r="L14" s="42"/>
      <c r="M14" s="6"/>
    </row>
    <row r="15" spans="1:15" ht="24" customHeight="1" x14ac:dyDescent="0.25">
      <c r="A15" s="94">
        <v>6</v>
      </c>
      <c r="B15" s="18" t="s">
        <v>83</v>
      </c>
      <c r="C15" s="17" t="s">
        <v>84</v>
      </c>
      <c r="D15" s="33">
        <v>1506.74</v>
      </c>
      <c r="E15" s="23">
        <v>308.75</v>
      </c>
      <c r="F15" s="96">
        <v>465205.98</v>
      </c>
      <c r="G15" s="96">
        <v>558247.18000000005</v>
      </c>
      <c r="H15" s="114"/>
      <c r="I15" s="115"/>
      <c r="J15" s="115"/>
      <c r="K15" s="23">
        <v>465205.98</v>
      </c>
      <c r="L15" s="21">
        <v>558247.18000000005</v>
      </c>
      <c r="M15" s="6"/>
    </row>
    <row r="16" spans="1:15" ht="24" customHeight="1" x14ac:dyDescent="0.25">
      <c r="A16" s="94">
        <v>7</v>
      </c>
      <c r="B16" s="18" t="s">
        <v>138</v>
      </c>
      <c r="C16" s="17" t="s">
        <v>84</v>
      </c>
      <c r="D16" s="33">
        <v>18.98</v>
      </c>
      <c r="E16" s="23">
        <v>1688.15</v>
      </c>
      <c r="F16" s="96">
        <v>32041.09</v>
      </c>
      <c r="G16" s="96">
        <v>38449.31</v>
      </c>
      <c r="H16" s="114"/>
      <c r="I16" s="115"/>
      <c r="J16" s="115"/>
      <c r="K16" s="23">
        <v>32041.09</v>
      </c>
      <c r="L16" s="21">
        <v>38449.31</v>
      </c>
      <c r="M16" s="6"/>
    </row>
    <row r="17" spans="1:18" ht="24" customHeight="1" x14ac:dyDescent="0.25">
      <c r="A17" s="106"/>
      <c r="B17" s="107" t="s">
        <v>134</v>
      </c>
      <c r="C17" s="116"/>
      <c r="D17" s="109"/>
      <c r="E17" s="117"/>
      <c r="F17" s="118"/>
      <c r="G17" s="118"/>
      <c r="H17" s="119"/>
      <c r="I17" s="111"/>
      <c r="J17" s="111"/>
      <c r="K17" s="112"/>
      <c r="L17" s="120"/>
      <c r="M17" s="64"/>
    </row>
    <row r="18" spans="1:18" s="159" customFormat="1" ht="18" customHeight="1" x14ac:dyDescent="0.25">
      <c r="A18" s="151">
        <v>8</v>
      </c>
      <c r="B18" s="152" t="s">
        <v>139</v>
      </c>
      <c r="C18" s="153" t="s">
        <v>80</v>
      </c>
      <c r="D18" s="154">
        <v>2898.87</v>
      </c>
      <c r="E18" s="155">
        <v>308.75</v>
      </c>
      <c r="F18" s="156">
        <v>895026.11</v>
      </c>
      <c r="G18" s="156">
        <v>1074031.33</v>
      </c>
      <c r="H18" s="155"/>
      <c r="I18" s="157"/>
      <c r="J18" s="157"/>
      <c r="K18" s="158">
        <v>895026.11</v>
      </c>
      <c r="L18" s="157">
        <v>1074031.33</v>
      </c>
      <c r="M18" s="161"/>
      <c r="N18" s="781" t="s">
        <v>562</v>
      </c>
      <c r="O18" s="771">
        <f>L18-36.06*E18*1.2</f>
        <v>1060671.1000000001</v>
      </c>
    </row>
    <row r="19" spans="1:18" ht="23.25" customHeight="1" x14ac:dyDescent="0.25">
      <c r="A19" s="35"/>
      <c r="B19" s="92" t="s">
        <v>140</v>
      </c>
      <c r="C19" s="35"/>
      <c r="D19" s="35"/>
      <c r="E19" s="38"/>
      <c r="F19" s="39"/>
      <c r="G19" s="39"/>
      <c r="H19" s="40"/>
      <c r="I19" s="39"/>
      <c r="J19" s="39"/>
      <c r="K19" s="41"/>
      <c r="L19" s="42"/>
    </row>
    <row r="20" spans="1:18" s="159" customFormat="1" ht="20.25" customHeight="1" x14ac:dyDescent="0.25">
      <c r="A20" s="151">
        <v>9</v>
      </c>
      <c r="B20" s="248" t="s">
        <v>141</v>
      </c>
      <c r="C20" s="151" t="s">
        <v>77</v>
      </c>
      <c r="D20" s="805">
        <v>1454.19</v>
      </c>
      <c r="E20" s="158">
        <v>183.58</v>
      </c>
      <c r="F20" s="156">
        <v>266960.2</v>
      </c>
      <c r="G20" s="156">
        <v>320352.24</v>
      </c>
      <c r="H20" s="155"/>
      <c r="I20" s="156"/>
      <c r="J20" s="156"/>
      <c r="K20" s="250">
        <v>266960.2</v>
      </c>
      <c r="L20" s="251">
        <v>320352.24</v>
      </c>
      <c r="N20" s="782" t="s">
        <v>1244</v>
      </c>
      <c r="O20" s="789">
        <f>L20-D20*93</f>
        <v>185112.56999999998</v>
      </c>
      <c r="R20" s="806"/>
    </row>
    <row r="21" spans="1:18" s="159" customFormat="1" ht="18.75" customHeight="1" x14ac:dyDescent="0.25">
      <c r="A21" s="203" t="s">
        <v>93</v>
      </c>
      <c r="B21" s="152" t="s">
        <v>142</v>
      </c>
      <c r="C21" s="168" t="s">
        <v>77</v>
      </c>
      <c r="D21" s="807">
        <v>1599.6090000000002</v>
      </c>
      <c r="E21" s="155"/>
      <c r="F21" s="156"/>
      <c r="G21" s="156"/>
      <c r="H21" s="793">
        <v>153.33000000000001</v>
      </c>
      <c r="I21" s="156">
        <v>245268.05</v>
      </c>
      <c r="J21" s="156">
        <v>294321.65999999997</v>
      </c>
      <c r="K21" s="250">
        <v>245268.05</v>
      </c>
      <c r="L21" s="251">
        <v>294321.65999999997</v>
      </c>
      <c r="M21" s="160" t="s">
        <v>143</v>
      </c>
      <c r="N21" s="782" t="s">
        <v>1245</v>
      </c>
      <c r="O21" s="771">
        <f>L21-D21*100</f>
        <v>134360.75999999995</v>
      </c>
    </row>
    <row r="22" spans="1:18" ht="18.75" customHeight="1" x14ac:dyDescent="0.25">
      <c r="A22" s="94">
        <v>10</v>
      </c>
      <c r="B22" s="132" t="s">
        <v>144</v>
      </c>
      <c r="C22" s="94" t="s">
        <v>84</v>
      </c>
      <c r="D22" s="133">
        <v>536.41</v>
      </c>
      <c r="E22" s="23">
        <v>1055.45</v>
      </c>
      <c r="F22" s="96">
        <v>566153.93000000005</v>
      </c>
      <c r="G22" s="96">
        <v>679384.72</v>
      </c>
      <c r="H22" s="20"/>
      <c r="I22" s="96"/>
      <c r="J22" s="96"/>
      <c r="K22" s="97">
        <v>566153.93000000005</v>
      </c>
      <c r="L22" s="134">
        <v>679384.72</v>
      </c>
    </row>
    <row r="23" spans="1:18" ht="18.75" customHeight="1" x14ac:dyDescent="0.25">
      <c r="A23" s="25" t="s">
        <v>96</v>
      </c>
      <c r="B23" s="26" t="s">
        <v>145</v>
      </c>
      <c r="C23" s="125" t="s">
        <v>84</v>
      </c>
      <c r="D23" s="126">
        <v>590.05100000000004</v>
      </c>
      <c r="E23" s="29"/>
      <c r="F23" s="127"/>
      <c r="G23" s="127"/>
      <c r="H23" s="30">
        <v>1191.3</v>
      </c>
      <c r="I23" s="127">
        <v>702927.76</v>
      </c>
      <c r="J23" s="127">
        <v>843513.31</v>
      </c>
      <c r="K23" s="129">
        <v>702927.76</v>
      </c>
      <c r="L23" s="130">
        <v>843513.31</v>
      </c>
      <c r="M23" s="131"/>
    </row>
    <row r="24" spans="1:18" ht="18.75" customHeight="1" x14ac:dyDescent="0.25">
      <c r="A24" s="94">
        <v>11</v>
      </c>
      <c r="B24" s="132" t="s">
        <v>146</v>
      </c>
      <c r="C24" s="94" t="s">
        <v>84</v>
      </c>
      <c r="D24" s="133">
        <v>257.77</v>
      </c>
      <c r="E24" s="23">
        <v>1582.99</v>
      </c>
      <c r="F24" s="96">
        <v>408047.33</v>
      </c>
      <c r="G24" s="96">
        <v>489656.8</v>
      </c>
      <c r="H24" s="20"/>
      <c r="I24" s="96"/>
      <c r="J24" s="96"/>
      <c r="K24" s="97">
        <v>408047.33</v>
      </c>
      <c r="L24" s="134">
        <v>489656.8</v>
      </c>
    </row>
    <row r="25" spans="1:18" ht="18.75" customHeight="1" x14ac:dyDescent="0.25">
      <c r="A25" s="25" t="s">
        <v>99</v>
      </c>
      <c r="B25" s="26" t="s">
        <v>147</v>
      </c>
      <c r="C25" s="125" t="s">
        <v>84</v>
      </c>
      <c r="D25" s="126">
        <v>324.79019999999997</v>
      </c>
      <c r="E25" s="29"/>
      <c r="F25" s="127"/>
      <c r="G25" s="127"/>
      <c r="H25" s="30">
        <v>3805.7</v>
      </c>
      <c r="I25" s="127">
        <v>1236054.06</v>
      </c>
      <c r="J25" s="127">
        <v>1483264.87</v>
      </c>
      <c r="K25" s="129">
        <v>1236054.06</v>
      </c>
      <c r="L25" s="130">
        <v>1483264.87</v>
      </c>
      <c r="M25" s="131"/>
    </row>
    <row r="26" spans="1:18" ht="18.75" customHeight="1" x14ac:dyDescent="0.25">
      <c r="A26" s="94">
        <v>12</v>
      </c>
      <c r="B26" s="132" t="s">
        <v>148</v>
      </c>
      <c r="C26" s="94" t="s">
        <v>84</v>
      </c>
      <c r="D26" s="133">
        <v>181.99</v>
      </c>
      <c r="E26" s="23">
        <v>1582.99</v>
      </c>
      <c r="F26" s="96">
        <v>288088.34999999998</v>
      </c>
      <c r="G26" s="96">
        <v>345706.02</v>
      </c>
      <c r="H26" s="20"/>
      <c r="I26" s="96"/>
      <c r="J26" s="96"/>
      <c r="K26" s="97">
        <v>288088.34999999998</v>
      </c>
      <c r="L26" s="134">
        <v>345706.02</v>
      </c>
    </row>
    <row r="27" spans="1:18" ht="18.75" customHeight="1" x14ac:dyDescent="0.25">
      <c r="A27" s="25" t="s">
        <v>102</v>
      </c>
      <c r="B27" s="26" t="s">
        <v>149</v>
      </c>
      <c r="C27" s="125" t="s">
        <v>84</v>
      </c>
      <c r="D27" s="126">
        <v>229.3074</v>
      </c>
      <c r="E27" s="29"/>
      <c r="F27" s="127"/>
      <c r="G27" s="127"/>
      <c r="H27" s="30">
        <v>4206.1000000000004</v>
      </c>
      <c r="I27" s="127">
        <v>964489.86</v>
      </c>
      <c r="J27" s="127">
        <v>1157387.83</v>
      </c>
      <c r="K27" s="129">
        <v>964489.86</v>
      </c>
      <c r="L27" s="130">
        <v>1157387.83</v>
      </c>
      <c r="M27" s="131"/>
    </row>
    <row r="28" spans="1:18" ht="23.25" customHeight="1" x14ac:dyDescent="0.25">
      <c r="A28" s="94">
        <v>13</v>
      </c>
      <c r="B28" s="132" t="s">
        <v>150</v>
      </c>
      <c r="C28" s="94" t="s">
        <v>77</v>
      </c>
      <c r="D28" s="135">
        <v>2250.37</v>
      </c>
      <c r="E28" s="23">
        <v>1083</v>
      </c>
      <c r="F28" s="96">
        <v>2437150.71</v>
      </c>
      <c r="G28" s="96">
        <v>2924580.85</v>
      </c>
      <c r="H28" s="20"/>
      <c r="I28" s="96"/>
      <c r="J28" s="96"/>
      <c r="K28" s="97">
        <v>2437150.71</v>
      </c>
      <c r="L28" s="134">
        <v>2924580.85</v>
      </c>
    </row>
    <row r="29" spans="1:18" ht="37.5" customHeight="1" x14ac:dyDescent="0.25">
      <c r="A29" s="25" t="s">
        <v>105</v>
      </c>
      <c r="B29" s="26" t="s">
        <v>151</v>
      </c>
      <c r="C29" s="125" t="s">
        <v>80</v>
      </c>
      <c r="D29" s="136">
        <v>279.04588000000001</v>
      </c>
      <c r="E29" s="29"/>
      <c r="F29" s="127"/>
      <c r="G29" s="127"/>
      <c r="H29" s="30">
        <v>4406.1000000000004</v>
      </c>
      <c r="I29" s="127">
        <v>1229504.05</v>
      </c>
      <c r="J29" s="127">
        <v>1475404.86</v>
      </c>
      <c r="K29" s="129">
        <v>1229504.05</v>
      </c>
      <c r="L29" s="130">
        <v>1475404.86</v>
      </c>
      <c r="M29" s="131"/>
    </row>
    <row r="30" spans="1:18" ht="30.75" customHeight="1" x14ac:dyDescent="0.25">
      <c r="A30" s="94">
        <v>14</v>
      </c>
      <c r="B30" s="132" t="s">
        <v>152</v>
      </c>
      <c r="C30" s="94" t="s">
        <v>77</v>
      </c>
      <c r="D30" s="135">
        <v>2274.9</v>
      </c>
      <c r="E30" s="137">
        <v>1516</v>
      </c>
      <c r="F30" s="96">
        <v>3448748.4</v>
      </c>
      <c r="G30" s="96">
        <v>4138498.08</v>
      </c>
      <c r="H30" s="20"/>
      <c r="I30" s="96"/>
      <c r="J30" s="96"/>
      <c r="K30" s="97">
        <v>3448748.4</v>
      </c>
      <c r="L30" s="764">
        <v>4138498.08</v>
      </c>
      <c r="M30" s="64" t="s">
        <v>1246</v>
      </c>
      <c r="O30" s="770"/>
    </row>
    <row r="31" spans="1:18" ht="31.5" customHeight="1" x14ac:dyDescent="0.25">
      <c r="A31" s="25" t="s">
        <v>109</v>
      </c>
      <c r="B31" s="26" t="s">
        <v>153</v>
      </c>
      <c r="C31" s="125" t="s">
        <v>80</v>
      </c>
      <c r="D31" s="136">
        <v>394.92264000000006</v>
      </c>
      <c r="E31" s="29"/>
      <c r="F31" s="127"/>
      <c r="G31" s="127"/>
      <c r="H31" s="30">
        <v>4406.1000000000004</v>
      </c>
      <c r="I31" s="127">
        <v>1740068.64</v>
      </c>
      <c r="J31" s="127">
        <v>2088082.37</v>
      </c>
      <c r="K31" s="129">
        <v>1740068.64</v>
      </c>
      <c r="L31" s="130">
        <v>2088082.37</v>
      </c>
      <c r="M31" s="138"/>
      <c r="O31" s="770"/>
    </row>
    <row r="32" spans="1:18" ht="18.75" customHeight="1" x14ac:dyDescent="0.25">
      <c r="A32" s="94">
        <v>15</v>
      </c>
      <c r="B32" s="132" t="s">
        <v>154</v>
      </c>
      <c r="C32" s="94" t="s">
        <v>75</v>
      </c>
      <c r="D32" s="133">
        <v>59</v>
      </c>
      <c r="E32" s="23">
        <v>1555.15</v>
      </c>
      <c r="F32" s="96">
        <v>91753.85</v>
      </c>
      <c r="G32" s="96">
        <v>110104.62</v>
      </c>
      <c r="H32" s="20"/>
      <c r="I32" s="96"/>
      <c r="J32" s="96"/>
      <c r="K32" s="97">
        <v>91753.85</v>
      </c>
      <c r="L32" s="134">
        <v>110104.62</v>
      </c>
    </row>
    <row r="33" spans="1:13" ht="18.75" customHeight="1" x14ac:dyDescent="0.25">
      <c r="A33" s="25" t="s">
        <v>155</v>
      </c>
      <c r="B33" s="26" t="s">
        <v>156</v>
      </c>
      <c r="C33" s="125" t="s">
        <v>75</v>
      </c>
      <c r="D33" s="139">
        <v>59</v>
      </c>
      <c r="E33" s="29"/>
      <c r="F33" s="127"/>
      <c r="G33" s="127"/>
      <c r="H33" s="30">
        <v>247</v>
      </c>
      <c r="I33" s="127">
        <v>14573</v>
      </c>
      <c r="J33" s="127">
        <v>17487.599999999999</v>
      </c>
      <c r="K33" s="129">
        <v>14573</v>
      </c>
      <c r="L33" s="130">
        <v>17487.599999999999</v>
      </c>
      <c r="M33" s="131"/>
    </row>
    <row r="34" spans="1:13" ht="23.25" customHeight="1" x14ac:dyDescent="0.25">
      <c r="A34" s="35"/>
      <c r="B34" s="140" t="s">
        <v>157</v>
      </c>
      <c r="C34" s="35"/>
      <c r="D34" s="37"/>
      <c r="E34" s="38"/>
      <c r="F34" s="39"/>
      <c r="G34" s="39"/>
      <c r="H34" s="40"/>
      <c r="I34" s="39"/>
      <c r="J34" s="39"/>
      <c r="K34" s="41"/>
      <c r="L34" s="42"/>
    </row>
    <row r="35" spans="1:13" x14ac:dyDescent="0.25">
      <c r="A35" s="94">
        <v>16</v>
      </c>
      <c r="B35" s="113" t="s">
        <v>158</v>
      </c>
      <c r="C35" s="94" t="s">
        <v>84</v>
      </c>
      <c r="D35" s="33">
        <v>55.36</v>
      </c>
      <c r="E35" s="23">
        <v>1310.05</v>
      </c>
      <c r="F35" s="96">
        <v>72524.37</v>
      </c>
      <c r="G35" s="96">
        <v>87029.24</v>
      </c>
      <c r="H35" s="96"/>
      <c r="I35" s="96"/>
      <c r="J35" s="96"/>
      <c r="K35" s="97">
        <v>72524.37</v>
      </c>
      <c r="L35" s="96">
        <v>87029.24</v>
      </c>
      <c r="M35" s="64"/>
    </row>
    <row r="36" spans="1:13" ht="19.5" customHeight="1" x14ac:dyDescent="0.25">
      <c r="A36" s="25" t="s">
        <v>159</v>
      </c>
      <c r="B36" s="26" t="s">
        <v>160</v>
      </c>
      <c r="C36" s="27" t="s">
        <v>84</v>
      </c>
      <c r="D36" s="34">
        <v>60.896000000000001</v>
      </c>
      <c r="E36" s="32"/>
      <c r="F36" s="127"/>
      <c r="G36" s="127"/>
      <c r="H36" s="127">
        <v>1191.3</v>
      </c>
      <c r="I36" s="127">
        <v>72545.399999999994</v>
      </c>
      <c r="J36" s="127">
        <v>87054.48</v>
      </c>
      <c r="K36" s="129">
        <v>72545.399999999994</v>
      </c>
      <c r="L36" s="127">
        <v>87054.48</v>
      </c>
      <c r="M36" s="64"/>
    </row>
    <row r="37" spans="1:13" ht="19.5" customHeight="1" x14ac:dyDescent="0.25">
      <c r="A37" s="94">
        <v>17</v>
      </c>
      <c r="B37" s="18" t="s">
        <v>161</v>
      </c>
      <c r="C37" s="17" t="s">
        <v>84</v>
      </c>
      <c r="D37" s="33">
        <v>55.36</v>
      </c>
      <c r="E37" s="23">
        <v>188.1</v>
      </c>
      <c r="F37" s="96">
        <v>10413.219999999999</v>
      </c>
      <c r="G37" s="96">
        <v>12495.86</v>
      </c>
      <c r="H37" s="23"/>
      <c r="I37" s="96"/>
      <c r="J37" s="96"/>
      <c r="K37" s="23">
        <v>10413.219999999999</v>
      </c>
      <c r="L37" s="21">
        <v>12495.86</v>
      </c>
      <c r="M37" s="64"/>
    </row>
    <row r="38" spans="1:13" ht="29.25" customHeight="1" x14ac:dyDescent="0.25">
      <c r="A38" s="98">
        <v>18</v>
      </c>
      <c r="B38" s="121" t="s">
        <v>162</v>
      </c>
      <c r="C38" s="98" t="s">
        <v>84</v>
      </c>
      <c r="D38" s="141">
        <v>52.82</v>
      </c>
      <c r="E38" s="142">
        <v>304.06</v>
      </c>
      <c r="F38" s="103">
        <v>16060.45</v>
      </c>
      <c r="G38" s="103">
        <v>19272.54</v>
      </c>
      <c r="H38" s="104"/>
      <c r="I38" s="103"/>
      <c r="J38" s="103"/>
      <c r="K38" s="105">
        <v>16060.45</v>
      </c>
      <c r="L38" s="124">
        <v>19272.54</v>
      </c>
      <c r="M38" s="131" t="s">
        <v>163</v>
      </c>
    </row>
    <row r="39" spans="1:13" ht="18.75" customHeight="1" x14ac:dyDescent="0.25">
      <c r="A39" s="25" t="s">
        <v>164</v>
      </c>
      <c r="B39" s="143" t="s">
        <v>165</v>
      </c>
      <c r="C39" s="144" t="s">
        <v>84</v>
      </c>
      <c r="D39" s="145">
        <v>52.82</v>
      </c>
      <c r="E39" s="32"/>
      <c r="F39" s="127"/>
      <c r="G39" s="127"/>
      <c r="H39" s="128">
        <v>1262.44</v>
      </c>
      <c r="I39" s="127">
        <v>66682.080000000002</v>
      </c>
      <c r="J39" s="127">
        <v>80018.5</v>
      </c>
      <c r="K39" s="129">
        <v>66682.080000000002</v>
      </c>
      <c r="L39" s="130">
        <v>80018.5</v>
      </c>
      <c r="M39" s="131" t="s">
        <v>163</v>
      </c>
    </row>
    <row r="40" spans="1:13" ht="29.25" customHeight="1" x14ac:dyDescent="0.25">
      <c r="A40" s="98">
        <v>19</v>
      </c>
      <c r="B40" s="121" t="s">
        <v>166</v>
      </c>
      <c r="C40" s="98" t="s">
        <v>84</v>
      </c>
      <c r="D40" s="141">
        <v>55.36</v>
      </c>
      <c r="E40" s="142">
        <v>304.06</v>
      </c>
      <c r="F40" s="103">
        <v>16832.759999999998</v>
      </c>
      <c r="G40" s="103">
        <v>20199.310000000001</v>
      </c>
      <c r="H40" s="104"/>
      <c r="I40" s="103"/>
      <c r="J40" s="103"/>
      <c r="K40" s="105">
        <v>16832.759999999998</v>
      </c>
      <c r="L40" s="124">
        <v>20199.310000000001</v>
      </c>
      <c r="M40" s="131" t="s">
        <v>163</v>
      </c>
    </row>
    <row r="41" spans="1:13" ht="18.75" customHeight="1" x14ac:dyDescent="0.25">
      <c r="A41" s="25" t="s">
        <v>167</v>
      </c>
      <c r="B41" s="143" t="s">
        <v>165</v>
      </c>
      <c r="C41" s="144" t="s">
        <v>84</v>
      </c>
      <c r="D41" s="145">
        <v>55.36</v>
      </c>
      <c r="E41" s="32"/>
      <c r="F41" s="127"/>
      <c r="G41" s="127"/>
      <c r="H41" s="128">
        <v>1262.44</v>
      </c>
      <c r="I41" s="127">
        <v>69888.679999999993</v>
      </c>
      <c r="J41" s="127">
        <v>83866.42</v>
      </c>
      <c r="K41" s="129">
        <v>69888.679999999993</v>
      </c>
      <c r="L41" s="130">
        <v>83866.42</v>
      </c>
      <c r="M41" s="131" t="s">
        <v>163</v>
      </c>
    </row>
    <row r="42" spans="1:13" ht="18.75" customHeight="1" x14ac:dyDescent="0.25">
      <c r="A42" s="94">
        <v>20</v>
      </c>
      <c r="B42" s="132" t="s">
        <v>168</v>
      </c>
      <c r="C42" s="94" t="s">
        <v>77</v>
      </c>
      <c r="D42" s="135">
        <v>804.98</v>
      </c>
      <c r="E42" s="23">
        <v>104.5</v>
      </c>
      <c r="F42" s="96">
        <v>84120.41</v>
      </c>
      <c r="G42" s="96">
        <v>100944.49</v>
      </c>
      <c r="H42" s="20"/>
      <c r="I42" s="96"/>
      <c r="J42" s="96"/>
      <c r="K42" s="97">
        <v>84120.41</v>
      </c>
      <c r="L42" s="134">
        <v>100944.49</v>
      </c>
      <c r="M42" s="131"/>
    </row>
    <row r="43" spans="1:13" ht="18.75" customHeight="1" x14ac:dyDescent="0.25">
      <c r="A43" s="25" t="s">
        <v>169</v>
      </c>
      <c r="B43" s="143" t="s">
        <v>170</v>
      </c>
      <c r="C43" s="144" t="s">
        <v>171</v>
      </c>
      <c r="D43" s="145">
        <v>2.25</v>
      </c>
      <c r="E43" s="32"/>
      <c r="F43" s="127"/>
      <c r="G43" s="127"/>
      <c r="H43" s="30">
        <v>461.7</v>
      </c>
      <c r="I43" s="127">
        <v>1038.83</v>
      </c>
      <c r="J43" s="127">
        <v>1246.5999999999999</v>
      </c>
      <c r="K43" s="129">
        <v>1038.83</v>
      </c>
      <c r="L43" s="130">
        <v>1246.5999999999999</v>
      </c>
      <c r="M43" s="146"/>
    </row>
    <row r="44" spans="1:13" ht="18.75" customHeight="1" x14ac:dyDescent="0.25">
      <c r="A44" s="25" t="s">
        <v>172</v>
      </c>
      <c r="B44" s="143" t="s">
        <v>173</v>
      </c>
      <c r="C44" s="144" t="s">
        <v>171</v>
      </c>
      <c r="D44" s="145">
        <v>1.78</v>
      </c>
      <c r="E44" s="32"/>
      <c r="F44" s="127"/>
      <c r="G44" s="127"/>
      <c r="H44" s="30">
        <v>615.6</v>
      </c>
      <c r="I44" s="127">
        <v>1095.77</v>
      </c>
      <c r="J44" s="127">
        <v>1314.92</v>
      </c>
      <c r="K44" s="129">
        <v>1095.77</v>
      </c>
      <c r="L44" s="130">
        <v>1314.92</v>
      </c>
      <c r="M44" s="146"/>
    </row>
    <row r="45" spans="1:13" ht="18.75" customHeight="1" x14ac:dyDescent="0.25">
      <c r="A45" s="25" t="s">
        <v>174</v>
      </c>
      <c r="B45" s="143" t="s">
        <v>175</v>
      </c>
      <c r="C45" s="144" t="s">
        <v>171</v>
      </c>
      <c r="D45" s="145">
        <v>1.61</v>
      </c>
      <c r="E45" s="32"/>
      <c r="F45" s="127"/>
      <c r="G45" s="127"/>
      <c r="H45" s="30">
        <v>1201.75</v>
      </c>
      <c r="I45" s="127">
        <v>1934.82</v>
      </c>
      <c r="J45" s="127">
        <v>2321.7800000000002</v>
      </c>
      <c r="K45" s="129">
        <v>1934.82</v>
      </c>
      <c r="L45" s="130">
        <v>2321.7800000000002</v>
      </c>
      <c r="M45" s="146"/>
    </row>
    <row r="46" spans="1:13" ht="23.25" customHeight="1" x14ac:dyDescent="0.25">
      <c r="A46" s="35"/>
      <c r="B46" s="36" t="s">
        <v>176</v>
      </c>
      <c r="C46" s="35"/>
      <c r="D46" s="37"/>
      <c r="E46" s="38"/>
      <c r="F46" s="39"/>
      <c r="G46" s="39"/>
      <c r="H46" s="40"/>
      <c r="I46" s="39"/>
      <c r="J46" s="39"/>
      <c r="K46" s="41"/>
      <c r="L46" s="42"/>
      <c r="M46" s="43" t="s">
        <v>177</v>
      </c>
    </row>
    <row r="47" spans="1:13" ht="28.5" customHeight="1" x14ac:dyDescent="0.25">
      <c r="A47" s="45">
        <f>A42+1</f>
        <v>21</v>
      </c>
      <c r="B47" s="46" t="s">
        <v>83</v>
      </c>
      <c r="C47" s="45" t="s">
        <v>84</v>
      </c>
      <c r="D47" s="47">
        <v>1109</v>
      </c>
      <c r="E47" s="48">
        <v>308.75</v>
      </c>
      <c r="F47" s="49">
        <f t="shared" ref="F47" si="0">ROUND(E47*D47,2)</f>
        <v>342403.75</v>
      </c>
      <c r="G47" s="49">
        <f t="shared" ref="G47" si="1">ROUND(F47*1.2,2)</f>
        <v>410884.5</v>
      </c>
      <c r="H47" s="50"/>
      <c r="I47" s="49"/>
      <c r="J47" s="49"/>
      <c r="K47" s="48">
        <f t="shared" ref="K47:L47" si="2">F47+I47</f>
        <v>342403.75</v>
      </c>
      <c r="L47" s="49">
        <f t="shared" si="2"/>
        <v>410884.5</v>
      </c>
      <c r="M47" s="6"/>
    </row>
    <row r="48" spans="1:13" ht="24" customHeight="1" x14ac:dyDescent="0.25">
      <c r="A48" s="106"/>
      <c r="B48" s="107" t="s">
        <v>134</v>
      </c>
      <c r="C48" s="116"/>
      <c r="D48" s="109"/>
      <c r="E48" s="117"/>
      <c r="F48" s="118"/>
      <c r="G48" s="118"/>
      <c r="H48" s="119"/>
      <c r="I48" s="111"/>
      <c r="J48" s="111"/>
      <c r="K48" s="112"/>
      <c r="L48" s="120"/>
      <c r="M48" s="64"/>
    </row>
    <row r="49" spans="1:15" s="178" customFormat="1" ht="18" customHeight="1" x14ac:dyDescent="0.25">
      <c r="A49" s="153">
        <f>A47+1</f>
        <v>22</v>
      </c>
      <c r="B49" s="152" t="s">
        <v>139</v>
      </c>
      <c r="C49" s="153" t="s">
        <v>80</v>
      </c>
      <c r="D49" s="154">
        <v>1752.22</v>
      </c>
      <c r="E49" s="155">
        <v>308.75</v>
      </c>
      <c r="F49" s="157">
        <f t="shared" ref="F49" si="3">ROUND(E49*D49,2)</f>
        <v>540997.93000000005</v>
      </c>
      <c r="G49" s="157">
        <f t="shared" ref="G49" si="4">ROUND(F49*1.2,2)</f>
        <v>649197.52</v>
      </c>
      <c r="H49" s="155"/>
      <c r="I49" s="157"/>
      <c r="J49" s="157"/>
      <c r="K49" s="158">
        <f t="shared" ref="K49:L49" si="5">F49+I49</f>
        <v>540997.93000000005</v>
      </c>
      <c r="L49" s="157">
        <f t="shared" si="5"/>
        <v>649197.52</v>
      </c>
      <c r="M49" s="161"/>
      <c r="N49" s="782" t="s">
        <v>178</v>
      </c>
      <c r="O49" s="291">
        <f>L49</f>
        <v>649197.52</v>
      </c>
    </row>
    <row r="50" spans="1:15" ht="21.75" customHeight="1" x14ac:dyDescent="0.25">
      <c r="A50" s="862" t="s">
        <v>121</v>
      </c>
      <c r="B50" s="863"/>
      <c r="C50" s="863"/>
      <c r="D50" s="863"/>
      <c r="E50" s="864"/>
      <c r="F50" s="147">
        <f>SUM(F8:F49)</f>
        <v>11963306.009999998</v>
      </c>
      <c r="G50" s="148">
        <f>ROUND(F50*1.2,2)</f>
        <v>14355967.210000001</v>
      </c>
      <c r="H50" s="149"/>
      <c r="I50" s="147">
        <f>SUM(I8:I49)</f>
        <v>6346071</v>
      </c>
      <c r="J50" s="148">
        <f>ROUND(I50*1.2,2)</f>
        <v>7615285.2000000002</v>
      </c>
      <c r="K50" s="147">
        <f>SUM(K8:K49)</f>
        <v>18309377.009999998</v>
      </c>
      <c r="L50" s="148">
        <f>ROUND(K50*1.2,2)</f>
        <v>21971252.41</v>
      </c>
      <c r="O50" s="291">
        <f>SUM(O13:O49)</f>
        <v>2187983.7800000003</v>
      </c>
    </row>
    <row r="52" spans="1:15" x14ac:dyDescent="0.25">
      <c r="B52" s="86" t="s">
        <v>122</v>
      </c>
    </row>
    <row r="53" spans="1:15" x14ac:dyDescent="0.25">
      <c r="B53" s="88" t="s">
        <v>123</v>
      </c>
    </row>
  </sheetData>
  <mergeCells count="10">
    <mergeCell ref="B6:D6"/>
    <mergeCell ref="A50:E5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AEAC4-CF82-4D7A-8AD4-2DAE1E8B43FA}">
  <sheetPr>
    <tabColor rgb="FFFFFF00"/>
  </sheetPr>
  <dimension ref="A1:M40"/>
  <sheetViews>
    <sheetView view="pageBreakPreview" topLeftCell="A19" zoomScaleNormal="100" zoomScaleSheetLayoutView="100" workbookViewId="0">
      <selection activeCell="H11" sqref="H11"/>
    </sheetView>
  </sheetViews>
  <sheetFormatPr defaultColWidth="8.85546875" defaultRowHeight="15" x14ac:dyDescent="0.25"/>
  <cols>
    <col min="1" max="1" width="12.140625" style="6" bestFit="1" customWidth="1"/>
    <col min="2" max="2" width="65.140625" style="6" customWidth="1"/>
    <col min="3" max="3" width="10.5703125" style="6" customWidth="1"/>
    <col min="4" max="4" width="11" style="6" bestFit="1" customWidth="1"/>
    <col min="5" max="5" width="15.140625" style="6" customWidth="1"/>
    <col min="6" max="6" width="16" style="6" customWidth="1"/>
    <col min="7" max="7" width="17.140625" style="87" customWidth="1"/>
    <col min="8" max="8" width="16.140625" style="87" customWidth="1"/>
    <col min="9" max="10" width="17" style="6" customWidth="1"/>
    <col min="11" max="11" width="16.7109375" style="6" customWidth="1"/>
    <col min="12" max="12" width="18" style="6" customWidth="1"/>
    <col min="13" max="13" width="55.42578125" style="6" customWidth="1"/>
    <col min="14" max="16384" width="8.85546875" style="6"/>
  </cols>
  <sheetData>
    <row r="1" spans="1:13" ht="14.45" customHeight="1" x14ac:dyDescent="0.25">
      <c r="A1" s="883" t="s">
        <v>26</v>
      </c>
      <c r="B1" s="886" t="s">
        <v>57</v>
      </c>
      <c r="C1" s="889" t="s">
        <v>58</v>
      </c>
      <c r="D1" s="889" t="s">
        <v>59</v>
      </c>
      <c r="E1" s="890" t="s">
        <v>60</v>
      </c>
      <c r="F1" s="891"/>
      <c r="G1" s="891"/>
      <c r="H1" s="891"/>
      <c r="I1" s="891"/>
      <c r="J1" s="891"/>
      <c r="K1" s="891"/>
      <c r="L1" s="891"/>
    </row>
    <row r="2" spans="1:13" ht="14.45" customHeight="1" x14ac:dyDescent="0.25">
      <c r="A2" s="884"/>
      <c r="B2" s="887"/>
      <c r="C2" s="889"/>
      <c r="D2" s="889"/>
      <c r="E2" s="892"/>
      <c r="F2" s="893"/>
      <c r="G2" s="893"/>
      <c r="H2" s="893"/>
      <c r="I2" s="893"/>
      <c r="J2" s="893"/>
      <c r="K2" s="893"/>
      <c r="L2" s="893"/>
    </row>
    <row r="3" spans="1:13" ht="27.75" customHeight="1" x14ac:dyDescent="0.25">
      <c r="A3" s="884"/>
      <c r="B3" s="887"/>
      <c r="C3" s="889"/>
      <c r="D3" s="889"/>
      <c r="E3" s="889" t="s">
        <v>61</v>
      </c>
      <c r="F3" s="889"/>
      <c r="G3" s="889"/>
      <c r="H3" s="889" t="s">
        <v>62</v>
      </c>
      <c r="I3" s="889"/>
      <c r="J3" s="889"/>
      <c r="K3" s="894" t="s">
        <v>63</v>
      </c>
      <c r="L3" s="894"/>
    </row>
    <row r="4" spans="1:13" ht="56.1" customHeight="1" x14ac:dyDescent="0.25">
      <c r="A4" s="885"/>
      <c r="B4" s="888"/>
      <c r="C4" s="889"/>
      <c r="D4" s="889"/>
      <c r="E4" s="7" t="s">
        <v>64</v>
      </c>
      <c r="F4" s="7" t="s">
        <v>65</v>
      </c>
      <c r="G4" s="8" t="s">
        <v>66</v>
      </c>
      <c r="H4" s="7" t="s">
        <v>64</v>
      </c>
      <c r="I4" s="7" t="s">
        <v>65</v>
      </c>
      <c r="J4" s="8" t="s">
        <v>66</v>
      </c>
      <c r="K4" s="7" t="s">
        <v>67</v>
      </c>
      <c r="L4" s="7" t="s">
        <v>68</v>
      </c>
    </row>
    <row r="5" spans="1:13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6"/>
    </row>
    <row r="6" spans="1:13" ht="20.25" customHeight="1" x14ac:dyDescent="0.25">
      <c r="A6" s="11"/>
      <c r="B6" s="880" t="s">
        <v>69</v>
      </c>
      <c r="C6" s="881"/>
      <c r="D6" s="881"/>
      <c r="E6" s="12"/>
      <c r="F6" s="13"/>
      <c r="G6" s="14"/>
      <c r="H6" s="14"/>
      <c r="I6" s="14"/>
      <c r="J6" s="14"/>
      <c r="K6" s="14"/>
      <c r="L6" s="14"/>
    </row>
    <row r="7" spans="1:13" ht="20.25" customHeight="1" x14ac:dyDescent="0.25">
      <c r="A7" s="11"/>
      <c r="B7" s="15" t="s">
        <v>70</v>
      </c>
      <c r="C7" s="16"/>
      <c r="D7" s="16"/>
      <c r="E7" s="12"/>
      <c r="F7" s="13"/>
      <c r="G7" s="14"/>
      <c r="H7" s="14"/>
      <c r="I7" s="14"/>
      <c r="J7" s="14"/>
      <c r="K7" s="14"/>
      <c r="L7" s="14"/>
    </row>
    <row r="8" spans="1:13" ht="18.75" customHeight="1" x14ac:dyDescent="0.25">
      <c r="A8" s="17">
        <v>1</v>
      </c>
      <c r="B8" s="18" t="s">
        <v>71</v>
      </c>
      <c r="C8" s="17" t="s">
        <v>72</v>
      </c>
      <c r="D8" s="19">
        <v>32</v>
      </c>
      <c r="E8" s="20">
        <v>1144.75</v>
      </c>
      <c r="F8" s="21">
        <f t="shared" ref="F8" si="0">ROUND(E8*D8,2)</f>
        <v>36632</v>
      </c>
      <c r="G8" s="21">
        <f t="shared" ref="G8" si="1">ROUND(F8*1.2,2)</f>
        <v>43958.400000000001</v>
      </c>
      <c r="H8" s="22"/>
      <c r="I8" s="21"/>
      <c r="J8" s="21"/>
      <c r="K8" s="23">
        <f t="shared" ref="K8:L11" si="2">F8+I8</f>
        <v>36632</v>
      </c>
      <c r="L8" s="21">
        <f t="shared" si="2"/>
        <v>43958.400000000001</v>
      </c>
      <c r="M8" s="24"/>
    </row>
    <row r="9" spans="1:13" ht="18.75" customHeight="1" x14ac:dyDescent="0.25">
      <c r="A9" s="25" t="s">
        <v>73</v>
      </c>
      <c r="B9" s="26" t="s">
        <v>74</v>
      </c>
      <c r="C9" s="27" t="s">
        <v>75</v>
      </c>
      <c r="D9" s="28">
        <v>32</v>
      </c>
      <c r="E9" s="29"/>
      <c r="F9" s="30"/>
      <c r="G9" s="30"/>
      <c r="H9" s="31">
        <v>380.95</v>
      </c>
      <c r="I9" s="30">
        <f>ROUND(H9*D9,2)</f>
        <v>12190.4</v>
      </c>
      <c r="J9" s="30">
        <f>ROUND(I9*1.2,2)</f>
        <v>14628.48</v>
      </c>
      <c r="K9" s="32">
        <f t="shared" si="2"/>
        <v>12190.4</v>
      </c>
      <c r="L9" s="30">
        <f t="shared" si="2"/>
        <v>14628.48</v>
      </c>
    </row>
    <row r="10" spans="1:13" ht="18.75" customHeight="1" x14ac:dyDescent="0.25">
      <c r="A10" s="17">
        <f>A8+1</f>
        <v>2</v>
      </c>
      <c r="B10" s="18" t="s">
        <v>76</v>
      </c>
      <c r="C10" s="17" t="s">
        <v>77</v>
      </c>
      <c r="D10" s="33">
        <v>900.21</v>
      </c>
      <c r="E10" s="20">
        <v>1083</v>
      </c>
      <c r="F10" s="21">
        <f t="shared" ref="F10" si="3">ROUND(E10*D10,2)</f>
        <v>974927.43</v>
      </c>
      <c r="G10" s="21">
        <f t="shared" ref="G10" si="4">ROUND(F10*1.2,2)</f>
        <v>1169912.92</v>
      </c>
      <c r="H10" s="22"/>
      <c r="I10" s="21"/>
      <c r="J10" s="21"/>
      <c r="K10" s="23">
        <f t="shared" si="2"/>
        <v>974927.43</v>
      </c>
      <c r="L10" s="21">
        <f t="shared" si="2"/>
        <v>1169912.92</v>
      </c>
      <c r="M10" s="24"/>
    </row>
    <row r="11" spans="1:13" ht="18.75" customHeight="1" x14ac:dyDescent="0.25">
      <c r="A11" s="25" t="s">
        <v>78</v>
      </c>
      <c r="B11" s="26" t="s">
        <v>79</v>
      </c>
      <c r="C11" s="27" t="s">
        <v>80</v>
      </c>
      <c r="D11" s="34">
        <f>900.21*0.04*2.6</f>
        <v>93.621840000000006</v>
      </c>
      <c r="E11" s="29"/>
      <c r="F11" s="30"/>
      <c r="G11" s="30"/>
      <c r="H11" s="31">
        <v>5909</v>
      </c>
      <c r="I11" s="30">
        <f>ROUND(H11*D11,2)</f>
        <v>553211.44999999995</v>
      </c>
      <c r="J11" s="30">
        <f>ROUND(I11*1.2,2)</f>
        <v>663853.74</v>
      </c>
      <c r="K11" s="32">
        <f t="shared" si="2"/>
        <v>553211.44999999995</v>
      </c>
      <c r="L11" s="30">
        <f t="shared" si="2"/>
        <v>663853.74</v>
      </c>
      <c r="M11" s="759">
        <f>1.2*5900</f>
        <v>7080</v>
      </c>
    </row>
    <row r="12" spans="1:13" s="44" customFormat="1" ht="23.25" customHeight="1" x14ac:dyDescent="0.25">
      <c r="A12" s="35"/>
      <c r="B12" s="36" t="s">
        <v>81</v>
      </c>
      <c r="C12" s="35"/>
      <c r="D12" s="37"/>
      <c r="E12" s="38"/>
      <c r="F12" s="39"/>
      <c r="G12" s="39"/>
      <c r="H12" s="40"/>
      <c r="I12" s="39"/>
      <c r="J12" s="39"/>
      <c r="K12" s="41"/>
      <c r="L12" s="42"/>
      <c r="M12" s="43" t="s">
        <v>82</v>
      </c>
    </row>
    <row r="13" spans="1:13" s="44" customFormat="1" ht="28.5" customHeight="1" x14ac:dyDescent="0.25">
      <c r="A13" s="45">
        <f>A10+1</f>
        <v>3</v>
      </c>
      <c r="B13" s="46" t="s">
        <v>83</v>
      </c>
      <c r="C13" s="45" t="s">
        <v>84</v>
      </c>
      <c r="D13" s="47">
        <v>1080</v>
      </c>
      <c r="E13" s="48">
        <v>308.75</v>
      </c>
      <c r="F13" s="49">
        <f t="shared" ref="F13:F17" si="5">ROUND(E13*D13,2)</f>
        <v>333450</v>
      </c>
      <c r="G13" s="49">
        <f t="shared" ref="G13:G18" si="6">ROUND(F13*1.2,2)</f>
        <v>400140</v>
      </c>
      <c r="H13" s="50"/>
      <c r="I13" s="49"/>
      <c r="J13" s="49"/>
      <c r="K13" s="48">
        <f t="shared" ref="K13:L18" si="7">F13+I13</f>
        <v>333450</v>
      </c>
      <c r="L13" s="49">
        <f t="shared" si="7"/>
        <v>400140</v>
      </c>
      <c r="M13" s="6"/>
    </row>
    <row r="14" spans="1:13" s="44" customFormat="1" ht="24" customHeight="1" x14ac:dyDescent="0.25">
      <c r="A14" s="45">
        <f>A13+1</f>
        <v>4</v>
      </c>
      <c r="B14" s="46" t="s">
        <v>85</v>
      </c>
      <c r="C14" s="45" t="s">
        <v>84</v>
      </c>
      <c r="D14" s="47">
        <v>20</v>
      </c>
      <c r="E14" s="51">
        <v>1688.15</v>
      </c>
      <c r="F14" s="49">
        <f t="shared" si="5"/>
        <v>33763</v>
      </c>
      <c r="G14" s="49">
        <f t="shared" si="6"/>
        <v>40515.599999999999</v>
      </c>
      <c r="H14" s="50"/>
      <c r="I14" s="49"/>
      <c r="J14" s="49"/>
      <c r="K14" s="48">
        <f t="shared" si="7"/>
        <v>33763</v>
      </c>
      <c r="L14" s="49">
        <f t="shared" si="7"/>
        <v>40515.599999999999</v>
      </c>
      <c r="M14" s="6"/>
    </row>
    <row r="15" spans="1:13" s="53" customFormat="1" ht="22.5" customHeight="1" x14ac:dyDescent="0.25">
      <c r="A15" s="45">
        <f t="shared" ref="A15:A18" si="8">A14+1</f>
        <v>5</v>
      </c>
      <c r="B15" s="46" t="s">
        <v>86</v>
      </c>
      <c r="C15" s="45" t="s">
        <v>84</v>
      </c>
      <c r="D15" s="47">
        <v>2</v>
      </c>
      <c r="E15" s="48">
        <v>854.05</v>
      </c>
      <c r="F15" s="49">
        <f t="shared" si="5"/>
        <v>1708.1</v>
      </c>
      <c r="G15" s="49">
        <f t="shared" si="6"/>
        <v>2049.7199999999998</v>
      </c>
      <c r="H15" s="50"/>
      <c r="I15" s="49"/>
      <c r="J15" s="49"/>
      <c r="K15" s="48">
        <f t="shared" si="7"/>
        <v>1708.1</v>
      </c>
      <c r="L15" s="49">
        <f t="shared" si="7"/>
        <v>2049.7199999999998</v>
      </c>
      <c r="M15" s="52"/>
    </row>
    <row r="16" spans="1:13" s="53" customFormat="1" ht="22.5" customHeight="1" x14ac:dyDescent="0.25">
      <c r="A16" s="45">
        <f t="shared" si="8"/>
        <v>6</v>
      </c>
      <c r="B16" s="46" t="s">
        <v>87</v>
      </c>
      <c r="C16" s="45" t="s">
        <v>84</v>
      </c>
      <c r="D16" s="47">
        <v>8</v>
      </c>
      <c r="E16" s="51">
        <v>308.75</v>
      </c>
      <c r="F16" s="49">
        <f t="shared" si="5"/>
        <v>2470</v>
      </c>
      <c r="G16" s="49">
        <f t="shared" si="6"/>
        <v>2964</v>
      </c>
      <c r="H16" s="50"/>
      <c r="I16" s="49"/>
      <c r="J16" s="49"/>
      <c r="K16" s="48">
        <f t="shared" si="7"/>
        <v>2470</v>
      </c>
      <c r="L16" s="49">
        <f t="shared" si="7"/>
        <v>2964</v>
      </c>
      <c r="M16" s="52"/>
    </row>
    <row r="17" spans="1:13" s="44" customFormat="1" ht="22.5" customHeight="1" x14ac:dyDescent="0.25">
      <c r="A17" s="45">
        <f t="shared" si="8"/>
        <v>7</v>
      </c>
      <c r="B17" s="46" t="s">
        <v>88</v>
      </c>
      <c r="C17" s="45" t="s">
        <v>84</v>
      </c>
      <c r="D17" s="47">
        <v>8</v>
      </c>
      <c r="E17" s="51">
        <v>192.85</v>
      </c>
      <c r="F17" s="49">
        <f t="shared" si="5"/>
        <v>1542.8</v>
      </c>
      <c r="G17" s="49">
        <f t="shared" si="6"/>
        <v>1851.36</v>
      </c>
      <c r="H17" s="48"/>
      <c r="I17" s="49"/>
      <c r="J17" s="49"/>
      <c r="K17" s="48">
        <f t="shared" si="7"/>
        <v>1542.8</v>
      </c>
      <c r="L17" s="49">
        <f t="shared" si="7"/>
        <v>1851.36</v>
      </c>
      <c r="M17" s="6"/>
    </row>
    <row r="18" spans="1:13" s="44" customFormat="1" ht="18.75" customHeight="1" x14ac:dyDescent="0.25">
      <c r="A18" s="45">
        <f t="shared" si="8"/>
        <v>8</v>
      </c>
      <c r="B18" s="46" t="s">
        <v>89</v>
      </c>
      <c r="C18" s="45" t="s">
        <v>80</v>
      </c>
      <c r="D18" s="47">
        <f>10*1.9</f>
        <v>19</v>
      </c>
      <c r="E18" s="51">
        <v>308.75</v>
      </c>
      <c r="F18" s="49">
        <f>ROUND(E18*D18,2)</f>
        <v>5866.25</v>
      </c>
      <c r="G18" s="49">
        <f t="shared" si="6"/>
        <v>7039.5</v>
      </c>
      <c r="H18" s="48"/>
      <c r="I18" s="49"/>
      <c r="J18" s="49"/>
      <c r="K18" s="48">
        <f t="shared" si="7"/>
        <v>5866.25</v>
      </c>
      <c r="L18" s="49">
        <f t="shared" si="7"/>
        <v>7039.5</v>
      </c>
      <c r="M18" s="6"/>
    </row>
    <row r="19" spans="1:13" s="44" customFormat="1" ht="23.25" customHeight="1" x14ac:dyDescent="0.25">
      <c r="A19" s="35"/>
      <c r="B19" s="36" t="s">
        <v>90</v>
      </c>
      <c r="C19" s="35"/>
      <c r="D19" s="37"/>
      <c r="E19" s="38"/>
      <c r="F19" s="39"/>
      <c r="G19" s="39"/>
      <c r="H19" s="40"/>
      <c r="I19" s="39"/>
      <c r="J19" s="39"/>
      <c r="K19" s="41"/>
      <c r="L19" s="42"/>
      <c r="M19" s="43" t="s">
        <v>91</v>
      </c>
    </row>
    <row r="20" spans="1:13" ht="31.5" customHeight="1" x14ac:dyDescent="0.25">
      <c r="A20" s="45">
        <f>A18+1</f>
        <v>9</v>
      </c>
      <c r="B20" s="54" t="s">
        <v>92</v>
      </c>
      <c r="C20" s="55" t="s">
        <v>77</v>
      </c>
      <c r="D20" s="56">
        <v>903.75</v>
      </c>
      <c r="E20" s="48">
        <v>240.35</v>
      </c>
      <c r="F20" s="49">
        <f t="shared" ref="F20" si="9">ROUND(E20*D20,2)</f>
        <v>217216.31</v>
      </c>
      <c r="G20" s="49">
        <f t="shared" ref="G20" si="10">ROUND(F20*1.2,2)</f>
        <v>260659.57</v>
      </c>
      <c r="H20" s="50"/>
      <c r="I20" s="49"/>
      <c r="J20" s="49"/>
      <c r="K20" s="48">
        <f t="shared" ref="K20:L29" si="11">F20+I20</f>
        <v>217216.31</v>
      </c>
      <c r="L20" s="49">
        <f t="shared" si="11"/>
        <v>260659.57</v>
      </c>
    </row>
    <row r="21" spans="1:13" ht="20.25" customHeight="1" x14ac:dyDescent="0.25">
      <c r="A21" s="57" t="s">
        <v>93</v>
      </c>
      <c r="B21" s="58" t="s">
        <v>94</v>
      </c>
      <c r="C21" s="59" t="s">
        <v>84</v>
      </c>
      <c r="D21" s="60">
        <v>274.74</v>
      </c>
      <c r="E21" s="61"/>
      <c r="F21" s="62"/>
      <c r="G21" s="62"/>
      <c r="H21" s="62">
        <v>1501.95</v>
      </c>
      <c r="I21" s="62">
        <f>ROUND(H21*D21,2)</f>
        <v>412645.74</v>
      </c>
      <c r="J21" s="62">
        <f>ROUND(I21*1.2,2)</f>
        <v>495174.89</v>
      </c>
      <c r="K21" s="63">
        <f t="shared" si="11"/>
        <v>412645.74</v>
      </c>
      <c r="L21" s="62">
        <f t="shared" si="11"/>
        <v>495174.89</v>
      </c>
      <c r="M21" s="64"/>
    </row>
    <row r="22" spans="1:13" ht="31.5" customHeight="1" x14ac:dyDescent="0.25">
      <c r="A22" s="45">
        <f>A20+1</f>
        <v>10</v>
      </c>
      <c r="B22" s="54" t="s">
        <v>95</v>
      </c>
      <c r="C22" s="55" t="s">
        <v>84</v>
      </c>
      <c r="D22" s="56">
        <v>153.94</v>
      </c>
      <c r="E22" s="48">
        <v>1055.45</v>
      </c>
      <c r="F22" s="49">
        <f t="shared" ref="F22" si="12">ROUND(E22*D22,2)</f>
        <v>162475.97</v>
      </c>
      <c r="G22" s="49">
        <f t="shared" ref="G22" si="13">ROUND(F22*1.2,2)</f>
        <v>194971.16</v>
      </c>
      <c r="H22" s="50"/>
      <c r="I22" s="49"/>
      <c r="J22" s="49"/>
      <c r="K22" s="48">
        <f t="shared" si="11"/>
        <v>162475.97</v>
      </c>
      <c r="L22" s="49">
        <f t="shared" si="11"/>
        <v>194971.16</v>
      </c>
    </row>
    <row r="23" spans="1:13" ht="20.25" customHeight="1" x14ac:dyDescent="0.25">
      <c r="A23" s="57" t="s">
        <v>96</v>
      </c>
      <c r="B23" s="58" t="s">
        <v>97</v>
      </c>
      <c r="C23" s="59" t="s">
        <v>84</v>
      </c>
      <c r="D23" s="60">
        <v>169.334</v>
      </c>
      <c r="E23" s="61"/>
      <c r="F23" s="62"/>
      <c r="G23" s="62"/>
      <c r="H23" s="62">
        <v>1191.3</v>
      </c>
      <c r="I23" s="62">
        <f>ROUND(H23*D23,2)</f>
        <v>201727.59</v>
      </c>
      <c r="J23" s="62">
        <f>ROUND(I23*1.2,2)</f>
        <v>242073.11</v>
      </c>
      <c r="K23" s="63">
        <f t="shared" si="11"/>
        <v>201727.59</v>
      </c>
      <c r="L23" s="62">
        <f t="shared" si="11"/>
        <v>242073.11</v>
      </c>
      <c r="M23" s="64"/>
    </row>
    <row r="24" spans="1:13" ht="31.5" customHeight="1" x14ac:dyDescent="0.25">
      <c r="A24" s="45">
        <f>A22+1</f>
        <v>11</v>
      </c>
      <c r="B24" s="54" t="s">
        <v>98</v>
      </c>
      <c r="C24" s="55" t="s">
        <v>84</v>
      </c>
      <c r="D24" s="56">
        <v>194</v>
      </c>
      <c r="E24" s="48">
        <v>1401.25</v>
      </c>
      <c r="F24" s="49">
        <f t="shared" ref="F24" si="14">ROUND(E24*D24,2)</f>
        <v>271842.5</v>
      </c>
      <c r="G24" s="49">
        <f t="shared" ref="G24" si="15">ROUND(F24*1.2,2)</f>
        <v>326211</v>
      </c>
      <c r="H24" s="50"/>
      <c r="I24" s="49"/>
      <c r="J24" s="49"/>
      <c r="K24" s="48">
        <f t="shared" si="11"/>
        <v>271842.5</v>
      </c>
      <c r="L24" s="49">
        <f t="shared" si="11"/>
        <v>326211</v>
      </c>
    </row>
    <row r="25" spans="1:13" ht="20.25" customHeight="1" x14ac:dyDescent="0.25">
      <c r="A25" s="57" t="s">
        <v>99</v>
      </c>
      <c r="B25" s="58" t="s">
        <v>100</v>
      </c>
      <c r="C25" s="59" t="s">
        <v>84</v>
      </c>
      <c r="D25" s="65">
        <v>244.44</v>
      </c>
      <c r="E25" s="61"/>
      <c r="F25" s="62"/>
      <c r="G25" s="62"/>
      <c r="H25" s="62">
        <v>3805.7</v>
      </c>
      <c r="I25" s="62">
        <f>ROUND(H25*D25,2)</f>
        <v>930265.31</v>
      </c>
      <c r="J25" s="62">
        <f>ROUND(I25*1.2,2)</f>
        <v>1116318.3700000001</v>
      </c>
      <c r="K25" s="63">
        <f t="shared" si="11"/>
        <v>930265.31</v>
      </c>
      <c r="L25" s="62">
        <f t="shared" si="11"/>
        <v>1116318.3700000001</v>
      </c>
      <c r="M25" s="64"/>
    </row>
    <row r="26" spans="1:13" ht="31.5" customHeight="1" x14ac:dyDescent="0.25">
      <c r="A26" s="45">
        <f>A24+1</f>
        <v>12</v>
      </c>
      <c r="B26" s="54" t="s">
        <v>101</v>
      </c>
      <c r="C26" s="55" t="s">
        <v>84</v>
      </c>
      <c r="D26" s="56">
        <v>112.99</v>
      </c>
      <c r="E26" s="48">
        <v>1401.25</v>
      </c>
      <c r="F26" s="49">
        <f t="shared" ref="F26" si="16">ROUND(E26*D26,2)</f>
        <v>158327.24</v>
      </c>
      <c r="G26" s="49">
        <f t="shared" ref="G26" si="17">ROUND(F26*1.2,2)</f>
        <v>189992.69</v>
      </c>
      <c r="H26" s="50"/>
      <c r="I26" s="49"/>
      <c r="J26" s="49"/>
      <c r="K26" s="48">
        <f t="shared" si="11"/>
        <v>158327.24</v>
      </c>
      <c r="L26" s="49">
        <f t="shared" si="11"/>
        <v>189992.69</v>
      </c>
    </row>
    <row r="27" spans="1:13" ht="20.25" customHeight="1" x14ac:dyDescent="0.25">
      <c r="A27" s="57" t="s">
        <v>102</v>
      </c>
      <c r="B27" s="58" t="s">
        <v>103</v>
      </c>
      <c r="C27" s="59" t="s">
        <v>84</v>
      </c>
      <c r="D27" s="66">
        <v>157.05609999999999</v>
      </c>
      <c r="E27" s="61"/>
      <c r="F27" s="62"/>
      <c r="G27" s="62"/>
      <c r="H27" s="62">
        <v>4006.15</v>
      </c>
      <c r="I27" s="62">
        <f>ROUND(H27*D27,2)</f>
        <v>629190.30000000005</v>
      </c>
      <c r="J27" s="62">
        <f>ROUND(I27*1.2,2)</f>
        <v>755028.36</v>
      </c>
      <c r="K27" s="63">
        <f t="shared" si="11"/>
        <v>629190.30000000005</v>
      </c>
      <c r="L27" s="62">
        <f t="shared" si="11"/>
        <v>755028.36</v>
      </c>
      <c r="M27" s="64"/>
    </row>
    <row r="28" spans="1:13" ht="18.75" customHeight="1" x14ac:dyDescent="0.25">
      <c r="A28" s="45">
        <f>A26+1</f>
        <v>13</v>
      </c>
      <c r="B28" s="46" t="s">
        <v>71</v>
      </c>
      <c r="C28" s="45" t="s">
        <v>72</v>
      </c>
      <c r="D28" s="67">
        <f>62-32</f>
        <v>30</v>
      </c>
      <c r="E28" s="51">
        <v>1144.75</v>
      </c>
      <c r="F28" s="49">
        <f t="shared" ref="F28" si="18">ROUND(E28*D28,2)</f>
        <v>34342.5</v>
      </c>
      <c r="G28" s="49">
        <f t="shared" ref="G28" si="19">ROUND(F28*1.2,2)</f>
        <v>41211</v>
      </c>
      <c r="H28" s="50"/>
      <c r="I28" s="49"/>
      <c r="J28" s="49"/>
      <c r="K28" s="48">
        <f t="shared" si="11"/>
        <v>34342.5</v>
      </c>
      <c r="L28" s="49">
        <f t="shared" si="11"/>
        <v>41211</v>
      </c>
      <c r="M28" s="68" t="s">
        <v>104</v>
      </c>
    </row>
    <row r="29" spans="1:13" ht="18.75" customHeight="1" x14ac:dyDescent="0.25">
      <c r="A29" s="57" t="s">
        <v>105</v>
      </c>
      <c r="B29" s="58" t="s">
        <v>74</v>
      </c>
      <c r="C29" s="69" t="s">
        <v>75</v>
      </c>
      <c r="D29" s="70">
        <f>62-32</f>
        <v>30</v>
      </c>
      <c r="E29" s="61"/>
      <c r="F29" s="62"/>
      <c r="G29" s="62"/>
      <c r="H29" s="71">
        <v>380.95</v>
      </c>
      <c r="I29" s="62">
        <f>ROUND(H29*D29,2)</f>
        <v>11428.5</v>
      </c>
      <c r="J29" s="62">
        <f>ROUND(I29*1.2,2)</f>
        <v>13714.2</v>
      </c>
      <c r="K29" s="63">
        <f t="shared" si="11"/>
        <v>11428.5</v>
      </c>
      <c r="L29" s="62">
        <f t="shared" si="11"/>
        <v>13714.2</v>
      </c>
    </row>
    <row r="30" spans="1:13" s="44" customFormat="1" ht="23.25" customHeight="1" x14ac:dyDescent="0.25">
      <c r="A30" s="35"/>
      <c r="B30" s="36" t="s">
        <v>106</v>
      </c>
      <c r="C30" s="35"/>
      <c r="D30" s="37"/>
      <c r="E30" s="38"/>
      <c r="F30" s="39"/>
      <c r="G30" s="39"/>
      <c r="H30" s="40"/>
      <c r="I30" s="39"/>
      <c r="J30" s="39"/>
      <c r="K30" s="41"/>
      <c r="L30" s="42"/>
      <c r="M30" s="43" t="s">
        <v>107</v>
      </c>
    </row>
    <row r="31" spans="1:13" ht="30" customHeight="1" x14ac:dyDescent="0.25">
      <c r="A31" s="45">
        <f>A28+1</f>
        <v>14</v>
      </c>
      <c r="B31" s="46" t="s">
        <v>108</v>
      </c>
      <c r="C31" s="45" t="s">
        <v>72</v>
      </c>
      <c r="D31" s="47">
        <v>78</v>
      </c>
      <c r="E31" s="51">
        <v>2230.6</v>
      </c>
      <c r="F31" s="49">
        <f t="shared" ref="F31" si="20">ROUND(E31*D31,2)</f>
        <v>173986.8</v>
      </c>
      <c r="G31" s="49">
        <f t="shared" ref="G31" si="21">ROUND(F31*1.2,2)</f>
        <v>208784.16</v>
      </c>
      <c r="H31" s="50"/>
      <c r="I31" s="49"/>
      <c r="J31" s="49"/>
      <c r="K31" s="48">
        <f t="shared" ref="K31:L36" si="22">F31+I31</f>
        <v>173986.8</v>
      </c>
      <c r="L31" s="49">
        <f t="shared" si="22"/>
        <v>208784.16</v>
      </c>
      <c r="M31" s="64"/>
    </row>
    <row r="32" spans="1:13" s="80" customFormat="1" ht="18.75" customHeight="1" x14ac:dyDescent="0.25">
      <c r="A32" s="72" t="s">
        <v>109</v>
      </c>
      <c r="B32" s="73" t="s">
        <v>110</v>
      </c>
      <c r="C32" s="74" t="s">
        <v>75</v>
      </c>
      <c r="D32" s="75">
        <v>284</v>
      </c>
      <c r="E32" s="76"/>
      <c r="F32" s="77"/>
      <c r="G32" s="77"/>
      <c r="H32" s="78">
        <v>2503.25</v>
      </c>
      <c r="I32" s="77">
        <f>ROUND(H32*D32,2)</f>
        <v>710923</v>
      </c>
      <c r="J32" s="77">
        <f t="shared" ref="J32:J37" si="23">ROUND(I32*1.2,2)</f>
        <v>853107.6</v>
      </c>
      <c r="K32" s="79">
        <f t="shared" si="22"/>
        <v>710923</v>
      </c>
      <c r="L32" s="77">
        <f t="shared" si="22"/>
        <v>853107.6</v>
      </c>
      <c r="M32" s="80" t="s">
        <v>111</v>
      </c>
    </row>
    <row r="33" spans="1:13" ht="18.75" customHeight="1" x14ac:dyDescent="0.25">
      <c r="A33" s="57" t="s">
        <v>112</v>
      </c>
      <c r="B33" s="351" t="s">
        <v>113</v>
      </c>
      <c r="C33" s="69" t="s">
        <v>75</v>
      </c>
      <c r="D33" s="70">
        <v>16</v>
      </c>
      <c r="E33" s="61"/>
      <c r="F33" s="62"/>
      <c r="G33" s="62"/>
      <c r="H33" s="71">
        <v>77112.45</v>
      </c>
      <c r="I33" s="62">
        <f>ROUND(H33*D33,2)</f>
        <v>1233799.2</v>
      </c>
      <c r="J33" s="62">
        <f t="shared" si="23"/>
        <v>1480559.04</v>
      </c>
      <c r="K33" s="63">
        <f t="shared" si="22"/>
        <v>1233799.2</v>
      </c>
      <c r="L33" s="62">
        <f t="shared" si="22"/>
        <v>1480559.04</v>
      </c>
    </row>
    <row r="34" spans="1:13" ht="18.75" customHeight="1" x14ac:dyDescent="0.25">
      <c r="A34" s="57" t="s">
        <v>114</v>
      </c>
      <c r="B34" s="351" t="s">
        <v>115</v>
      </c>
      <c r="C34" s="69" t="s">
        <v>80</v>
      </c>
      <c r="D34" s="81">
        <v>1.9450000000000001</v>
      </c>
      <c r="E34" s="61"/>
      <c r="F34" s="62"/>
      <c r="G34" s="62"/>
      <c r="H34" s="71">
        <v>240350</v>
      </c>
      <c r="I34" s="62">
        <f>ROUND(H34*D34,2)</f>
        <v>467480.75</v>
      </c>
      <c r="J34" s="62">
        <f t="shared" si="23"/>
        <v>560976.9</v>
      </c>
      <c r="K34" s="63">
        <f t="shared" si="22"/>
        <v>467480.75</v>
      </c>
      <c r="L34" s="62">
        <f t="shared" si="22"/>
        <v>560976.9</v>
      </c>
    </row>
    <row r="35" spans="1:13" ht="18.75" customHeight="1" x14ac:dyDescent="0.25">
      <c r="A35" s="57" t="s">
        <v>116</v>
      </c>
      <c r="B35" s="351" t="s">
        <v>117</v>
      </c>
      <c r="C35" s="69" t="s">
        <v>75</v>
      </c>
      <c r="D35" s="70">
        <v>568</v>
      </c>
      <c r="E35" s="61"/>
      <c r="F35" s="62"/>
      <c r="G35" s="62"/>
      <c r="H35" s="71">
        <f>175*1.15</f>
        <v>201.24999999999997</v>
      </c>
      <c r="I35" s="62">
        <f>ROUND(H35*D35,2)</f>
        <v>114310</v>
      </c>
      <c r="J35" s="62">
        <f t="shared" si="23"/>
        <v>137172</v>
      </c>
      <c r="K35" s="63">
        <f t="shared" si="22"/>
        <v>114310</v>
      </c>
      <c r="L35" s="62">
        <f t="shared" si="22"/>
        <v>137172</v>
      </c>
      <c r="M35" s="82" t="s">
        <v>118</v>
      </c>
    </row>
    <row r="36" spans="1:13" ht="18.75" customHeight="1" x14ac:dyDescent="0.25">
      <c r="A36" s="57" t="s">
        <v>119</v>
      </c>
      <c r="B36" s="351" t="s">
        <v>120</v>
      </c>
      <c r="C36" s="69" t="s">
        <v>75</v>
      </c>
      <c r="D36" s="70">
        <v>568</v>
      </c>
      <c r="E36" s="61"/>
      <c r="F36" s="62"/>
      <c r="G36" s="62"/>
      <c r="H36" s="71">
        <f>250*1.15</f>
        <v>287.5</v>
      </c>
      <c r="I36" s="62">
        <f>ROUND(H36*D36,2)</f>
        <v>163300</v>
      </c>
      <c r="J36" s="62">
        <f t="shared" si="23"/>
        <v>195960</v>
      </c>
      <c r="K36" s="63">
        <f t="shared" si="22"/>
        <v>163300</v>
      </c>
      <c r="L36" s="62">
        <f t="shared" si="22"/>
        <v>195960</v>
      </c>
      <c r="M36" s="82" t="s">
        <v>118</v>
      </c>
    </row>
    <row r="37" spans="1:13" s="85" customFormat="1" ht="23.25" customHeight="1" x14ac:dyDescent="0.3">
      <c r="A37" s="877" t="s">
        <v>121</v>
      </c>
      <c r="B37" s="878"/>
      <c r="C37" s="878"/>
      <c r="D37" s="878"/>
      <c r="E37" s="879"/>
      <c r="F37" s="83">
        <f>SUM(F8:F36)</f>
        <v>2408550.9000000004</v>
      </c>
      <c r="G37" s="83">
        <f>ROUND(F37*1.2,2)</f>
        <v>2890261.08</v>
      </c>
      <c r="H37" s="84"/>
      <c r="I37" s="83">
        <f>SUM(I8:I36)</f>
        <v>5440472.2400000002</v>
      </c>
      <c r="J37" s="83">
        <f t="shared" si="23"/>
        <v>6528566.6900000004</v>
      </c>
      <c r="K37" s="83">
        <f>SUM(K8:K36)</f>
        <v>7849023.1400000006</v>
      </c>
      <c r="L37" s="83">
        <f>ROUND(K37*1.2,2)</f>
        <v>9418827.7699999996</v>
      </c>
    </row>
    <row r="39" spans="1:13" x14ac:dyDescent="0.25">
      <c r="B39" s="86" t="s">
        <v>122</v>
      </c>
    </row>
    <row r="40" spans="1:13" x14ac:dyDescent="0.25">
      <c r="B40" s="88" t="s">
        <v>123</v>
      </c>
    </row>
  </sheetData>
  <mergeCells count="10">
    <mergeCell ref="B6:D6"/>
    <mergeCell ref="A37:E3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7D2B5-6A88-4271-8102-24D962F6DCC7}">
  <sheetPr>
    <tabColor rgb="FFFFFF00"/>
  </sheetPr>
  <dimension ref="A1:M13"/>
  <sheetViews>
    <sheetView view="pageBreakPreview" zoomScaleNormal="100" zoomScaleSheetLayoutView="100" workbookViewId="0">
      <selection activeCell="M8" sqref="M8"/>
    </sheetView>
  </sheetViews>
  <sheetFormatPr defaultColWidth="8.85546875" defaultRowHeight="15" x14ac:dyDescent="0.25"/>
  <cols>
    <col min="1" max="1" width="12.140625" style="401" bestFit="1" customWidth="1"/>
    <col min="2" max="2" width="65.140625" style="401" customWidth="1"/>
    <col min="3" max="3" width="10.5703125" style="401" customWidth="1"/>
    <col min="4" max="4" width="11" style="401" bestFit="1" customWidth="1"/>
    <col min="5" max="5" width="15.140625" style="401" customWidth="1"/>
    <col min="6" max="6" width="16" style="401" customWidth="1"/>
    <col min="7" max="7" width="17.140625" style="703" customWidth="1"/>
    <col min="8" max="8" width="16.140625" style="703" customWidth="1"/>
    <col min="9" max="10" width="16.140625" style="401" customWidth="1"/>
    <col min="11" max="11" width="17.28515625" style="401" customWidth="1"/>
    <col min="12" max="12" width="17.42578125" style="401" customWidth="1"/>
    <col min="13" max="13" width="35" style="401" customWidth="1"/>
    <col min="14" max="16384" width="8.85546875" style="401"/>
  </cols>
  <sheetData>
    <row r="1" spans="1:13" ht="14.45" customHeight="1" x14ac:dyDescent="0.25">
      <c r="A1" s="865" t="s">
        <v>26</v>
      </c>
      <c r="B1" s="868" t="s">
        <v>57</v>
      </c>
      <c r="C1" s="871" t="s">
        <v>58</v>
      </c>
      <c r="D1" s="871" t="s">
        <v>59</v>
      </c>
      <c r="E1" s="872" t="s">
        <v>60</v>
      </c>
      <c r="F1" s="873"/>
      <c r="G1" s="873"/>
      <c r="H1" s="873"/>
      <c r="I1" s="873"/>
      <c r="J1" s="873"/>
      <c r="K1" s="873"/>
      <c r="L1" s="873"/>
    </row>
    <row r="2" spans="1:13" ht="14.45" customHeight="1" x14ac:dyDescent="0.25">
      <c r="A2" s="866"/>
      <c r="B2" s="869"/>
      <c r="C2" s="871"/>
      <c r="D2" s="871"/>
      <c r="E2" s="874"/>
      <c r="F2" s="875"/>
      <c r="G2" s="875"/>
      <c r="H2" s="875"/>
      <c r="I2" s="875"/>
      <c r="J2" s="875"/>
      <c r="K2" s="875"/>
      <c r="L2" s="875"/>
    </row>
    <row r="3" spans="1:13" ht="27.75" customHeight="1" x14ac:dyDescent="0.25">
      <c r="A3" s="866"/>
      <c r="B3" s="869"/>
      <c r="C3" s="871"/>
      <c r="D3" s="871"/>
      <c r="E3" s="871" t="s">
        <v>61</v>
      </c>
      <c r="F3" s="871"/>
      <c r="G3" s="871"/>
      <c r="H3" s="871" t="s">
        <v>62</v>
      </c>
      <c r="I3" s="871"/>
      <c r="J3" s="871"/>
      <c r="K3" s="914" t="s">
        <v>63</v>
      </c>
      <c r="L3" s="914"/>
    </row>
    <row r="4" spans="1:13" ht="56.1" customHeight="1" x14ac:dyDescent="0.25">
      <c r="A4" s="867"/>
      <c r="B4" s="870"/>
      <c r="C4" s="871"/>
      <c r="D4" s="871"/>
      <c r="E4" s="353" t="s">
        <v>64</v>
      </c>
      <c r="F4" s="353" t="s">
        <v>65</v>
      </c>
      <c r="G4" s="677" t="s">
        <v>66</v>
      </c>
      <c r="H4" s="353" t="s">
        <v>64</v>
      </c>
      <c r="I4" s="353" t="s">
        <v>65</v>
      </c>
      <c r="J4" s="677" t="s">
        <v>66</v>
      </c>
      <c r="K4" s="353" t="s">
        <v>67</v>
      </c>
      <c r="L4" s="353" t="s">
        <v>68</v>
      </c>
    </row>
    <row r="5" spans="1:13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401"/>
    </row>
    <row r="6" spans="1:13" ht="20.25" customHeight="1" x14ac:dyDescent="0.25">
      <c r="A6" s="355"/>
      <c r="B6" s="860" t="s">
        <v>1194</v>
      </c>
      <c r="C6" s="861"/>
      <c r="D6" s="861"/>
      <c r="E6" s="356"/>
      <c r="F6" s="357"/>
      <c r="G6" s="358"/>
      <c r="H6" s="358"/>
      <c r="I6" s="358"/>
      <c r="J6" s="358"/>
      <c r="K6" s="358"/>
      <c r="L6" s="358"/>
    </row>
    <row r="7" spans="1:13" ht="20.25" customHeight="1" x14ac:dyDescent="0.25">
      <c r="A7" s="705"/>
      <c r="B7" s="360" t="s">
        <v>197</v>
      </c>
      <c r="C7" s="361"/>
      <c r="D7" s="362"/>
      <c r="E7" s="706"/>
      <c r="F7" s="363"/>
      <c r="G7" s="707"/>
      <c r="H7" s="688"/>
      <c r="I7" s="689"/>
      <c r="J7" s="689"/>
      <c r="K7" s="708"/>
      <c r="L7" s="689"/>
    </row>
    <row r="8" spans="1:13" s="438" customFormat="1" ht="33" customHeight="1" x14ac:dyDescent="0.25">
      <c r="A8" s="667">
        <v>1</v>
      </c>
      <c r="B8" s="152" t="s">
        <v>1195</v>
      </c>
      <c r="C8" s="418" t="s">
        <v>75</v>
      </c>
      <c r="D8" s="514">
        <v>96</v>
      </c>
      <c r="E8" s="431">
        <v>126</v>
      </c>
      <c r="F8" s="668">
        <f>ROUND(E8*D8,2)</f>
        <v>12096</v>
      </c>
      <c r="G8" s="668">
        <f t="shared" ref="G8" si="0">ROUND(F8*1.2,2)</f>
        <v>14515.2</v>
      </c>
      <c r="H8" s="431"/>
      <c r="I8" s="668"/>
      <c r="J8" s="668"/>
      <c r="K8" s="431">
        <f t="shared" ref="K8:L9" si="1">F8+I8</f>
        <v>12096</v>
      </c>
      <c r="L8" s="430">
        <f t="shared" si="1"/>
        <v>14515.2</v>
      </c>
      <c r="M8" s="711" t="s">
        <v>1197</v>
      </c>
    </row>
    <row r="9" spans="1:13" ht="31.5" customHeight="1" x14ac:dyDescent="0.25">
      <c r="A9" s="653">
        <f>A8+1</f>
        <v>2</v>
      </c>
      <c r="B9" s="99" t="s">
        <v>1196</v>
      </c>
      <c r="C9" s="404" t="s">
        <v>75</v>
      </c>
      <c r="D9" s="448">
        <v>216</v>
      </c>
      <c r="E9" s="409">
        <v>126</v>
      </c>
      <c r="F9" s="654">
        <f>ROUND(E9*D9,2)</f>
        <v>27216</v>
      </c>
      <c r="G9" s="654">
        <f>ROUND(F9*1.2,2)</f>
        <v>32659.200000000001</v>
      </c>
      <c r="H9" s="406"/>
      <c r="I9" s="654"/>
      <c r="J9" s="654"/>
      <c r="K9" s="655">
        <f t="shared" si="1"/>
        <v>27216</v>
      </c>
      <c r="L9" s="654">
        <f t="shared" si="1"/>
        <v>32659.200000000001</v>
      </c>
    </row>
    <row r="10" spans="1:13" s="702" customFormat="1" ht="23.25" customHeight="1" x14ac:dyDescent="0.3">
      <c r="A10" s="877" t="s">
        <v>121</v>
      </c>
      <c r="B10" s="878"/>
      <c r="C10" s="878"/>
      <c r="D10" s="878"/>
      <c r="E10" s="879"/>
      <c r="F10" s="709">
        <f>SUM(F7:F9)</f>
        <v>39312</v>
      </c>
      <c r="G10" s="709">
        <f>ROUND(F10*1.2,2)</f>
        <v>47174.400000000001</v>
      </c>
      <c r="H10" s="710"/>
      <c r="I10" s="709">
        <f>SUM(I7:I9)</f>
        <v>0</v>
      </c>
      <c r="J10" s="709">
        <f>ROUND(I10*1.2,2)</f>
        <v>0</v>
      </c>
      <c r="K10" s="709">
        <f>SUM(K7:K9)</f>
        <v>39312</v>
      </c>
      <c r="L10" s="709">
        <f>ROUND(K10*1.2,2)</f>
        <v>47174.400000000001</v>
      </c>
    </row>
    <row r="12" spans="1:13" x14ac:dyDescent="0.25">
      <c r="B12" s="459" t="s">
        <v>122</v>
      </c>
    </row>
    <row r="13" spans="1:13" x14ac:dyDescent="0.25">
      <c r="B13" s="460" t="s">
        <v>123</v>
      </c>
    </row>
  </sheetData>
  <mergeCells count="10">
    <mergeCell ref="B6:D6"/>
    <mergeCell ref="A10:E1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3FB4-1FF1-47F1-9088-0100C7A476D6}">
  <sheetPr>
    <tabColor rgb="FFFFFF00"/>
  </sheetPr>
  <dimension ref="A1:O79"/>
  <sheetViews>
    <sheetView view="pageBreakPreview" zoomScale="70" zoomScaleNormal="100" zoomScaleSheetLayoutView="70" workbookViewId="0">
      <selection activeCell="P20" sqref="P20"/>
    </sheetView>
  </sheetViews>
  <sheetFormatPr defaultColWidth="8.85546875" defaultRowHeight="15" x14ac:dyDescent="0.25"/>
  <cols>
    <col min="1" max="1" width="8.85546875" style="401"/>
    <col min="2" max="2" width="65.140625" style="401" customWidth="1"/>
    <col min="3" max="3" width="9.28515625" style="401" customWidth="1"/>
    <col min="4" max="4" width="13.28515625" style="401" customWidth="1"/>
    <col min="5" max="5" width="15.140625" style="401" customWidth="1"/>
    <col min="6" max="6" width="17.85546875" style="401" customWidth="1"/>
    <col min="7" max="7" width="17.140625" style="703" customWidth="1"/>
    <col min="8" max="8" width="16.140625" style="703" customWidth="1"/>
    <col min="9" max="9" width="18.42578125" style="401" customWidth="1"/>
    <col min="10" max="11" width="17.7109375" style="401" customWidth="1"/>
    <col min="12" max="12" width="18.140625" style="401" customWidth="1"/>
    <col min="13" max="13" width="55.42578125" style="352" customWidth="1"/>
    <col min="14" max="14" width="8.85546875" style="401"/>
    <col min="15" max="15" width="19.28515625" style="401" customWidth="1"/>
    <col min="16" max="16384" width="8.85546875" style="401"/>
  </cols>
  <sheetData>
    <row r="1" spans="1:15" ht="14.45" customHeight="1" x14ac:dyDescent="0.25">
      <c r="A1" s="865" t="s">
        <v>26</v>
      </c>
      <c r="B1" s="868" t="s">
        <v>57</v>
      </c>
      <c r="C1" s="871" t="s">
        <v>58</v>
      </c>
      <c r="D1" s="871" t="s">
        <v>59</v>
      </c>
      <c r="E1" s="872" t="s">
        <v>60</v>
      </c>
      <c r="F1" s="873"/>
      <c r="G1" s="873"/>
      <c r="H1" s="873"/>
      <c r="I1" s="873"/>
      <c r="J1" s="873"/>
      <c r="K1" s="873"/>
      <c r="L1" s="873"/>
    </row>
    <row r="2" spans="1:15" ht="14.45" customHeight="1" x14ac:dyDescent="0.25">
      <c r="A2" s="866"/>
      <c r="B2" s="869"/>
      <c r="C2" s="871"/>
      <c r="D2" s="871"/>
      <c r="E2" s="874"/>
      <c r="F2" s="875"/>
      <c r="G2" s="875"/>
      <c r="H2" s="875"/>
      <c r="I2" s="875"/>
      <c r="J2" s="875"/>
      <c r="K2" s="875"/>
      <c r="L2" s="875"/>
    </row>
    <row r="3" spans="1:15" ht="27.75" customHeight="1" x14ac:dyDescent="0.25">
      <c r="A3" s="866"/>
      <c r="B3" s="869"/>
      <c r="C3" s="871"/>
      <c r="D3" s="871"/>
      <c r="E3" s="871" t="s">
        <v>61</v>
      </c>
      <c r="F3" s="871"/>
      <c r="G3" s="871"/>
      <c r="H3" s="871" t="s">
        <v>62</v>
      </c>
      <c r="I3" s="871"/>
      <c r="J3" s="871"/>
      <c r="K3" s="914" t="s">
        <v>63</v>
      </c>
      <c r="L3" s="914"/>
    </row>
    <row r="4" spans="1:15" ht="56.1" customHeight="1" x14ac:dyDescent="0.25">
      <c r="A4" s="867"/>
      <c r="B4" s="870"/>
      <c r="C4" s="871"/>
      <c r="D4" s="871"/>
      <c r="E4" s="353" t="s">
        <v>64</v>
      </c>
      <c r="F4" s="353" t="s">
        <v>65</v>
      </c>
      <c r="G4" s="677" t="s">
        <v>66</v>
      </c>
      <c r="H4" s="353" t="s">
        <v>64</v>
      </c>
      <c r="I4" s="353" t="s">
        <v>65</v>
      </c>
      <c r="J4" s="677" t="s">
        <v>66</v>
      </c>
      <c r="K4" s="353" t="s">
        <v>67</v>
      </c>
      <c r="L4" s="353" t="s">
        <v>68</v>
      </c>
    </row>
    <row r="5" spans="1: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401"/>
    </row>
    <row r="6" spans="1:15" ht="20.25" customHeight="1" x14ac:dyDescent="0.25">
      <c r="A6" s="355"/>
      <c r="B6" s="860" t="s">
        <v>1113</v>
      </c>
      <c r="C6" s="861"/>
      <c r="D6" s="861"/>
      <c r="E6" s="356"/>
      <c r="F6" s="357"/>
      <c r="G6" s="358"/>
      <c r="H6" s="358"/>
      <c r="I6" s="358"/>
      <c r="J6" s="358"/>
      <c r="K6" s="358"/>
      <c r="L6" s="358"/>
      <c r="M6" s="678"/>
    </row>
    <row r="7" spans="1:15" ht="18" customHeight="1" x14ac:dyDescent="0.25">
      <c r="A7" s="679"/>
      <c r="B7" s="680" t="s">
        <v>181</v>
      </c>
      <c r="C7" s="681"/>
      <c r="D7" s="681"/>
      <c r="E7" s="682"/>
      <c r="F7" s="683"/>
      <c r="G7" s="683"/>
      <c r="H7" s="392"/>
      <c r="I7" s="684"/>
      <c r="J7" s="684"/>
      <c r="K7" s="682"/>
      <c r="L7" s="683"/>
    </row>
    <row r="8" spans="1:15" ht="24" customHeight="1" x14ac:dyDescent="0.25">
      <c r="A8" s="520">
        <v>1</v>
      </c>
      <c r="B8" s="18" t="s">
        <v>1114</v>
      </c>
      <c r="C8" s="369" t="s">
        <v>75</v>
      </c>
      <c r="D8" s="685">
        <v>5</v>
      </c>
      <c r="E8" s="371">
        <v>5674.3499999999995</v>
      </c>
      <c r="F8" s="521">
        <f t="shared" ref="F8" si="0">ROUND(E8*D8,2)</f>
        <v>28371.75</v>
      </c>
      <c r="G8" s="521">
        <f t="shared" ref="G8" si="1">ROUND(F8*1.2,2)</f>
        <v>34046.1</v>
      </c>
      <c r="H8" s="657"/>
      <c r="I8" s="658"/>
      <c r="J8" s="658"/>
      <c r="K8" s="374">
        <f t="shared" ref="K8:L8" si="2">F8+I8</f>
        <v>28371.75</v>
      </c>
      <c r="L8" s="372">
        <f t="shared" si="2"/>
        <v>34046.1</v>
      </c>
    </row>
    <row r="9" spans="1:15" ht="24" customHeight="1" x14ac:dyDescent="0.25">
      <c r="A9" s="679"/>
      <c r="B9" s="680" t="s">
        <v>197</v>
      </c>
      <c r="C9" s="390"/>
      <c r="D9" s="686"/>
      <c r="E9" s="451"/>
      <c r="F9" s="687"/>
      <c r="G9" s="687"/>
      <c r="H9" s="688"/>
      <c r="I9" s="689"/>
      <c r="J9" s="689"/>
      <c r="K9" s="367"/>
      <c r="L9" s="366"/>
    </row>
    <row r="10" spans="1:15" ht="24" customHeight="1" x14ac:dyDescent="0.25">
      <c r="A10" s="653">
        <f>A8+1</f>
        <v>2</v>
      </c>
      <c r="B10" s="99" t="s">
        <v>1115</v>
      </c>
      <c r="C10" s="404" t="s">
        <v>1116</v>
      </c>
      <c r="D10" s="690">
        <v>0.32</v>
      </c>
      <c r="E10" s="409">
        <v>329655.42499999999</v>
      </c>
      <c r="F10" s="654">
        <f>ROUND(E10*D10,2)</f>
        <v>105489.74</v>
      </c>
      <c r="G10" s="654">
        <f>ROUND(F10*1.2,2)</f>
        <v>126587.69</v>
      </c>
      <c r="H10" s="406"/>
      <c r="I10" s="654"/>
      <c r="J10" s="654"/>
      <c r="K10" s="655">
        <f t="shared" ref="K10:L15" si="3">F10+I10</f>
        <v>105489.74</v>
      </c>
      <c r="L10" s="654">
        <f t="shared" si="3"/>
        <v>126587.69</v>
      </c>
    </row>
    <row r="11" spans="1:15" ht="24" customHeight="1" x14ac:dyDescent="0.25">
      <c r="A11" s="653">
        <f t="shared" ref="A11:A15" si="4">A10+1</f>
        <v>3</v>
      </c>
      <c r="B11" s="99" t="s">
        <v>1117</v>
      </c>
      <c r="C11" s="404" t="s">
        <v>1116</v>
      </c>
      <c r="D11" s="690">
        <v>0.32</v>
      </c>
      <c r="E11" s="409">
        <v>228979.6</v>
      </c>
      <c r="F11" s="654">
        <f t="shared" ref="F11" si="5">ROUND(E11*D11,2)</f>
        <v>73273.47</v>
      </c>
      <c r="G11" s="654">
        <f t="shared" ref="G11:G15" si="6">ROUND(F11*1.2,2)</f>
        <v>87928.16</v>
      </c>
      <c r="H11" s="406"/>
      <c r="I11" s="654"/>
      <c r="J11" s="654"/>
      <c r="K11" s="655">
        <f t="shared" si="3"/>
        <v>73273.47</v>
      </c>
      <c r="L11" s="654">
        <f t="shared" si="3"/>
        <v>87928.16</v>
      </c>
    </row>
    <row r="12" spans="1:15" ht="24" customHeight="1" x14ac:dyDescent="0.25">
      <c r="A12" s="653">
        <f t="shared" si="4"/>
        <v>4</v>
      </c>
      <c r="B12" s="99" t="s">
        <v>1118</v>
      </c>
      <c r="C12" s="404" t="s">
        <v>75</v>
      </c>
      <c r="D12" s="691">
        <v>3</v>
      </c>
      <c r="E12" s="409">
        <v>58441.676000000007</v>
      </c>
      <c r="F12" s="654">
        <f>ROUND(E12*D12,2)</f>
        <v>175325.03</v>
      </c>
      <c r="G12" s="654">
        <f t="shared" si="6"/>
        <v>210390.04</v>
      </c>
      <c r="H12" s="406"/>
      <c r="I12" s="654"/>
      <c r="J12" s="654"/>
      <c r="K12" s="655">
        <f t="shared" si="3"/>
        <v>175325.03</v>
      </c>
      <c r="L12" s="654">
        <f t="shared" si="3"/>
        <v>210390.04</v>
      </c>
    </row>
    <row r="13" spans="1:15" ht="24" customHeight="1" x14ac:dyDescent="0.25">
      <c r="A13" s="520">
        <f t="shared" si="4"/>
        <v>5</v>
      </c>
      <c r="B13" s="18" t="s">
        <v>1119</v>
      </c>
      <c r="C13" s="369" t="s">
        <v>75</v>
      </c>
      <c r="D13" s="692">
        <v>1</v>
      </c>
      <c r="E13" s="374">
        <v>46569.95</v>
      </c>
      <c r="F13" s="521">
        <f>ROUND(E13*D13,2)</f>
        <v>46569.95</v>
      </c>
      <c r="G13" s="521">
        <f t="shared" si="6"/>
        <v>55883.94</v>
      </c>
      <c r="H13" s="371"/>
      <c r="I13" s="521"/>
      <c r="J13" s="521"/>
      <c r="K13" s="693">
        <f t="shared" si="3"/>
        <v>46569.95</v>
      </c>
      <c r="L13" s="521">
        <f t="shared" si="3"/>
        <v>55883.94</v>
      </c>
    </row>
    <row r="14" spans="1:15" ht="24" customHeight="1" x14ac:dyDescent="0.25">
      <c r="A14" s="520">
        <f t="shared" si="4"/>
        <v>6</v>
      </c>
      <c r="B14" s="18" t="s">
        <v>1120</v>
      </c>
      <c r="C14" s="369" t="s">
        <v>75</v>
      </c>
      <c r="D14" s="692">
        <v>4</v>
      </c>
      <c r="E14" s="374">
        <v>67895.08</v>
      </c>
      <c r="F14" s="521">
        <f>ROUND(E14*D14,2)</f>
        <v>271580.32</v>
      </c>
      <c r="G14" s="521">
        <f t="shared" si="6"/>
        <v>325896.38</v>
      </c>
      <c r="H14" s="371"/>
      <c r="I14" s="521"/>
      <c r="J14" s="521"/>
      <c r="K14" s="693">
        <f t="shared" si="3"/>
        <v>271580.32</v>
      </c>
      <c r="L14" s="521">
        <f t="shared" si="3"/>
        <v>325896.38</v>
      </c>
    </row>
    <row r="15" spans="1:15" ht="24" customHeight="1" x14ac:dyDescent="0.25">
      <c r="A15" s="667">
        <f t="shared" si="4"/>
        <v>7</v>
      </c>
      <c r="B15" s="18" t="s">
        <v>1121</v>
      </c>
      <c r="C15" s="369" t="s">
        <v>80</v>
      </c>
      <c r="D15" s="692">
        <v>7.9</v>
      </c>
      <c r="E15" s="374">
        <v>414.42</v>
      </c>
      <c r="F15" s="521">
        <f>ROUND(E15*D15,2)</f>
        <v>3273.92</v>
      </c>
      <c r="G15" s="521">
        <f t="shared" si="6"/>
        <v>3928.7</v>
      </c>
      <c r="H15" s="371"/>
      <c r="I15" s="521"/>
      <c r="J15" s="521"/>
      <c r="K15" s="693">
        <f t="shared" si="3"/>
        <v>3273.92</v>
      </c>
      <c r="L15" s="521">
        <f t="shared" si="3"/>
        <v>3928.7</v>
      </c>
      <c r="O15" s="827">
        <f>L15-D15*СВОД!$P$2*1.2</f>
        <v>1001.75</v>
      </c>
    </row>
    <row r="16" spans="1:15" ht="24" customHeight="1" x14ac:dyDescent="0.25">
      <c r="A16" s="679"/>
      <c r="B16" s="680" t="s">
        <v>1122</v>
      </c>
      <c r="C16" s="390"/>
      <c r="D16" s="694"/>
      <c r="E16" s="392"/>
      <c r="F16" s="683"/>
      <c r="G16" s="683"/>
      <c r="H16" s="688"/>
      <c r="I16" s="689"/>
      <c r="J16" s="689"/>
      <c r="K16" s="367"/>
      <c r="L16" s="366"/>
    </row>
    <row r="17" spans="1:12" ht="24" customHeight="1" x14ac:dyDescent="0.25">
      <c r="A17" s="653">
        <f>A15+1</f>
        <v>8</v>
      </c>
      <c r="B17" s="99" t="s">
        <v>1123</v>
      </c>
      <c r="C17" s="404" t="s">
        <v>1124</v>
      </c>
      <c r="D17" s="448">
        <v>1</v>
      </c>
      <c r="E17" s="409">
        <v>148331</v>
      </c>
      <c r="F17" s="654">
        <f t="shared" ref="F17:F20" si="7">ROUND(E17*D17,2)</f>
        <v>148331</v>
      </c>
      <c r="G17" s="654">
        <f t="shared" ref="G17:G20" si="8">ROUND(F17*1.2,2)</f>
        <v>177997.2</v>
      </c>
      <c r="H17" s="406"/>
      <c r="I17" s="654"/>
      <c r="J17" s="654"/>
      <c r="K17" s="655">
        <f t="shared" ref="K17:L32" si="9">F17+I17</f>
        <v>148331</v>
      </c>
      <c r="L17" s="654">
        <f t="shared" si="9"/>
        <v>177997.2</v>
      </c>
    </row>
    <row r="18" spans="1:12" ht="24" customHeight="1" x14ac:dyDescent="0.25">
      <c r="A18" s="520">
        <f>A17+1</f>
        <v>9</v>
      </c>
      <c r="B18" s="18" t="s">
        <v>1125</v>
      </c>
      <c r="C18" s="369" t="s">
        <v>77</v>
      </c>
      <c r="D18" s="370">
        <v>53.24</v>
      </c>
      <c r="E18" s="374">
        <v>304</v>
      </c>
      <c r="F18" s="521">
        <f t="shared" si="7"/>
        <v>16184.96</v>
      </c>
      <c r="G18" s="521">
        <f t="shared" si="8"/>
        <v>19421.95</v>
      </c>
      <c r="H18" s="371"/>
      <c r="I18" s="521"/>
      <c r="J18" s="521"/>
      <c r="K18" s="693">
        <f t="shared" si="9"/>
        <v>16184.96</v>
      </c>
      <c r="L18" s="521">
        <f t="shared" si="9"/>
        <v>19421.95</v>
      </c>
    </row>
    <row r="19" spans="1:12" ht="24" customHeight="1" x14ac:dyDescent="0.25">
      <c r="A19" s="695" t="s">
        <v>93</v>
      </c>
      <c r="B19" s="696" t="s">
        <v>1126</v>
      </c>
      <c r="C19" s="375" t="s">
        <v>171</v>
      </c>
      <c r="D19" s="376">
        <v>15.97</v>
      </c>
      <c r="E19" s="379"/>
      <c r="F19" s="501"/>
      <c r="G19" s="501"/>
      <c r="H19" s="501">
        <v>149.15</v>
      </c>
      <c r="I19" s="501">
        <f t="shared" ref="I19" si="10">ROUND(H19*D19,2)</f>
        <v>2381.9299999999998</v>
      </c>
      <c r="J19" s="501">
        <f t="shared" ref="J19" si="11">ROUND(I19*1.2,2)</f>
        <v>2858.32</v>
      </c>
      <c r="K19" s="502">
        <f t="shared" si="9"/>
        <v>2381.9299999999998</v>
      </c>
      <c r="L19" s="501">
        <f t="shared" si="9"/>
        <v>2858.32</v>
      </c>
    </row>
    <row r="20" spans="1:12" ht="32.25" customHeight="1" x14ac:dyDescent="0.25">
      <c r="A20" s="653">
        <f>A18+1</f>
        <v>10</v>
      </c>
      <c r="B20" s="99" t="s">
        <v>1127</v>
      </c>
      <c r="C20" s="404" t="s">
        <v>75</v>
      </c>
      <c r="D20" s="448">
        <v>5</v>
      </c>
      <c r="E20" s="409">
        <v>146104.19</v>
      </c>
      <c r="F20" s="654">
        <f t="shared" si="7"/>
        <v>730520.95</v>
      </c>
      <c r="G20" s="654">
        <f t="shared" si="8"/>
        <v>876625.14</v>
      </c>
      <c r="H20" s="406"/>
      <c r="I20" s="654"/>
      <c r="J20" s="654"/>
      <c r="K20" s="655">
        <f t="shared" si="9"/>
        <v>730520.95</v>
      </c>
      <c r="L20" s="654">
        <f t="shared" si="9"/>
        <v>876625.14</v>
      </c>
    </row>
    <row r="21" spans="1:12" ht="24" customHeight="1" x14ac:dyDescent="0.25">
      <c r="A21" s="695" t="s">
        <v>96</v>
      </c>
      <c r="B21" s="696" t="s">
        <v>1128</v>
      </c>
      <c r="C21" s="375" t="s">
        <v>75</v>
      </c>
      <c r="D21" s="410">
        <v>1</v>
      </c>
      <c r="E21" s="379"/>
      <c r="F21" s="501"/>
      <c r="G21" s="501"/>
      <c r="H21" s="378">
        <v>120000</v>
      </c>
      <c r="I21" s="378">
        <f t="shared" ref="I21:I24" si="12">ROUND(H21*D21,2)</f>
        <v>120000</v>
      </c>
      <c r="J21" s="378">
        <f t="shared" ref="J21:J24" si="13">ROUND(I21*1.2,2)</f>
        <v>144000</v>
      </c>
      <c r="K21" s="379">
        <f t="shared" si="9"/>
        <v>120000</v>
      </c>
      <c r="L21" s="501">
        <f t="shared" si="9"/>
        <v>144000</v>
      </c>
    </row>
    <row r="22" spans="1:12" ht="24" customHeight="1" x14ac:dyDescent="0.25">
      <c r="A22" s="695" t="s">
        <v>1129</v>
      </c>
      <c r="B22" s="696" t="s">
        <v>1130</v>
      </c>
      <c r="C22" s="375" t="s">
        <v>75</v>
      </c>
      <c r="D22" s="410">
        <v>4</v>
      </c>
      <c r="E22" s="379"/>
      <c r="F22" s="501"/>
      <c r="G22" s="501"/>
      <c r="H22" s="379">
        <f>360000/4</f>
        <v>90000</v>
      </c>
      <c r="I22" s="378">
        <f t="shared" si="12"/>
        <v>360000</v>
      </c>
      <c r="J22" s="378">
        <f t="shared" si="13"/>
        <v>432000</v>
      </c>
      <c r="K22" s="379">
        <f t="shared" si="9"/>
        <v>360000</v>
      </c>
      <c r="L22" s="501">
        <f t="shared" si="9"/>
        <v>432000</v>
      </c>
    </row>
    <row r="23" spans="1:12" ht="24" customHeight="1" x14ac:dyDescent="0.25">
      <c r="A23" s="695" t="s">
        <v>1131</v>
      </c>
      <c r="B23" s="26" t="s">
        <v>1132</v>
      </c>
      <c r="C23" s="375" t="s">
        <v>75</v>
      </c>
      <c r="D23" s="410">
        <v>2</v>
      </c>
      <c r="E23" s="379"/>
      <c r="F23" s="501"/>
      <c r="G23" s="501"/>
      <c r="H23" s="378">
        <v>29702.05</v>
      </c>
      <c r="I23" s="378">
        <f t="shared" si="12"/>
        <v>59404.1</v>
      </c>
      <c r="J23" s="378">
        <f t="shared" si="13"/>
        <v>71284.92</v>
      </c>
      <c r="K23" s="379">
        <f t="shared" si="9"/>
        <v>59404.1</v>
      </c>
      <c r="L23" s="501">
        <f t="shared" si="9"/>
        <v>71284.92</v>
      </c>
    </row>
    <row r="24" spans="1:12" ht="24" customHeight="1" x14ac:dyDescent="0.25">
      <c r="A24" s="695" t="s">
        <v>1133</v>
      </c>
      <c r="B24" s="26" t="s">
        <v>1134</v>
      </c>
      <c r="C24" s="375" t="s">
        <v>75</v>
      </c>
      <c r="D24" s="410">
        <v>3</v>
      </c>
      <c r="E24" s="379"/>
      <c r="F24" s="501"/>
      <c r="G24" s="501"/>
      <c r="H24" s="379">
        <v>32310</v>
      </c>
      <c r="I24" s="378">
        <f t="shared" si="12"/>
        <v>96930</v>
      </c>
      <c r="J24" s="378">
        <f t="shared" si="13"/>
        <v>116316</v>
      </c>
      <c r="K24" s="379">
        <f t="shared" si="9"/>
        <v>96930</v>
      </c>
      <c r="L24" s="501">
        <f t="shared" si="9"/>
        <v>116316</v>
      </c>
    </row>
    <row r="25" spans="1:12" ht="24" customHeight="1" x14ac:dyDescent="0.25">
      <c r="A25" s="653">
        <f>A20+1</f>
        <v>11</v>
      </c>
      <c r="B25" s="99" t="s">
        <v>1135</v>
      </c>
      <c r="C25" s="404" t="s">
        <v>1136</v>
      </c>
      <c r="D25" s="448">
        <v>5</v>
      </c>
      <c r="E25" s="409"/>
      <c r="F25" s="654">
        <f t="shared" ref="F25" si="14">ROUND(E25*D25,2)</f>
        <v>0</v>
      </c>
      <c r="G25" s="654">
        <f t="shared" ref="G25" si="15">ROUND(F25*1.2,2)</f>
        <v>0</v>
      </c>
      <c r="H25" s="406"/>
      <c r="I25" s="654"/>
      <c r="J25" s="654"/>
      <c r="K25" s="655">
        <f t="shared" si="9"/>
        <v>0</v>
      </c>
      <c r="L25" s="654">
        <f t="shared" si="9"/>
        <v>0</v>
      </c>
    </row>
    <row r="26" spans="1:12" ht="24" customHeight="1" x14ac:dyDescent="0.25">
      <c r="A26" s="695" t="s">
        <v>99</v>
      </c>
      <c r="B26" s="696" t="s">
        <v>1137</v>
      </c>
      <c r="C26" s="375" t="s">
        <v>75</v>
      </c>
      <c r="D26" s="410">
        <v>20</v>
      </c>
      <c r="E26" s="379"/>
      <c r="F26" s="501"/>
      <c r="G26" s="501"/>
      <c r="H26" s="378">
        <v>596.4</v>
      </c>
      <c r="I26" s="501">
        <f t="shared" ref="I26:I34" si="16">ROUND(H26*D26,2)</f>
        <v>11928</v>
      </c>
      <c r="J26" s="501">
        <f t="shared" ref="J26:J34" si="17">ROUND(I26*1.2,2)</f>
        <v>14313.6</v>
      </c>
      <c r="K26" s="502">
        <f t="shared" si="9"/>
        <v>11928</v>
      </c>
      <c r="L26" s="501">
        <f t="shared" si="9"/>
        <v>14313.6</v>
      </c>
    </row>
    <row r="27" spans="1:12" ht="24" customHeight="1" x14ac:dyDescent="0.25">
      <c r="A27" s="695" t="s">
        <v>900</v>
      </c>
      <c r="B27" s="696" t="s">
        <v>1138</v>
      </c>
      <c r="C27" s="375" t="s">
        <v>75</v>
      </c>
      <c r="D27" s="410">
        <v>20</v>
      </c>
      <c r="E27" s="379"/>
      <c r="F27" s="501"/>
      <c r="G27" s="501"/>
      <c r="H27" s="378">
        <v>596.4</v>
      </c>
      <c r="I27" s="501">
        <f t="shared" si="16"/>
        <v>11928</v>
      </c>
      <c r="J27" s="501">
        <f t="shared" si="17"/>
        <v>14313.6</v>
      </c>
      <c r="K27" s="502">
        <f t="shared" si="9"/>
        <v>11928</v>
      </c>
      <c r="L27" s="501">
        <f t="shared" si="9"/>
        <v>14313.6</v>
      </c>
    </row>
    <row r="28" spans="1:12" ht="24" customHeight="1" x14ac:dyDescent="0.25">
      <c r="A28" s="695" t="s">
        <v>1139</v>
      </c>
      <c r="B28" s="26" t="s">
        <v>1140</v>
      </c>
      <c r="C28" s="375" t="s">
        <v>75</v>
      </c>
      <c r="D28" s="410">
        <v>5</v>
      </c>
      <c r="E28" s="379"/>
      <c r="F28" s="501"/>
      <c r="G28" s="501"/>
      <c r="H28" s="378">
        <v>1604</v>
      </c>
      <c r="I28" s="501">
        <f t="shared" si="16"/>
        <v>8020</v>
      </c>
      <c r="J28" s="501">
        <f t="shared" si="17"/>
        <v>9624</v>
      </c>
      <c r="K28" s="502">
        <f t="shared" si="9"/>
        <v>8020</v>
      </c>
      <c r="L28" s="501">
        <f t="shared" si="9"/>
        <v>9624</v>
      </c>
    </row>
    <row r="29" spans="1:12" ht="24" customHeight="1" x14ac:dyDescent="0.25">
      <c r="A29" s="695" t="s">
        <v>1141</v>
      </c>
      <c r="B29" s="26" t="s">
        <v>1142</v>
      </c>
      <c r="C29" s="375" t="s">
        <v>75</v>
      </c>
      <c r="D29" s="410">
        <v>20</v>
      </c>
      <c r="E29" s="379"/>
      <c r="F29" s="501"/>
      <c r="G29" s="501"/>
      <c r="H29" s="378">
        <v>33.9</v>
      </c>
      <c r="I29" s="501">
        <f t="shared" si="16"/>
        <v>678</v>
      </c>
      <c r="J29" s="501">
        <f t="shared" si="17"/>
        <v>813.6</v>
      </c>
      <c r="K29" s="502">
        <f t="shared" si="9"/>
        <v>678</v>
      </c>
      <c r="L29" s="501">
        <f t="shared" si="9"/>
        <v>813.6</v>
      </c>
    </row>
    <row r="30" spans="1:12" ht="24" customHeight="1" x14ac:dyDescent="0.25">
      <c r="A30" s="695" t="s">
        <v>1143</v>
      </c>
      <c r="B30" s="696" t="s">
        <v>1137</v>
      </c>
      <c r="C30" s="375" t="s">
        <v>75</v>
      </c>
      <c r="D30" s="410">
        <v>20</v>
      </c>
      <c r="E30" s="379"/>
      <c r="F30" s="501"/>
      <c r="G30" s="501"/>
      <c r="H30" s="378">
        <v>596.4</v>
      </c>
      <c r="I30" s="501">
        <f t="shared" si="16"/>
        <v>11928</v>
      </c>
      <c r="J30" s="501">
        <f t="shared" si="17"/>
        <v>14313.6</v>
      </c>
      <c r="K30" s="502">
        <f t="shared" si="9"/>
        <v>11928</v>
      </c>
      <c r="L30" s="501">
        <f t="shared" si="9"/>
        <v>14313.6</v>
      </c>
    </row>
    <row r="31" spans="1:12" ht="24" customHeight="1" x14ac:dyDescent="0.25">
      <c r="A31" s="695" t="s">
        <v>1144</v>
      </c>
      <c r="B31" s="696" t="s">
        <v>1138</v>
      </c>
      <c r="C31" s="375" t="s">
        <v>75</v>
      </c>
      <c r="D31" s="410">
        <v>20</v>
      </c>
      <c r="E31" s="379"/>
      <c r="F31" s="501"/>
      <c r="G31" s="501"/>
      <c r="H31" s="378">
        <v>596.4</v>
      </c>
      <c r="I31" s="501">
        <f t="shared" si="16"/>
        <v>11928</v>
      </c>
      <c r="J31" s="501">
        <f t="shared" si="17"/>
        <v>14313.6</v>
      </c>
      <c r="K31" s="502">
        <f t="shared" si="9"/>
        <v>11928</v>
      </c>
      <c r="L31" s="501">
        <f t="shared" si="9"/>
        <v>14313.6</v>
      </c>
    </row>
    <row r="32" spans="1:12" ht="24" customHeight="1" x14ac:dyDescent="0.25">
      <c r="A32" s="695" t="s">
        <v>1145</v>
      </c>
      <c r="B32" s="26" t="s">
        <v>1146</v>
      </c>
      <c r="C32" s="375" t="s">
        <v>75</v>
      </c>
      <c r="D32" s="410">
        <v>40</v>
      </c>
      <c r="E32" s="379"/>
      <c r="F32" s="501"/>
      <c r="G32" s="501"/>
      <c r="H32" s="378">
        <v>44.76</v>
      </c>
      <c r="I32" s="501">
        <f t="shared" si="16"/>
        <v>1790.4</v>
      </c>
      <c r="J32" s="501">
        <f t="shared" si="17"/>
        <v>2148.48</v>
      </c>
      <c r="K32" s="502">
        <f t="shared" si="9"/>
        <v>1790.4</v>
      </c>
      <c r="L32" s="501">
        <f t="shared" si="9"/>
        <v>2148.48</v>
      </c>
    </row>
    <row r="33" spans="1:13" ht="24" customHeight="1" x14ac:dyDescent="0.25">
      <c r="A33" s="695" t="s">
        <v>1147</v>
      </c>
      <c r="B33" s="26" t="s">
        <v>1148</v>
      </c>
      <c r="C33" s="375" t="s">
        <v>75</v>
      </c>
      <c r="D33" s="410">
        <v>20</v>
      </c>
      <c r="E33" s="379"/>
      <c r="F33" s="501"/>
      <c r="G33" s="501"/>
      <c r="H33" s="378">
        <v>18.5</v>
      </c>
      <c r="I33" s="501">
        <f t="shared" si="16"/>
        <v>370</v>
      </c>
      <c r="J33" s="501">
        <f t="shared" si="17"/>
        <v>444</v>
      </c>
      <c r="K33" s="502">
        <f t="shared" ref="K33:L48" si="18">F33+I33</f>
        <v>370</v>
      </c>
      <c r="L33" s="501">
        <f t="shared" si="18"/>
        <v>444</v>
      </c>
    </row>
    <row r="34" spans="1:13" ht="24" customHeight="1" x14ac:dyDescent="0.25">
      <c r="A34" s="695" t="s">
        <v>1149</v>
      </c>
      <c r="B34" s="26" t="s">
        <v>1150</v>
      </c>
      <c r="C34" s="375" t="s">
        <v>75</v>
      </c>
      <c r="D34" s="410">
        <v>20</v>
      </c>
      <c r="E34" s="379"/>
      <c r="F34" s="501"/>
      <c r="G34" s="501"/>
      <c r="H34" s="378">
        <v>254.97</v>
      </c>
      <c r="I34" s="501">
        <f t="shared" si="16"/>
        <v>5099.3999999999996</v>
      </c>
      <c r="J34" s="501">
        <f t="shared" si="17"/>
        <v>6119.28</v>
      </c>
      <c r="K34" s="502">
        <f t="shared" si="18"/>
        <v>5099.3999999999996</v>
      </c>
      <c r="L34" s="501">
        <f t="shared" si="18"/>
        <v>6119.28</v>
      </c>
    </row>
    <row r="35" spans="1:13" ht="18.75" customHeight="1" x14ac:dyDescent="0.25">
      <c r="A35" s="404">
        <f>A25+1</f>
        <v>12</v>
      </c>
      <c r="B35" s="99" t="s">
        <v>1151</v>
      </c>
      <c r="C35" s="404" t="s">
        <v>75</v>
      </c>
      <c r="D35" s="448">
        <v>5</v>
      </c>
      <c r="E35" s="409">
        <v>420</v>
      </c>
      <c r="F35" s="654">
        <f t="shared" ref="F35:F37" si="19">ROUND(E35*D35,2)</f>
        <v>2100</v>
      </c>
      <c r="G35" s="654">
        <f t="shared" ref="G35:G37" si="20">ROUND(F35*1.2,2)</f>
        <v>2520</v>
      </c>
      <c r="H35" s="406"/>
      <c r="I35" s="654"/>
      <c r="J35" s="654"/>
      <c r="K35" s="655">
        <f t="shared" si="18"/>
        <v>2100</v>
      </c>
      <c r="L35" s="654">
        <f t="shared" si="18"/>
        <v>2520</v>
      </c>
      <c r="M35" s="401"/>
    </row>
    <row r="36" spans="1:13" ht="18.75" customHeight="1" x14ac:dyDescent="0.25">
      <c r="A36" s="359" t="s">
        <v>102</v>
      </c>
      <c r="B36" s="26" t="s">
        <v>1152</v>
      </c>
      <c r="C36" s="375" t="s">
        <v>75</v>
      </c>
      <c r="D36" s="410">
        <v>5</v>
      </c>
      <c r="E36" s="379"/>
      <c r="F36" s="501"/>
      <c r="G36" s="501"/>
      <c r="H36" s="379">
        <v>566</v>
      </c>
      <c r="I36" s="501">
        <f t="shared" ref="I36" si="21">ROUND(H36*D36,2)</f>
        <v>2830</v>
      </c>
      <c r="J36" s="501">
        <f t="shared" ref="J36" si="22">ROUND(I36*1.2,2)</f>
        <v>3396</v>
      </c>
      <c r="K36" s="502">
        <f t="shared" si="18"/>
        <v>2830</v>
      </c>
      <c r="L36" s="501">
        <f t="shared" si="18"/>
        <v>3396</v>
      </c>
      <c r="M36" s="401"/>
    </row>
    <row r="37" spans="1:13" ht="18.75" customHeight="1" x14ac:dyDescent="0.25">
      <c r="A37" s="697">
        <f>A35+1</f>
        <v>13</v>
      </c>
      <c r="B37" s="99" t="s">
        <v>1153</v>
      </c>
      <c r="C37" s="404" t="s">
        <v>75</v>
      </c>
      <c r="D37" s="448">
        <v>5</v>
      </c>
      <c r="E37" s="409">
        <v>420</v>
      </c>
      <c r="F37" s="654">
        <f t="shared" si="19"/>
        <v>2100</v>
      </c>
      <c r="G37" s="654">
        <f t="shared" si="20"/>
        <v>2520</v>
      </c>
      <c r="H37" s="406"/>
      <c r="I37" s="654"/>
      <c r="J37" s="654"/>
      <c r="K37" s="655">
        <f t="shared" si="18"/>
        <v>2100</v>
      </c>
      <c r="L37" s="654">
        <f t="shared" si="18"/>
        <v>2520</v>
      </c>
      <c r="M37" s="401"/>
    </row>
    <row r="38" spans="1:13" ht="18.75" customHeight="1" x14ac:dyDescent="0.25">
      <c r="A38" s="359" t="s">
        <v>105</v>
      </c>
      <c r="B38" s="26" t="s">
        <v>1154</v>
      </c>
      <c r="C38" s="375" t="s">
        <v>75</v>
      </c>
      <c r="D38" s="410">
        <v>5</v>
      </c>
      <c r="E38" s="379"/>
      <c r="F38" s="501"/>
      <c r="G38" s="501"/>
      <c r="H38" s="379">
        <v>480</v>
      </c>
      <c r="I38" s="501">
        <f t="shared" ref="I38" si="23">ROUND(H38*D38,2)</f>
        <v>2400</v>
      </c>
      <c r="J38" s="501">
        <f t="shared" ref="J38" si="24">ROUND(I38*1.2,2)</f>
        <v>2880</v>
      </c>
      <c r="K38" s="502">
        <f t="shared" si="18"/>
        <v>2400</v>
      </c>
      <c r="L38" s="501">
        <f t="shared" si="18"/>
        <v>2880</v>
      </c>
      <c r="M38" s="401"/>
    </row>
    <row r="39" spans="1:13" ht="18.75" customHeight="1" x14ac:dyDescent="0.25">
      <c r="A39" s="697">
        <f>A37+1</f>
        <v>14</v>
      </c>
      <c r="B39" s="99" t="s">
        <v>1155</v>
      </c>
      <c r="C39" s="404" t="s">
        <v>75</v>
      </c>
      <c r="D39" s="691">
        <v>4</v>
      </c>
      <c r="E39" s="655">
        <v>57796.69</v>
      </c>
      <c r="F39" s="654">
        <f t="shared" ref="F39" si="25">ROUND(E39*D39,2)</f>
        <v>231186.76</v>
      </c>
      <c r="G39" s="654">
        <f t="shared" ref="G39" si="26">ROUND(F39*1.2,2)</f>
        <v>277424.11</v>
      </c>
      <c r="H39" s="406"/>
      <c r="I39" s="654"/>
      <c r="J39" s="654"/>
      <c r="K39" s="655">
        <f t="shared" si="18"/>
        <v>231186.76</v>
      </c>
      <c r="L39" s="654">
        <f t="shared" si="18"/>
        <v>277424.11</v>
      </c>
      <c r="M39" s="401"/>
    </row>
    <row r="40" spans="1:13" ht="18.75" customHeight="1" x14ac:dyDescent="0.25">
      <c r="A40" s="359" t="s">
        <v>109</v>
      </c>
      <c r="B40" s="26" t="s">
        <v>1156</v>
      </c>
      <c r="C40" s="375" t="s">
        <v>75</v>
      </c>
      <c r="D40" s="410">
        <v>4</v>
      </c>
      <c r="E40" s="379"/>
      <c r="F40" s="501"/>
      <c r="G40" s="501"/>
      <c r="H40" s="379">
        <v>25052</v>
      </c>
      <c r="I40" s="501">
        <f t="shared" ref="I40:I42" si="27">ROUND(H40*D40,2)</f>
        <v>100208</v>
      </c>
      <c r="J40" s="501">
        <f t="shared" ref="J40:J42" si="28">ROUND(I40*1.2,2)</f>
        <v>120249.60000000001</v>
      </c>
      <c r="K40" s="502">
        <f t="shared" si="18"/>
        <v>100208</v>
      </c>
      <c r="L40" s="501">
        <f t="shared" si="18"/>
        <v>120249.60000000001</v>
      </c>
      <c r="M40" s="401"/>
    </row>
    <row r="41" spans="1:13" ht="30.75" customHeight="1" x14ac:dyDescent="0.25">
      <c r="A41" s="697">
        <f>A39+1</f>
        <v>15</v>
      </c>
      <c r="B41" s="99" t="s">
        <v>1157</v>
      </c>
      <c r="C41" s="404" t="s">
        <v>75</v>
      </c>
      <c r="D41" s="691">
        <v>1</v>
      </c>
      <c r="E41" s="655">
        <v>116000</v>
      </c>
      <c r="F41" s="654">
        <f t="shared" ref="F41" si="29">ROUND(E41*D41,2)</f>
        <v>116000</v>
      </c>
      <c r="G41" s="654">
        <f t="shared" ref="G41" si="30">ROUND(F41*1.2,2)</f>
        <v>139200</v>
      </c>
      <c r="H41" s="406"/>
      <c r="I41" s="654"/>
      <c r="J41" s="654"/>
      <c r="K41" s="655">
        <f t="shared" si="18"/>
        <v>116000</v>
      </c>
      <c r="L41" s="654">
        <f t="shared" si="18"/>
        <v>139200</v>
      </c>
      <c r="M41" s="401"/>
    </row>
    <row r="42" spans="1:13" ht="18.75" customHeight="1" x14ac:dyDescent="0.25">
      <c r="A42" s="359" t="s">
        <v>155</v>
      </c>
      <c r="B42" s="26" t="s">
        <v>1158</v>
      </c>
      <c r="C42" s="375" t="s">
        <v>75</v>
      </c>
      <c r="D42" s="410">
        <v>1</v>
      </c>
      <c r="E42" s="379"/>
      <c r="F42" s="501"/>
      <c r="G42" s="501"/>
      <c r="H42" s="379">
        <v>48424</v>
      </c>
      <c r="I42" s="501">
        <f t="shared" si="27"/>
        <v>48424</v>
      </c>
      <c r="J42" s="501">
        <f t="shared" si="28"/>
        <v>58108.800000000003</v>
      </c>
      <c r="K42" s="502">
        <f t="shared" si="18"/>
        <v>48424</v>
      </c>
      <c r="L42" s="501">
        <f t="shared" si="18"/>
        <v>58108.800000000003</v>
      </c>
      <c r="M42" s="401"/>
    </row>
    <row r="43" spans="1:13" ht="18.75" customHeight="1" x14ac:dyDescent="0.25">
      <c r="A43" s="697">
        <f>A41+1</f>
        <v>16</v>
      </c>
      <c r="B43" s="99" t="s">
        <v>1159</v>
      </c>
      <c r="C43" s="404" t="s">
        <v>75</v>
      </c>
      <c r="D43" s="691">
        <v>5</v>
      </c>
      <c r="E43" s="655">
        <v>57796.69</v>
      </c>
      <c r="F43" s="654">
        <f t="shared" ref="F43" si="31">ROUND(E43*D43,2)</f>
        <v>288983.45</v>
      </c>
      <c r="G43" s="654">
        <f t="shared" ref="G43" si="32">ROUND(F43*1.2,2)</f>
        <v>346780.14</v>
      </c>
      <c r="H43" s="406"/>
      <c r="I43" s="654"/>
      <c r="J43" s="654"/>
      <c r="K43" s="655">
        <f t="shared" si="18"/>
        <v>288983.45</v>
      </c>
      <c r="L43" s="654">
        <f t="shared" si="18"/>
        <v>346780.14</v>
      </c>
      <c r="M43" s="401"/>
    </row>
    <row r="44" spans="1:13" ht="18.75" customHeight="1" x14ac:dyDescent="0.25">
      <c r="A44" s="359" t="s">
        <v>159</v>
      </c>
      <c r="B44" s="26" t="s">
        <v>1160</v>
      </c>
      <c r="C44" s="375" t="s">
        <v>75</v>
      </c>
      <c r="D44" s="410">
        <v>4</v>
      </c>
      <c r="E44" s="379"/>
      <c r="F44" s="501"/>
      <c r="G44" s="501"/>
      <c r="H44" s="378">
        <v>3148</v>
      </c>
      <c r="I44" s="501">
        <f t="shared" ref="I44:I46" si="33">ROUND(H44*D44,2)</f>
        <v>12592</v>
      </c>
      <c r="J44" s="501">
        <f t="shared" ref="J44:J46" si="34">ROUND(I44*1.2,2)</f>
        <v>15110.4</v>
      </c>
      <c r="K44" s="502">
        <f t="shared" si="18"/>
        <v>12592</v>
      </c>
      <c r="L44" s="501">
        <f t="shared" si="18"/>
        <v>15110.4</v>
      </c>
      <c r="M44" s="401"/>
    </row>
    <row r="45" spans="1:13" ht="18.75" customHeight="1" x14ac:dyDescent="0.25">
      <c r="A45" s="359" t="s">
        <v>743</v>
      </c>
      <c r="B45" s="26" t="s">
        <v>1161</v>
      </c>
      <c r="C45" s="375" t="s">
        <v>75</v>
      </c>
      <c r="D45" s="410">
        <v>1</v>
      </c>
      <c r="E45" s="379"/>
      <c r="F45" s="501"/>
      <c r="G45" s="501"/>
      <c r="H45" s="378">
        <v>4680</v>
      </c>
      <c r="I45" s="501">
        <f t="shared" si="33"/>
        <v>4680</v>
      </c>
      <c r="J45" s="501">
        <f t="shared" si="34"/>
        <v>5616</v>
      </c>
      <c r="K45" s="502">
        <f t="shared" si="18"/>
        <v>4680</v>
      </c>
      <c r="L45" s="501">
        <f t="shared" si="18"/>
        <v>5616</v>
      </c>
      <c r="M45" s="401"/>
    </row>
    <row r="46" spans="1:13" ht="18.75" customHeight="1" x14ac:dyDescent="0.25">
      <c r="A46" s="359" t="s">
        <v>1162</v>
      </c>
      <c r="B46" s="26" t="s">
        <v>1163</v>
      </c>
      <c r="C46" s="375" t="s">
        <v>75</v>
      </c>
      <c r="D46" s="410">
        <v>5</v>
      </c>
      <c r="E46" s="379"/>
      <c r="F46" s="501"/>
      <c r="G46" s="501"/>
      <c r="H46" s="378">
        <v>566</v>
      </c>
      <c r="I46" s="501">
        <f t="shared" si="33"/>
        <v>2830</v>
      </c>
      <c r="J46" s="501">
        <f t="shared" si="34"/>
        <v>3396</v>
      </c>
      <c r="K46" s="502">
        <f t="shared" si="18"/>
        <v>2830</v>
      </c>
      <c r="L46" s="501">
        <f t="shared" si="18"/>
        <v>3396</v>
      </c>
      <c r="M46" s="401"/>
    </row>
    <row r="47" spans="1:13" ht="18.75" customHeight="1" x14ac:dyDescent="0.25">
      <c r="A47" s="697">
        <f>A43+1</f>
        <v>17</v>
      </c>
      <c r="B47" s="99" t="s">
        <v>1164</v>
      </c>
      <c r="C47" s="404" t="s">
        <v>75</v>
      </c>
      <c r="D47" s="691">
        <v>10</v>
      </c>
      <c r="E47" s="655">
        <v>5294</v>
      </c>
      <c r="F47" s="654">
        <f t="shared" ref="F47" si="35">ROUND(E47*D47,2)</f>
        <v>52940</v>
      </c>
      <c r="G47" s="654">
        <f t="shared" ref="G47" si="36">ROUND(F47*1.2,2)</f>
        <v>63528</v>
      </c>
      <c r="H47" s="406"/>
      <c r="I47" s="654"/>
      <c r="J47" s="654"/>
      <c r="K47" s="655">
        <f t="shared" si="18"/>
        <v>52940</v>
      </c>
      <c r="L47" s="654">
        <f t="shared" si="18"/>
        <v>63528</v>
      </c>
      <c r="M47" s="401"/>
    </row>
    <row r="48" spans="1:13" ht="18.75" customHeight="1" x14ac:dyDescent="0.25">
      <c r="A48" s="359" t="s">
        <v>299</v>
      </c>
      <c r="B48" s="26" t="s">
        <v>1165</v>
      </c>
      <c r="C48" s="375" t="s">
        <v>75</v>
      </c>
      <c r="D48" s="410">
        <v>5</v>
      </c>
      <c r="E48" s="379"/>
      <c r="F48" s="501"/>
      <c r="G48" s="501"/>
      <c r="H48" s="378">
        <v>2717</v>
      </c>
      <c r="I48" s="501">
        <f t="shared" ref="I48:I49" si="37">ROUND(H48*D48,2)</f>
        <v>13585</v>
      </c>
      <c r="J48" s="501">
        <f t="shared" ref="J48:J49" si="38">ROUND(I48*1.2,2)</f>
        <v>16302</v>
      </c>
      <c r="K48" s="502">
        <f t="shared" si="18"/>
        <v>13585</v>
      </c>
      <c r="L48" s="501">
        <f t="shared" si="18"/>
        <v>16302</v>
      </c>
      <c r="M48" s="401"/>
    </row>
    <row r="49" spans="1:13" ht="18.75" customHeight="1" x14ac:dyDescent="0.25">
      <c r="A49" s="359" t="s">
        <v>1166</v>
      </c>
      <c r="B49" s="26" t="s">
        <v>1167</v>
      </c>
      <c r="C49" s="375" t="s">
        <v>75</v>
      </c>
      <c r="D49" s="410">
        <v>5</v>
      </c>
      <c r="E49" s="379"/>
      <c r="F49" s="501"/>
      <c r="G49" s="501"/>
      <c r="H49" s="378">
        <v>2717</v>
      </c>
      <c r="I49" s="501">
        <f t="shared" si="37"/>
        <v>13585</v>
      </c>
      <c r="J49" s="501">
        <f t="shared" si="38"/>
        <v>16302</v>
      </c>
      <c r="K49" s="502">
        <f t="shared" ref="K49:L64" si="39">F49+I49</f>
        <v>13585</v>
      </c>
      <c r="L49" s="501">
        <f t="shared" si="39"/>
        <v>16302</v>
      </c>
      <c r="M49" s="401"/>
    </row>
    <row r="50" spans="1:13" ht="45" x14ac:dyDescent="0.25">
      <c r="A50" s="697">
        <f>A47+1</f>
        <v>18</v>
      </c>
      <c r="B50" s="99" t="s">
        <v>1168</v>
      </c>
      <c r="C50" s="404" t="s">
        <v>1116</v>
      </c>
      <c r="D50" s="691">
        <v>0.32</v>
      </c>
      <c r="E50" s="409">
        <f>1109.7*1000</f>
        <v>1109700</v>
      </c>
      <c r="F50" s="654">
        <f>ROUND(E50*D50,2)</f>
        <v>355104</v>
      </c>
      <c r="G50" s="654">
        <f>ROUND(F50*1.2,2)</f>
        <v>426124.79999999999</v>
      </c>
      <c r="H50" s="406"/>
      <c r="I50" s="654"/>
      <c r="J50" s="654"/>
      <c r="K50" s="655">
        <f t="shared" si="39"/>
        <v>355104</v>
      </c>
      <c r="L50" s="654">
        <f t="shared" si="39"/>
        <v>426124.79999999999</v>
      </c>
      <c r="M50" s="698"/>
    </row>
    <row r="51" spans="1:13" ht="18.75" customHeight="1" x14ac:dyDescent="0.25">
      <c r="A51" s="697">
        <f>A50+1</f>
        <v>19</v>
      </c>
      <c r="B51" s="99" t="s">
        <v>1169</v>
      </c>
      <c r="C51" s="404" t="s">
        <v>1116</v>
      </c>
      <c r="D51" s="690">
        <v>0.32</v>
      </c>
      <c r="E51" s="409">
        <v>457959.2</v>
      </c>
      <c r="F51" s="654">
        <f t="shared" ref="F51" si="40">ROUND(E51*D51,2)</f>
        <v>146546.94</v>
      </c>
      <c r="G51" s="654">
        <f t="shared" ref="G51" si="41">ROUND(F51*1.2,2)</f>
        <v>175856.33</v>
      </c>
      <c r="H51" s="406"/>
      <c r="I51" s="654"/>
      <c r="J51" s="654"/>
      <c r="K51" s="655">
        <f t="shared" si="39"/>
        <v>146546.94</v>
      </c>
      <c r="L51" s="654">
        <f t="shared" si="39"/>
        <v>175856.33</v>
      </c>
      <c r="M51" s="401"/>
    </row>
    <row r="52" spans="1:13" ht="18.75" customHeight="1" x14ac:dyDescent="0.25">
      <c r="A52" s="359" t="s">
        <v>167</v>
      </c>
      <c r="B52" s="26" t="s">
        <v>1170</v>
      </c>
      <c r="C52" s="375" t="s">
        <v>72</v>
      </c>
      <c r="D52" s="410">
        <v>326</v>
      </c>
      <c r="E52" s="379"/>
      <c r="F52" s="501"/>
      <c r="G52" s="501"/>
      <c r="H52" s="379">
        <v>1124.25</v>
      </c>
      <c r="I52" s="501">
        <f t="shared" ref="I52" si="42">ROUND(H52*D52,2)</f>
        <v>366505.5</v>
      </c>
      <c r="J52" s="501">
        <f t="shared" ref="J52" si="43">ROUND(I52*1.2,2)</f>
        <v>439806.6</v>
      </c>
      <c r="K52" s="502">
        <f t="shared" si="39"/>
        <v>366505.5</v>
      </c>
      <c r="L52" s="501">
        <f t="shared" si="39"/>
        <v>439806.6</v>
      </c>
      <c r="M52" s="401"/>
    </row>
    <row r="53" spans="1:13" ht="45" x14ac:dyDescent="0.25">
      <c r="A53" s="697">
        <f>A51+1</f>
        <v>20</v>
      </c>
      <c r="B53" s="99" t="s">
        <v>1171</v>
      </c>
      <c r="C53" s="404" t="s">
        <v>1116</v>
      </c>
      <c r="D53" s="691">
        <v>0.32</v>
      </c>
      <c r="E53" s="409">
        <v>179102</v>
      </c>
      <c r="F53" s="654">
        <f>ROUND(E53*D53,2)</f>
        <v>57312.639999999999</v>
      </c>
      <c r="G53" s="654">
        <f>ROUND(F53*1.2,2)</f>
        <v>68775.17</v>
      </c>
      <c r="H53" s="406"/>
      <c r="I53" s="654"/>
      <c r="J53" s="654"/>
      <c r="K53" s="655">
        <f t="shared" si="39"/>
        <v>57312.639999999999</v>
      </c>
      <c r="L53" s="654">
        <f t="shared" si="39"/>
        <v>68775.17</v>
      </c>
      <c r="M53" s="699"/>
    </row>
    <row r="54" spans="1:13" ht="18.75" customHeight="1" x14ac:dyDescent="0.25">
      <c r="A54" s="697">
        <f>A53+1</f>
        <v>21</v>
      </c>
      <c r="B54" s="99" t="s">
        <v>1172</v>
      </c>
      <c r="C54" s="404" t="s">
        <v>1116</v>
      </c>
      <c r="D54" s="690">
        <v>0.32</v>
      </c>
      <c r="E54" s="409">
        <v>659310.85</v>
      </c>
      <c r="F54" s="654">
        <f>ROUND(E54*D54,2)</f>
        <v>210979.47</v>
      </c>
      <c r="G54" s="654">
        <f>ROUND(F54*1.2,2)</f>
        <v>253175.36</v>
      </c>
      <c r="H54" s="406"/>
      <c r="I54" s="654"/>
      <c r="J54" s="654"/>
      <c r="K54" s="655">
        <f t="shared" si="39"/>
        <v>210979.47</v>
      </c>
      <c r="L54" s="654">
        <f t="shared" si="39"/>
        <v>253175.36</v>
      </c>
      <c r="M54" s="401"/>
    </row>
    <row r="55" spans="1:13" ht="18.75" customHeight="1" x14ac:dyDescent="0.25">
      <c r="A55" s="359" t="s">
        <v>208</v>
      </c>
      <c r="B55" s="26" t="s">
        <v>1173</v>
      </c>
      <c r="C55" s="375" t="s">
        <v>72</v>
      </c>
      <c r="D55" s="410">
        <v>652</v>
      </c>
      <c r="E55" s="379"/>
      <c r="F55" s="501"/>
      <c r="G55" s="501"/>
      <c r="H55" s="379">
        <v>1756.8</v>
      </c>
      <c r="I55" s="501">
        <f t="shared" ref="I55" si="44">ROUND(H55*D55,2)</f>
        <v>1145433.6000000001</v>
      </c>
      <c r="J55" s="501">
        <f t="shared" ref="J55" si="45">ROUND(I55*1.2,2)</f>
        <v>1374520.3200000001</v>
      </c>
      <c r="K55" s="502">
        <f t="shared" si="39"/>
        <v>1145433.6000000001</v>
      </c>
      <c r="L55" s="501">
        <f t="shared" si="39"/>
        <v>1374520.3200000001</v>
      </c>
      <c r="M55" s="401"/>
    </row>
    <row r="56" spans="1:13" ht="45" x14ac:dyDescent="0.25">
      <c r="A56" s="697">
        <f>A54+1</f>
        <v>22</v>
      </c>
      <c r="B56" s="99" t="s">
        <v>1174</v>
      </c>
      <c r="C56" s="404" t="s">
        <v>1116</v>
      </c>
      <c r="D56" s="690">
        <v>0.32</v>
      </c>
      <c r="E56" s="409">
        <v>1235192.95</v>
      </c>
      <c r="F56" s="654">
        <f>ROUND(E56*D56,2)</f>
        <v>395261.74</v>
      </c>
      <c r="G56" s="654">
        <f>ROUND(F56*1.2,2)</f>
        <v>474314.09</v>
      </c>
      <c r="H56" s="406"/>
      <c r="I56" s="654"/>
      <c r="J56" s="654"/>
      <c r="K56" s="655">
        <f t="shared" si="39"/>
        <v>395261.74</v>
      </c>
      <c r="L56" s="654">
        <f t="shared" si="39"/>
        <v>474314.09</v>
      </c>
      <c r="M56" s="401"/>
    </row>
    <row r="57" spans="1:13" ht="30" x14ac:dyDescent="0.25">
      <c r="A57" s="697">
        <f>A56+1</f>
        <v>23</v>
      </c>
      <c r="B57" s="99" t="s">
        <v>1175</v>
      </c>
      <c r="C57" s="404" t="s">
        <v>75</v>
      </c>
      <c r="D57" s="691">
        <v>5</v>
      </c>
      <c r="E57" s="655">
        <v>14545.51</v>
      </c>
      <c r="F57" s="654">
        <f>ROUND(E57*D57,2)</f>
        <v>72727.55</v>
      </c>
      <c r="G57" s="654">
        <f>ROUND(F57*1.2,2)</f>
        <v>87273.06</v>
      </c>
      <c r="H57" s="406"/>
      <c r="I57" s="654"/>
      <c r="J57" s="654"/>
      <c r="K57" s="655">
        <f t="shared" si="39"/>
        <v>72727.55</v>
      </c>
      <c r="L57" s="654">
        <f t="shared" si="39"/>
        <v>87273.06</v>
      </c>
      <c r="M57" s="401"/>
    </row>
    <row r="58" spans="1:13" ht="29.25" customHeight="1" x14ac:dyDescent="0.25">
      <c r="A58" s="359" t="s">
        <v>306</v>
      </c>
      <c r="B58" s="26" t="s">
        <v>1176</v>
      </c>
      <c r="C58" s="375" t="s">
        <v>75</v>
      </c>
      <c r="D58" s="410">
        <v>5</v>
      </c>
      <c r="E58" s="379"/>
      <c r="F58" s="501"/>
      <c r="G58" s="501"/>
      <c r="H58" s="379">
        <v>3795</v>
      </c>
      <c r="I58" s="501">
        <f t="shared" ref="I58" si="46">ROUND(H58*D58,2)</f>
        <v>18975</v>
      </c>
      <c r="J58" s="501">
        <f t="shared" ref="J58" si="47">ROUND(I58*1.2,2)</f>
        <v>22770</v>
      </c>
      <c r="K58" s="502">
        <f t="shared" si="39"/>
        <v>18975</v>
      </c>
      <c r="L58" s="501">
        <f t="shared" si="39"/>
        <v>22770</v>
      </c>
      <c r="M58" s="401"/>
    </row>
    <row r="59" spans="1:13" ht="30" x14ac:dyDescent="0.25">
      <c r="A59" s="697">
        <f>A57+1</f>
        <v>24</v>
      </c>
      <c r="B59" s="99" t="s">
        <v>1177</v>
      </c>
      <c r="C59" s="404" t="s">
        <v>75</v>
      </c>
      <c r="D59" s="691">
        <v>5</v>
      </c>
      <c r="E59" s="655">
        <v>14545.51</v>
      </c>
      <c r="F59" s="654">
        <f>ROUND(E59*D59,2)</f>
        <v>72727.55</v>
      </c>
      <c r="G59" s="654">
        <f>ROUND(F59*1.2,2)</f>
        <v>87273.06</v>
      </c>
      <c r="H59" s="406"/>
      <c r="I59" s="654"/>
      <c r="J59" s="654"/>
      <c r="K59" s="655">
        <f t="shared" si="39"/>
        <v>72727.55</v>
      </c>
      <c r="L59" s="654">
        <f t="shared" si="39"/>
        <v>87273.06</v>
      </c>
      <c r="M59" s="401"/>
    </row>
    <row r="60" spans="1:13" ht="32.25" customHeight="1" x14ac:dyDescent="0.25">
      <c r="A60" s="359" t="s">
        <v>310</v>
      </c>
      <c r="B60" s="26" t="s">
        <v>1178</v>
      </c>
      <c r="C60" s="375" t="s">
        <v>75</v>
      </c>
      <c r="D60" s="410">
        <v>5</v>
      </c>
      <c r="E60" s="379"/>
      <c r="F60" s="501"/>
      <c r="G60" s="501"/>
      <c r="H60" s="379">
        <v>6831</v>
      </c>
      <c r="I60" s="501">
        <f t="shared" ref="I60" si="48">ROUND(H60*D60,2)</f>
        <v>34155</v>
      </c>
      <c r="J60" s="501">
        <f t="shared" ref="J60" si="49">ROUND(I60*1.2,2)</f>
        <v>40986</v>
      </c>
      <c r="K60" s="502">
        <f t="shared" si="39"/>
        <v>34155</v>
      </c>
      <c r="L60" s="501">
        <f t="shared" si="39"/>
        <v>40986</v>
      </c>
      <c r="M60" s="401"/>
    </row>
    <row r="61" spans="1:13" ht="30" x14ac:dyDescent="0.25">
      <c r="A61" s="697">
        <f>A59+1</f>
        <v>25</v>
      </c>
      <c r="B61" s="99" t="s">
        <v>1179</v>
      </c>
      <c r="C61" s="404" t="s">
        <v>75</v>
      </c>
      <c r="D61" s="691">
        <v>1</v>
      </c>
      <c r="E61" s="409">
        <v>70874.625</v>
      </c>
      <c r="F61" s="654">
        <f>ROUND(E61*D61,2)</f>
        <v>70874.63</v>
      </c>
      <c r="G61" s="654">
        <f>ROUND(F61*1.2,2)</f>
        <v>85049.56</v>
      </c>
      <c r="H61" s="406"/>
      <c r="I61" s="654"/>
      <c r="J61" s="654"/>
      <c r="K61" s="655">
        <f t="shared" si="39"/>
        <v>70874.63</v>
      </c>
      <c r="L61" s="654">
        <f t="shared" si="39"/>
        <v>85049.56</v>
      </c>
      <c r="M61" s="401"/>
    </row>
    <row r="62" spans="1:13" ht="30" x14ac:dyDescent="0.25">
      <c r="A62" s="697">
        <f>A61+1</f>
        <v>26</v>
      </c>
      <c r="B62" s="99" t="s">
        <v>1180</v>
      </c>
      <c r="C62" s="404" t="s">
        <v>75</v>
      </c>
      <c r="D62" s="691">
        <v>1</v>
      </c>
      <c r="E62" s="409">
        <v>77548.990000000005</v>
      </c>
      <c r="F62" s="654">
        <f>ROUND(E62*D62,2)</f>
        <v>77548.990000000005</v>
      </c>
      <c r="G62" s="654">
        <f>ROUND(F62*1.2,2)</f>
        <v>93058.79</v>
      </c>
      <c r="H62" s="406"/>
      <c r="I62" s="654"/>
      <c r="J62" s="654"/>
      <c r="K62" s="655">
        <f t="shared" si="39"/>
        <v>77548.990000000005</v>
      </c>
      <c r="L62" s="654">
        <f t="shared" si="39"/>
        <v>93058.79</v>
      </c>
      <c r="M62" s="401"/>
    </row>
    <row r="63" spans="1:13" ht="18.75" customHeight="1" x14ac:dyDescent="0.25">
      <c r="A63" s="359" t="s">
        <v>348</v>
      </c>
      <c r="B63" s="26" t="s">
        <v>1181</v>
      </c>
      <c r="C63" s="375" t="s">
        <v>72</v>
      </c>
      <c r="D63" s="410">
        <v>15</v>
      </c>
      <c r="E63" s="379"/>
      <c r="F63" s="501"/>
      <c r="G63" s="501"/>
      <c r="H63" s="379">
        <v>1201.53</v>
      </c>
      <c r="I63" s="501">
        <f t="shared" ref="I63:I64" si="50">ROUND(H63*D63,2)</f>
        <v>18022.95</v>
      </c>
      <c r="J63" s="501">
        <f t="shared" ref="J63:J64" si="51">ROUND(I63*1.2,2)</f>
        <v>21627.54</v>
      </c>
      <c r="K63" s="502">
        <f t="shared" si="39"/>
        <v>18022.95</v>
      </c>
      <c r="L63" s="501">
        <f t="shared" si="39"/>
        <v>21627.54</v>
      </c>
      <c r="M63" s="401"/>
    </row>
    <row r="64" spans="1:13" ht="18.75" customHeight="1" x14ac:dyDescent="0.25">
      <c r="A64" s="359" t="s">
        <v>349</v>
      </c>
      <c r="B64" s="26" t="s">
        <v>1182</v>
      </c>
      <c r="C64" s="375" t="s">
        <v>72</v>
      </c>
      <c r="D64" s="410">
        <v>200</v>
      </c>
      <c r="E64" s="379"/>
      <c r="F64" s="501"/>
      <c r="G64" s="501"/>
      <c r="H64" s="379">
        <v>1712.7</v>
      </c>
      <c r="I64" s="501">
        <f t="shared" si="50"/>
        <v>342540</v>
      </c>
      <c r="J64" s="501">
        <f t="shared" si="51"/>
        <v>411048</v>
      </c>
      <c r="K64" s="502">
        <f t="shared" si="39"/>
        <v>342540</v>
      </c>
      <c r="L64" s="501">
        <f t="shared" si="39"/>
        <v>411048</v>
      </c>
      <c r="M64" s="401"/>
    </row>
    <row r="65" spans="1:13" ht="18.75" customHeight="1" x14ac:dyDescent="0.25">
      <c r="A65" s="697">
        <f>A62+1</f>
        <v>27</v>
      </c>
      <c r="B65" s="99" t="s">
        <v>1183</v>
      </c>
      <c r="C65" s="404" t="s">
        <v>75</v>
      </c>
      <c r="D65" s="691">
        <v>8</v>
      </c>
      <c r="E65" s="655">
        <v>8300</v>
      </c>
      <c r="F65" s="654">
        <f>ROUND(E65*D65,2)</f>
        <v>66400</v>
      </c>
      <c r="G65" s="654">
        <f>ROUND(F65*1.2,2)</f>
        <v>79680</v>
      </c>
      <c r="H65" s="406"/>
      <c r="I65" s="654"/>
      <c r="J65" s="654"/>
      <c r="K65" s="655">
        <f t="shared" ref="K65:L75" si="52">F65+I65</f>
        <v>66400</v>
      </c>
      <c r="L65" s="654">
        <f t="shared" si="52"/>
        <v>79680</v>
      </c>
      <c r="M65" s="401"/>
    </row>
    <row r="66" spans="1:13" ht="18.75" customHeight="1" x14ac:dyDescent="0.25">
      <c r="A66" s="697">
        <f t="shared" ref="A66" si="53">A65+1</f>
        <v>28</v>
      </c>
      <c r="B66" s="99" t="s">
        <v>1184</v>
      </c>
      <c r="C66" s="404" t="s">
        <v>75</v>
      </c>
      <c r="D66" s="691">
        <v>4</v>
      </c>
      <c r="E66" s="655">
        <v>14545.51</v>
      </c>
      <c r="F66" s="654">
        <f>ROUND(E66*D66,2)</f>
        <v>58182.04</v>
      </c>
      <c r="G66" s="654">
        <f>ROUND(F66*1.2,2)</f>
        <v>69818.45</v>
      </c>
      <c r="H66" s="406"/>
      <c r="I66" s="654"/>
      <c r="J66" s="654"/>
      <c r="K66" s="655">
        <f t="shared" si="52"/>
        <v>58182.04</v>
      </c>
      <c r="L66" s="654">
        <f t="shared" si="52"/>
        <v>69818.45</v>
      </c>
      <c r="M66" s="401"/>
    </row>
    <row r="67" spans="1:13" ht="18.75" customHeight="1" x14ac:dyDescent="0.25">
      <c r="A67" s="359" t="s">
        <v>357</v>
      </c>
      <c r="B67" s="26" t="s">
        <v>1185</v>
      </c>
      <c r="C67" s="375" t="s">
        <v>75</v>
      </c>
      <c r="D67" s="410">
        <v>4</v>
      </c>
      <c r="E67" s="379"/>
      <c r="F67" s="501"/>
      <c r="G67" s="501"/>
      <c r="H67" s="379">
        <v>4098.6000000000004</v>
      </c>
      <c r="I67" s="501">
        <f t="shared" ref="I67" si="54">ROUND(H67*D67,2)</f>
        <v>16394.400000000001</v>
      </c>
      <c r="J67" s="501">
        <f t="shared" ref="J67" si="55">ROUND(I67*1.2,2)</f>
        <v>19673.28</v>
      </c>
      <c r="K67" s="502">
        <f t="shared" si="52"/>
        <v>16394.400000000001</v>
      </c>
      <c r="L67" s="501">
        <f t="shared" si="52"/>
        <v>19673.28</v>
      </c>
      <c r="M67" s="401"/>
    </row>
    <row r="68" spans="1:13" ht="18.75" customHeight="1" x14ac:dyDescent="0.25">
      <c r="A68" s="697">
        <f>A66+1</f>
        <v>29</v>
      </c>
      <c r="B68" s="99" t="s">
        <v>1186</v>
      </c>
      <c r="C68" s="404" t="s">
        <v>75</v>
      </c>
      <c r="D68" s="691">
        <v>5</v>
      </c>
      <c r="E68" s="655">
        <v>5294</v>
      </c>
      <c r="F68" s="654">
        <f t="shared" ref="F68" si="56">ROUND(E68*D68,2)</f>
        <v>26470</v>
      </c>
      <c r="G68" s="654">
        <f t="shared" ref="G68" si="57">ROUND(F68*1.2,2)</f>
        <v>31764</v>
      </c>
      <c r="H68" s="406"/>
      <c r="I68" s="654"/>
      <c r="J68" s="654"/>
      <c r="K68" s="655">
        <f t="shared" si="52"/>
        <v>26470</v>
      </c>
      <c r="L68" s="654">
        <f t="shared" si="52"/>
        <v>31764</v>
      </c>
      <c r="M68" s="401"/>
    </row>
    <row r="69" spans="1:13" ht="18.75" customHeight="1" x14ac:dyDescent="0.25">
      <c r="A69" s="359" t="s">
        <v>360</v>
      </c>
      <c r="B69" s="26" t="s">
        <v>1187</v>
      </c>
      <c r="C69" s="375" t="s">
        <v>75</v>
      </c>
      <c r="D69" s="410">
        <v>5</v>
      </c>
      <c r="E69" s="379"/>
      <c r="F69" s="501"/>
      <c r="G69" s="501"/>
      <c r="H69" s="379">
        <v>619.29999999999995</v>
      </c>
      <c r="I69" s="501">
        <f t="shared" ref="I69" si="58">ROUND(H69*D69,2)</f>
        <v>3096.5</v>
      </c>
      <c r="J69" s="501">
        <f t="shared" ref="J69" si="59">ROUND(I69*1.2,2)</f>
        <v>3715.8</v>
      </c>
      <c r="K69" s="502">
        <f t="shared" si="52"/>
        <v>3096.5</v>
      </c>
      <c r="L69" s="501">
        <f t="shared" si="52"/>
        <v>3715.8</v>
      </c>
      <c r="M69" s="401"/>
    </row>
    <row r="70" spans="1:13" ht="45" x14ac:dyDescent="0.25">
      <c r="A70" s="697">
        <f>A68+1</f>
        <v>30</v>
      </c>
      <c r="B70" s="99" t="s">
        <v>1188</v>
      </c>
      <c r="C70" s="404" t="s">
        <v>75</v>
      </c>
      <c r="D70" s="691">
        <v>5</v>
      </c>
      <c r="E70" s="655">
        <v>43192.962500000001</v>
      </c>
      <c r="F70" s="654">
        <f t="shared" ref="F70" si="60">ROUND(E70*D70,2)</f>
        <v>215964.81</v>
      </c>
      <c r="G70" s="654">
        <f t="shared" ref="G70" si="61">ROUND(F70*1.2,2)</f>
        <v>259157.77</v>
      </c>
      <c r="H70" s="406"/>
      <c r="I70" s="654"/>
      <c r="J70" s="654"/>
      <c r="K70" s="655">
        <f t="shared" si="52"/>
        <v>215964.81</v>
      </c>
      <c r="L70" s="654">
        <f t="shared" si="52"/>
        <v>259157.77</v>
      </c>
      <c r="M70" s="401"/>
    </row>
    <row r="71" spans="1:13" ht="29.25" customHeight="1" x14ac:dyDescent="0.25">
      <c r="A71" s="359" t="s">
        <v>367</v>
      </c>
      <c r="B71" s="26" t="s">
        <v>1189</v>
      </c>
      <c r="C71" s="375" t="s">
        <v>75</v>
      </c>
      <c r="D71" s="410">
        <v>5</v>
      </c>
      <c r="E71" s="379"/>
      <c r="F71" s="501"/>
      <c r="G71" s="501"/>
      <c r="H71" s="379">
        <v>4318.6000000000004</v>
      </c>
      <c r="I71" s="501">
        <f t="shared" ref="I71" si="62">ROUND(H71*D71,2)</f>
        <v>21593</v>
      </c>
      <c r="J71" s="501">
        <f t="shared" ref="J71" si="63">ROUND(I71*1.2,2)</f>
        <v>25911.599999999999</v>
      </c>
      <c r="K71" s="502">
        <f t="shared" si="52"/>
        <v>21593</v>
      </c>
      <c r="L71" s="501">
        <f t="shared" si="52"/>
        <v>25911.599999999999</v>
      </c>
      <c r="M71" s="401"/>
    </row>
    <row r="72" spans="1:13" ht="18.75" customHeight="1" x14ac:dyDescent="0.25">
      <c r="A72" s="697">
        <f>A70+1</f>
        <v>31</v>
      </c>
      <c r="B72" s="99" t="s">
        <v>1190</v>
      </c>
      <c r="C72" s="404" t="s">
        <v>75</v>
      </c>
      <c r="D72" s="691">
        <v>5</v>
      </c>
      <c r="E72" s="409">
        <v>36000</v>
      </c>
      <c r="F72" s="654">
        <f t="shared" ref="F72" si="64">ROUND(E72*D72,2)</f>
        <v>180000</v>
      </c>
      <c r="G72" s="654">
        <f t="shared" ref="G72" si="65">ROUND(F72*1.2,2)</f>
        <v>216000</v>
      </c>
      <c r="H72" s="406"/>
      <c r="I72" s="654"/>
      <c r="J72" s="654"/>
      <c r="K72" s="655">
        <f t="shared" si="52"/>
        <v>180000</v>
      </c>
      <c r="L72" s="654">
        <f t="shared" si="52"/>
        <v>216000</v>
      </c>
      <c r="M72" s="401"/>
    </row>
    <row r="73" spans="1:13" ht="21.75" customHeight="1" x14ac:dyDescent="0.25">
      <c r="A73" s="359" t="s">
        <v>226</v>
      </c>
      <c r="B73" s="26" t="s">
        <v>1191</v>
      </c>
      <c r="C73" s="375" t="s">
        <v>75</v>
      </c>
      <c r="D73" s="410">
        <v>5</v>
      </c>
      <c r="E73" s="379"/>
      <c r="F73" s="501"/>
      <c r="G73" s="501"/>
      <c r="H73" s="379">
        <v>11942.7</v>
      </c>
      <c r="I73" s="501">
        <f t="shared" ref="I73" si="66">ROUND(H73*D73,2)</f>
        <v>59713.5</v>
      </c>
      <c r="J73" s="501">
        <f t="shared" ref="J73" si="67">ROUND(I73*1.2,2)</f>
        <v>71656.2</v>
      </c>
      <c r="K73" s="502">
        <f t="shared" si="52"/>
        <v>59713.5</v>
      </c>
      <c r="L73" s="501">
        <f t="shared" si="52"/>
        <v>71656.2</v>
      </c>
      <c r="M73" s="401"/>
    </row>
    <row r="74" spans="1:13" ht="18.75" customHeight="1" x14ac:dyDescent="0.25">
      <c r="A74" s="697">
        <f>A72+1</f>
        <v>32</v>
      </c>
      <c r="B74" s="99" t="s">
        <v>1192</v>
      </c>
      <c r="C74" s="404" t="s">
        <v>75</v>
      </c>
      <c r="D74" s="691">
        <v>10</v>
      </c>
      <c r="E74" s="409">
        <v>18400</v>
      </c>
      <c r="F74" s="654">
        <f>ROUND(E74*D74,2)</f>
        <v>184000</v>
      </c>
      <c r="G74" s="654">
        <f>ROUND(F74*1.2,2)</f>
        <v>220800</v>
      </c>
      <c r="H74" s="406"/>
      <c r="I74" s="654"/>
      <c r="J74" s="654"/>
      <c r="K74" s="655">
        <f t="shared" si="52"/>
        <v>184000</v>
      </c>
      <c r="L74" s="654">
        <f t="shared" si="52"/>
        <v>220800</v>
      </c>
      <c r="M74" s="401"/>
    </row>
    <row r="75" spans="1:13" ht="21.75" customHeight="1" x14ac:dyDescent="0.25">
      <c r="A75" s="359" t="s">
        <v>542</v>
      </c>
      <c r="B75" s="26" t="s">
        <v>1193</v>
      </c>
      <c r="C75" s="375" t="s">
        <v>75</v>
      </c>
      <c r="D75" s="410">
        <v>10</v>
      </c>
      <c r="E75" s="377"/>
      <c r="F75" s="501"/>
      <c r="G75" s="501"/>
      <c r="H75" s="379">
        <v>723</v>
      </c>
      <c r="I75" s="501">
        <f t="shared" ref="I75" si="68">ROUND(H75*D75,2)</f>
        <v>7230</v>
      </c>
      <c r="J75" s="501">
        <f t="shared" ref="J75" si="69">ROUND(I75*1.2,2)</f>
        <v>8676</v>
      </c>
      <c r="K75" s="502">
        <f t="shared" si="52"/>
        <v>7230</v>
      </c>
      <c r="L75" s="501">
        <f t="shared" si="52"/>
        <v>8676</v>
      </c>
      <c r="M75" s="401"/>
    </row>
    <row r="76" spans="1:13" s="702" customFormat="1" ht="24" customHeight="1" x14ac:dyDescent="0.3">
      <c r="A76" s="877" t="s">
        <v>121</v>
      </c>
      <c r="B76" s="878"/>
      <c r="C76" s="878"/>
      <c r="D76" s="878"/>
      <c r="E76" s="879"/>
      <c r="F76" s="700">
        <f>SUM(F7:F75)</f>
        <v>4482331.66</v>
      </c>
      <c r="G76" s="700">
        <f>ROUND(F76*1.2,2)</f>
        <v>5378797.9900000002</v>
      </c>
      <c r="H76" s="701"/>
      <c r="I76" s="700">
        <f>SUM(I7:I75)</f>
        <v>2937179.2800000003</v>
      </c>
      <c r="J76" s="700">
        <f>ROUND(I76*1.2,2)</f>
        <v>3524615.14</v>
      </c>
      <c r="K76" s="700">
        <f>SUM(K7:K75)</f>
        <v>7419510.9399999995</v>
      </c>
      <c r="L76" s="700">
        <f>ROUND(K76*1.2,2)</f>
        <v>8903413.1300000008</v>
      </c>
      <c r="M76" s="416"/>
    </row>
    <row r="78" spans="1:13" x14ac:dyDescent="0.25">
      <c r="B78" s="459" t="s">
        <v>122</v>
      </c>
      <c r="K78" s="704"/>
    </row>
    <row r="79" spans="1:13" x14ac:dyDescent="0.25">
      <c r="B79" s="460" t="s">
        <v>123</v>
      </c>
    </row>
  </sheetData>
  <mergeCells count="10">
    <mergeCell ref="B6:D6"/>
    <mergeCell ref="A76:E7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82E8-550E-4591-A5EB-619BE3E73D5C}">
  <sheetPr>
    <tabColor rgb="FFFFFF00"/>
  </sheetPr>
  <dimension ref="A1:L98"/>
  <sheetViews>
    <sheetView topLeftCell="A61" zoomScaleNormal="100" zoomScaleSheetLayoutView="100" workbookViewId="0">
      <selection activeCell="B103" sqref="B103"/>
    </sheetView>
  </sheetViews>
  <sheetFormatPr defaultRowHeight="15" x14ac:dyDescent="0.25"/>
  <cols>
    <col min="1" max="1" width="9.140625" style="401"/>
    <col min="2" max="2" width="60.5703125" style="401" customWidth="1"/>
    <col min="3" max="3" width="9.140625" style="401"/>
    <col min="4" max="4" width="11.5703125" style="401" customWidth="1"/>
    <col min="5" max="5" width="16.140625" style="401" customWidth="1"/>
    <col min="6" max="6" width="16.28515625" style="401" customWidth="1"/>
    <col min="7" max="7" width="17.28515625" style="401" customWidth="1"/>
    <col min="8" max="8" width="26.28515625" style="674" customWidth="1"/>
    <col min="9" max="9" width="60.42578125" style="674" customWidth="1"/>
    <col min="10" max="10" width="14.7109375" style="401" customWidth="1"/>
    <col min="11" max="11" width="9.140625" style="401"/>
    <col min="12" max="12" width="18.140625" style="401" customWidth="1"/>
    <col min="13" max="16384" width="9.140625" style="401"/>
  </cols>
  <sheetData>
    <row r="1" spans="1:10" x14ac:dyDescent="0.25">
      <c r="A1" s="923" t="s">
        <v>26</v>
      </c>
      <c r="B1" s="871" t="s">
        <v>57</v>
      </c>
      <c r="C1" s="871" t="s">
        <v>58</v>
      </c>
      <c r="D1" s="871" t="s">
        <v>59</v>
      </c>
      <c r="E1" s="871" t="s">
        <v>60</v>
      </c>
      <c r="F1" s="871"/>
      <c r="G1" s="871"/>
    </row>
    <row r="2" spans="1:10" ht="42.75" x14ac:dyDescent="0.25">
      <c r="A2" s="923"/>
      <c r="B2" s="871"/>
      <c r="C2" s="871"/>
      <c r="D2" s="871"/>
      <c r="E2" s="353" t="s">
        <v>64</v>
      </c>
      <c r="F2" s="353" t="s">
        <v>65</v>
      </c>
      <c r="G2" s="677" t="s">
        <v>66</v>
      </c>
    </row>
    <row r="3" spans="1:10" ht="17.25" customHeight="1" x14ac:dyDescent="0.25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</row>
    <row r="4" spans="1:10" ht="24.75" customHeight="1" x14ac:dyDescent="0.25">
      <c r="A4" s="712"/>
      <c r="B4" s="860" t="s">
        <v>1113</v>
      </c>
      <c r="C4" s="861"/>
      <c r="D4" s="861"/>
      <c r="E4" s="713"/>
      <c r="F4" s="714"/>
      <c r="G4" s="715"/>
    </row>
    <row r="5" spans="1:10" ht="19.5" customHeight="1" x14ac:dyDescent="0.25">
      <c r="A5" s="716"/>
      <c r="B5" s="717" t="s">
        <v>1199</v>
      </c>
      <c r="C5" s="716"/>
      <c r="D5" s="718"/>
      <c r="E5" s="719"/>
      <c r="F5" s="720"/>
      <c r="G5" s="720"/>
      <c r="H5" s="721"/>
      <c r="J5" s="722"/>
    </row>
    <row r="6" spans="1:10" ht="30" x14ac:dyDescent="0.25">
      <c r="A6" s="716">
        <v>1</v>
      </c>
      <c r="B6" s="723" t="s">
        <v>1127</v>
      </c>
      <c r="C6" s="716" t="s">
        <v>75</v>
      </c>
      <c r="D6" s="718">
        <v>6</v>
      </c>
      <c r="E6" s="719">
        <v>146104.19</v>
      </c>
      <c r="F6" s="720">
        <f t="shared" ref="F6:F17" si="0">ROUND(E6*D6,2)</f>
        <v>876625.14</v>
      </c>
      <c r="G6" s="720">
        <f t="shared" ref="G6:G17" si="1">ROUND(F6*1.2,2)</f>
        <v>1051950.17</v>
      </c>
      <c r="H6" s="750">
        <f>5*E6*1.2</f>
        <v>876625.1399999999</v>
      </c>
      <c r="I6" s="674" t="s">
        <v>1233</v>
      </c>
      <c r="J6" s="722"/>
    </row>
    <row r="7" spans="1:10" ht="15.75" x14ac:dyDescent="0.25">
      <c r="A7" s="716">
        <f>A6+1</f>
        <v>2</v>
      </c>
      <c r="B7" s="723" t="s">
        <v>1200</v>
      </c>
      <c r="C7" s="716" t="s">
        <v>75</v>
      </c>
      <c r="D7" s="718">
        <v>6</v>
      </c>
      <c r="E7" s="719">
        <v>5468.2883333333339</v>
      </c>
      <c r="F7" s="720">
        <f t="shared" si="0"/>
        <v>32809.730000000003</v>
      </c>
      <c r="G7" s="720">
        <f t="shared" si="1"/>
        <v>39371.68</v>
      </c>
      <c r="H7" s="750">
        <f t="shared" ref="H7:H8" si="2">5*E7*1.2</f>
        <v>32809.730000000003</v>
      </c>
      <c r="J7" s="722"/>
    </row>
    <row r="8" spans="1:10" ht="15.75" x14ac:dyDescent="0.25">
      <c r="A8" s="716">
        <f>A7+1</f>
        <v>3</v>
      </c>
      <c r="B8" s="723" t="s">
        <v>1201</v>
      </c>
      <c r="C8" s="716" t="s">
        <v>75</v>
      </c>
      <c r="D8" s="718">
        <v>6</v>
      </c>
      <c r="E8" s="719">
        <v>1068.3716666666667</v>
      </c>
      <c r="F8" s="720">
        <f t="shared" si="0"/>
        <v>6410.23</v>
      </c>
      <c r="G8" s="720">
        <f t="shared" si="1"/>
        <v>7692.28</v>
      </c>
      <c r="H8" s="750">
        <f t="shared" si="2"/>
        <v>6410.2300000000005</v>
      </c>
      <c r="J8" s="722"/>
    </row>
    <row r="9" spans="1:10" ht="15.75" x14ac:dyDescent="0.25">
      <c r="A9" s="716">
        <f t="shared" ref="A9:A13" si="3">A8+1</f>
        <v>4</v>
      </c>
      <c r="B9" s="723" t="s">
        <v>1202</v>
      </c>
      <c r="C9" s="716" t="s">
        <v>75</v>
      </c>
      <c r="D9" s="718">
        <v>5</v>
      </c>
      <c r="E9" s="719">
        <v>300</v>
      </c>
      <c r="F9" s="720">
        <f t="shared" si="0"/>
        <v>1500</v>
      </c>
      <c r="G9" s="720">
        <f t="shared" si="1"/>
        <v>1800</v>
      </c>
      <c r="H9" s="751">
        <f>G9</f>
        <v>1800</v>
      </c>
      <c r="J9" s="722"/>
    </row>
    <row r="10" spans="1:10" ht="15.75" x14ac:dyDescent="0.25">
      <c r="A10" s="716">
        <f t="shared" si="3"/>
        <v>5</v>
      </c>
      <c r="B10" s="723" t="s">
        <v>1151</v>
      </c>
      <c r="C10" s="716" t="s">
        <v>75</v>
      </c>
      <c r="D10" s="718">
        <v>5</v>
      </c>
      <c r="E10" s="719">
        <v>420</v>
      </c>
      <c r="F10" s="720">
        <f t="shared" si="0"/>
        <v>2100</v>
      </c>
      <c r="G10" s="720">
        <f t="shared" si="1"/>
        <v>2520</v>
      </c>
      <c r="H10" s="751">
        <f t="shared" ref="H10:H45" si="4">G10</f>
        <v>2520</v>
      </c>
      <c r="J10" s="722"/>
    </row>
    <row r="11" spans="1:10" ht="15.75" x14ac:dyDescent="0.25">
      <c r="A11" s="716">
        <f t="shared" si="3"/>
        <v>6</v>
      </c>
      <c r="B11" s="723" t="s">
        <v>1153</v>
      </c>
      <c r="C11" s="716" t="s">
        <v>75</v>
      </c>
      <c r="D11" s="718">
        <v>5</v>
      </c>
      <c r="E11" s="719">
        <v>420</v>
      </c>
      <c r="F11" s="720">
        <f t="shared" si="0"/>
        <v>2100</v>
      </c>
      <c r="G11" s="720">
        <f t="shared" si="1"/>
        <v>2520</v>
      </c>
      <c r="H11" s="751">
        <f t="shared" si="4"/>
        <v>2520</v>
      </c>
      <c r="J11" s="722"/>
    </row>
    <row r="12" spans="1:10" ht="15.75" x14ac:dyDescent="0.25">
      <c r="A12" s="716">
        <f t="shared" si="3"/>
        <v>7</v>
      </c>
      <c r="B12" s="723" t="s">
        <v>1203</v>
      </c>
      <c r="C12" s="716" t="s">
        <v>77</v>
      </c>
      <c r="D12" s="724">
        <v>6.25</v>
      </c>
      <c r="E12" s="719">
        <v>1007.7</v>
      </c>
      <c r="F12" s="720">
        <f t="shared" si="0"/>
        <v>6298.13</v>
      </c>
      <c r="G12" s="720">
        <f t="shared" si="1"/>
        <v>7557.76</v>
      </c>
      <c r="H12" s="751">
        <f t="shared" si="4"/>
        <v>7557.76</v>
      </c>
      <c r="J12" s="722"/>
    </row>
    <row r="13" spans="1:10" ht="15.75" x14ac:dyDescent="0.25">
      <c r="A13" s="716">
        <f t="shared" si="3"/>
        <v>8</v>
      </c>
      <c r="B13" s="723" t="s">
        <v>1204</v>
      </c>
      <c r="C13" s="716" t="s">
        <v>77</v>
      </c>
      <c r="D13" s="724">
        <v>12.5</v>
      </c>
      <c r="E13" s="719">
        <v>152</v>
      </c>
      <c r="F13" s="720">
        <f t="shared" si="0"/>
        <v>1900</v>
      </c>
      <c r="G13" s="720">
        <f t="shared" si="1"/>
        <v>2280</v>
      </c>
      <c r="H13" s="751">
        <f t="shared" si="4"/>
        <v>2280</v>
      </c>
      <c r="J13" s="722"/>
    </row>
    <row r="14" spans="1:10" ht="30" x14ac:dyDescent="0.25">
      <c r="A14" s="716">
        <f>A13+1</f>
        <v>9</v>
      </c>
      <c r="B14" s="723" t="s">
        <v>1205</v>
      </c>
      <c r="C14" s="716" t="s">
        <v>77</v>
      </c>
      <c r="D14" s="724">
        <v>0.625</v>
      </c>
      <c r="E14" s="719">
        <v>152</v>
      </c>
      <c r="F14" s="720">
        <f t="shared" si="0"/>
        <v>95</v>
      </c>
      <c r="G14" s="720">
        <f t="shared" si="1"/>
        <v>114</v>
      </c>
      <c r="H14" s="751">
        <f t="shared" si="4"/>
        <v>114</v>
      </c>
      <c r="J14" s="722"/>
    </row>
    <row r="15" spans="1:10" ht="15.75" x14ac:dyDescent="0.25">
      <c r="A15" s="716">
        <f t="shared" ref="A15:A17" si="5">A14+1</f>
        <v>10</v>
      </c>
      <c r="B15" s="723" t="s">
        <v>1120</v>
      </c>
      <c r="C15" s="716" t="s">
        <v>75</v>
      </c>
      <c r="D15" s="724">
        <v>4</v>
      </c>
      <c r="E15" s="719">
        <f>E6*0.6</f>
        <v>87662.513999999996</v>
      </c>
      <c r="F15" s="720">
        <f t="shared" si="0"/>
        <v>350650.06</v>
      </c>
      <c r="G15" s="720">
        <f t="shared" si="1"/>
        <v>420780.07</v>
      </c>
      <c r="H15" s="751">
        <f t="shared" si="4"/>
        <v>420780.07</v>
      </c>
      <c r="J15" s="722"/>
    </row>
    <row r="16" spans="1:10" ht="22.5" customHeight="1" x14ac:dyDescent="0.25">
      <c r="A16" s="716">
        <f t="shared" si="5"/>
        <v>11</v>
      </c>
      <c r="B16" s="723" t="s">
        <v>1118</v>
      </c>
      <c r="C16" s="716" t="s">
        <v>75</v>
      </c>
      <c r="D16" s="724">
        <v>3</v>
      </c>
      <c r="E16" s="719">
        <f>E6*0.4</f>
        <v>58441.676000000007</v>
      </c>
      <c r="F16" s="720">
        <f t="shared" si="0"/>
        <v>175325.03</v>
      </c>
      <c r="G16" s="720">
        <f t="shared" si="1"/>
        <v>210390.04</v>
      </c>
      <c r="H16" s="751">
        <f t="shared" si="4"/>
        <v>210390.04</v>
      </c>
      <c r="J16" s="722"/>
    </row>
    <row r="17" spans="1:10" ht="19.5" customHeight="1" x14ac:dyDescent="0.25">
      <c r="A17" s="716">
        <f t="shared" si="5"/>
        <v>12</v>
      </c>
      <c r="B17" s="723" t="s">
        <v>1119</v>
      </c>
      <c r="C17" s="716" t="s">
        <v>75</v>
      </c>
      <c r="D17" s="724">
        <v>1</v>
      </c>
      <c r="E17" s="719">
        <v>69237.45</v>
      </c>
      <c r="F17" s="720">
        <f t="shared" si="0"/>
        <v>69237.45</v>
      </c>
      <c r="G17" s="720">
        <f t="shared" si="1"/>
        <v>83084.94</v>
      </c>
      <c r="H17" s="751">
        <f t="shared" si="4"/>
        <v>83084.94</v>
      </c>
      <c r="J17" s="722"/>
    </row>
    <row r="18" spans="1:10" ht="16.5" customHeight="1" x14ac:dyDescent="0.25">
      <c r="A18" s="716"/>
      <c r="B18" s="725" t="s">
        <v>1206</v>
      </c>
      <c r="C18" s="716"/>
      <c r="D18" s="724"/>
      <c r="E18" s="719"/>
      <c r="F18" s="720"/>
      <c r="G18" s="720"/>
      <c r="H18" s="751">
        <f t="shared" si="4"/>
        <v>0</v>
      </c>
      <c r="J18" s="722"/>
    </row>
    <row r="19" spans="1:10" ht="18.75" customHeight="1" x14ac:dyDescent="0.25">
      <c r="A19" s="716">
        <f>A17+1</f>
        <v>13</v>
      </c>
      <c r="B19" s="723" t="s">
        <v>1207</v>
      </c>
      <c r="C19" s="716" t="s">
        <v>1116</v>
      </c>
      <c r="D19" s="726">
        <v>0.32</v>
      </c>
      <c r="E19" s="719">
        <v>457959.2</v>
      </c>
      <c r="F19" s="720">
        <f t="shared" ref="F19:F33" si="6">ROUND(E19*D19,2)</f>
        <v>146546.94</v>
      </c>
      <c r="G19" s="720">
        <f t="shared" ref="G19:G33" si="7">ROUND(F19*1.2,2)</f>
        <v>175856.33</v>
      </c>
      <c r="H19" s="751">
        <f t="shared" si="4"/>
        <v>175856.33</v>
      </c>
      <c r="J19" s="722"/>
    </row>
    <row r="20" spans="1:10" ht="18.75" customHeight="1" x14ac:dyDescent="0.25">
      <c r="A20" s="716">
        <f t="shared" ref="A20:A32" si="8">A19+1</f>
        <v>14</v>
      </c>
      <c r="B20" s="723" t="s">
        <v>1117</v>
      </c>
      <c r="C20" s="716" t="s">
        <v>1116</v>
      </c>
      <c r="D20" s="726">
        <v>0.32</v>
      </c>
      <c r="E20" s="719">
        <f>E19*0.5</f>
        <v>228979.6</v>
      </c>
      <c r="F20" s="720">
        <f t="shared" si="6"/>
        <v>73273.47</v>
      </c>
      <c r="G20" s="720">
        <f t="shared" si="7"/>
        <v>87928.16</v>
      </c>
      <c r="H20" s="751">
        <f t="shared" si="4"/>
        <v>87928.16</v>
      </c>
      <c r="J20" s="722"/>
    </row>
    <row r="21" spans="1:10" ht="15.75" x14ac:dyDescent="0.25">
      <c r="A21" s="716">
        <f>A20+1</f>
        <v>15</v>
      </c>
      <c r="B21" s="723" t="s">
        <v>1172</v>
      </c>
      <c r="C21" s="716" t="s">
        <v>1116</v>
      </c>
      <c r="D21" s="726">
        <v>0.32</v>
      </c>
      <c r="E21" s="719">
        <v>659310.85</v>
      </c>
      <c r="F21" s="720">
        <f t="shared" si="6"/>
        <v>210979.47</v>
      </c>
      <c r="G21" s="720">
        <f t="shared" si="7"/>
        <v>253175.36</v>
      </c>
      <c r="H21" s="751">
        <f t="shared" si="4"/>
        <v>253175.36</v>
      </c>
      <c r="J21" s="722"/>
    </row>
    <row r="22" spans="1:10" ht="15.75" x14ac:dyDescent="0.25">
      <c r="A22" s="716">
        <f t="shared" si="8"/>
        <v>16</v>
      </c>
      <c r="B22" s="723" t="s">
        <v>1115</v>
      </c>
      <c r="C22" s="716" t="s">
        <v>1116</v>
      </c>
      <c r="D22" s="726">
        <v>0.32</v>
      </c>
      <c r="E22" s="719">
        <f>E21*0.5</f>
        <v>329655.42499999999</v>
      </c>
      <c r="F22" s="720">
        <f t="shared" si="6"/>
        <v>105489.74</v>
      </c>
      <c r="G22" s="720">
        <f t="shared" si="7"/>
        <v>126587.69</v>
      </c>
      <c r="H22" s="751">
        <f t="shared" si="4"/>
        <v>126587.69</v>
      </c>
      <c r="J22" s="722"/>
    </row>
    <row r="23" spans="1:10" ht="45" x14ac:dyDescent="0.25">
      <c r="A23" s="716">
        <f>A22+1</f>
        <v>17</v>
      </c>
      <c r="B23" s="723" t="s">
        <v>1174</v>
      </c>
      <c r="C23" s="716" t="s">
        <v>1116</v>
      </c>
      <c r="D23" s="726">
        <v>0.32</v>
      </c>
      <c r="E23" s="719">
        <v>1235192.95</v>
      </c>
      <c r="F23" s="720">
        <f t="shared" si="6"/>
        <v>395261.74</v>
      </c>
      <c r="G23" s="720">
        <f t="shared" si="7"/>
        <v>474314.09</v>
      </c>
      <c r="H23" s="751">
        <f t="shared" si="4"/>
        <v>474314.09</v>
      </c>
      <c r="J23" s="722"/>
    </row>
    <row r="24" spans="1:10" ht="30" x14ac:dyDescent="0.25">
      <c r="A24" s="716">
        <f>A23+1</f>
        <v>18</v>
      </c>
      <c r="B24" s="723" t="s">
        <v>1208</v>
      </c>
      <c r="C24" s="716" t="s">
        <v>1116</v>
      </c>
      <c r="D24" s="726">
        <v>0.32</v>
      </c>
      <c r="E24" s="719">
        <v>257000</v>
      </c>
      <c r="F24" s="720">
        <f t="shared" si="6"/>
        <v>82240</v>
      </c>
      <c r="G24" s="720">
        <f t="shared" si="7"/>
        <v>98688</v>
      </c>
      <c r="H24" s="751">
        <f t="shared" si="4"/>
        <v>98688</v>
      </c>
      <c r="J24" s="722"/>
    </row>
    <row r="25" spans="1:10" ht="18.75" customHeight="1" x14ac:dyDescent="0.25">
      <c r="A25" s="716">
        <f t="shared" si="8"/>
        <v>19</v>
      </c>
      <c r="B25" s="723" t="s">
        <v>1209</v>
      </c>
      <c r="C25" s="716" t="s">
        <v>1116</v>
      </c>
      <c r="D25" s="724">
        <v>0.64</v>
      </c>
      <c r="E25" s="719">
        <v>100000</v>
      </c>
      <c r="F25" s="720">
        <f t="shared" si="6"/>
        <v>64000</v>
      </c>
      <c r="G25" s="720">
        <f t="shared" si="7"/>
        <v>76800</v>
      </c>
      <c r="H25" s="751">
        <f t="shared" si="4"/>
        <v>76800</v>
      </c>
      <c r="J25" s="722"/>
    </row>
    <row r="26" spans="1:10" ht="18" customHeight="1" x14ac:dyDescent="0.25">
      <c r="A26" s="716">
        <f t="shared" si="8"/>
        <v>20</v>
      </c>
      <c r="B26" s="723" t="s">
        <v>1210</v>
      </c>
      <c r="C26" s="716" t="s">
        <v>1116</v>
      </c>
      <c r="D26" s="726">
        <v>0.32</v>
      </c>
      <c r="E26" s="719">
        <v>100000</v>
      </c>
      <c r="F26" s="720">
        <f t="shared" si="6"/>
        <v>32000</v>
      </c>
      <c r="G26" s="720">
        <f t="shared" si="7"/>
        <v>38400</v>
      </c>
      <c r="H26" s="751">
        <f t="shared" si="4"/>
        <v>38400</v>
      </c>
      <c r="J26" s="722"/>
    </row>
    <row r="27" spans="1:10" ht="30" x14ac:dyDescent="0.25">
      <c r="A27" s="716">
        <f t="shared" si="8"/>
        <v>21</v>
      </c>
      <c r="B27" s="723" t="s">
        <v>1179</v>
      </c>
      <c r="C27" s="716" t="s">
        <v>75</v>
      </c>
      <c r="D27" s="727">
        <v>3</v>
      </c>
      <c r="E27" s="719">
        <v>70874.625</v>
      </c>
      <c r="F27" s="720">
        <f t="shared" si="6"/>
        <v>212623.88</v>
      </c>
      <c r="G27" s="720">
        <f t="shared" si="7"/>
        <v>255148.66</v>
      </c>
      <c r="H27" s="751">
        <f t="shared" si="4"/>
        <v>255148.66</v>
      </c>
      <c r="J27" s="722"/>
    </row>
    <row r="28" spans="1:10" ht="30" x14ac:dyDescent="0.25">
      <c r="A28" s="716">
        <f t="shared" si="8"/>
        <v>22</v>
      </c>
      <c r="B28" s="723" t="s">
        <v>1180</v>
      </c>
      <c r="C28" s="716" t="s">
        <v>75</v>
      </c>
      <c r="D28" s="727">
        <v>1</v>
      </c>
      <c r="E28" s="719">
        <v>77548.990000000005</v>
      </c>
      <c r="F28" s="720">
        <f t="shared" si="6"/>
        <v>77548.990000000005</v>
      </c>
      <c r="G28" s="720">
        <f t="shared" si="7"/>
        <v>93058.79</v>
      </c>
      <c r="H28" s="751">
        <f t="shared" si="4"/>
        <v>93058.79</v>
      </c>
      <c r="J28" s="722"/>
    </row>
    <row r="29" spans="1:10" ht="30" x14ac:dyDescent="0.25">
      <c r="A29" s="716">
        <f t="shared" si="8"/>
        <v>23</v>
      </c>
      <c r="B29" s="723" t="s">
        <v>1211</v>
      </c>
      <c r="C29" s="716" t="s">
        <v>75</v>
      </c>
      <c r="D29" s="727">
        <v>3</v>
      </c>
      <c r="E29" s="719">
        <f>E27*0.5</f>
        <v>35437.3125</v>
      </c>
      <c r="F29" s="720">
        <f t="shared" si="6"/>
        <v>106311.94</v>
      </c>
      <c r="G29" s="720">
        <f t="shared" si="7"/>
        <v>127574.33</v>
      </c>
      <c r="H29" s="751">
        <f t="shared" si="4"/>
        <v>127574.33</v>
      </c>
      <c r="J29" s="722"/>
    </row>
    <row r="30" spans="1:10" ht="45" x14ac:dyDescent="0.25">
      <c r="A30" s="716">
        <f t="shared" si="8"/>
        <v>24</v>
      </c>
      <c r="B30" s="723" t="s">
        <v>1212</v>
      </c>
      <c r="C30" s="716" t="s">
        <v>75</v>
      </c>
      <c r="D30" s="727">
        <v>1</v>
      </c>
      <c r="E30" s="719">
        <f>E28*0.5</f>
        <v>38774.495000000003</v>
      </c>
      <c r="F30" s="720">
        <f t="shared" si="6"/>
        <v>38774.5</v>
      </c>
      <c r="G30" s="720">
        <f t="shared" si="7"/>
        <v>46529.4</v>
      </c>
      <c r="H30" s="751">
        <f t="shared" si="4"/>
        <v>46529.4</v>
      </c>
      <c r="J30" s="722"/>
    </row>
    <row r="31" spans="1:10" ht="45" x14ac:dyDescent="0.25">
      <c r="A31" s="716">
        <f t="shared" si="8"/>
        <v>25</v>
      </c>
      <c r="B31" s="723" t="s">
        <v>1188</v>
      </c>
      <c r="C31" s="716" t="s">
        <v>75</v>
      </c>
      <c r="D31" s="724">
        <v>5</v>
      </c>
      <c r="E31" s="728">
        <v>43192.962500000001</v>
      </c>
      <c r="F31" s="720">
        <f t="shared" si="6"/>
        <v>215964.81</v>
      </c>
      <c r="G31" s="720">
        <f t="shared" si="7"/>
        <v>259157.77</v>
      </c>
      <c r="H31" s="751">
        <f t="shared" si="4"/>
        <v>259157.77</v>
      </c>
      <c r="J31" s="722"/>
    </row>
    <row r="32" spans="1:10" ht="45" x14ac:dyDescent="0.25">
      <c r="A32" s="716">
        <f t="shared" si="8"/>
        <v>26</v>
      </c>
      <c r="B32" s="723" t="s">
        <v>1213</v>
      </c>
      <c r="C32" s="716" t="s">
        <v>75</v>
      </c>
      <c r="D32" s="724">
        <v>3</v>
      </c>
      <c r="E32" s="719">
        <f>E31*0.5</f>
        <v>21596.481250000001</v>
      </c>
      <c r="F32" s="720">
        <f t="shared" si="6"/>
        <v>64789.440000000002</v>
      </c>
      <c r="G32" s="720">
        <f t="shared" si="7"/>
        <v>77747.33</v>
      </c>
      <c r="H32" s="751">
        <f t="shared" si="4"/>
        <v>77747.33</v>
      </c>
      <c r="J32" s="722"/>
    </row>
    <row r="33" spans="1:12" ht="15.75" x14ac:dyDescent="0.25">
      <c r="A33" s="716">
        <f>A32+1</f>
        <v>27</v>
      </c>
      <c r="B33" s="723" t="s">
        <v>1192</v>
      </c>
      <c r="C33" s="716" t="s">
        <v>75</v>
      </c>
      <c r="D33" s="724">
        <v>10</v>
      </c>
      <c r="E33" s="719">
        <v>18400</v>
      </c>
      <c r="F33" s="720">
        <f t="shared" si="6"/>
        <v>184000</v>
      </c>
      <c r="G33" s="720">
        <f t="shared" si="7"/>
        <v>220800</v>
      </c>
      <c r="H33" s="751">
        <f t="shared" si="4"/>
        <v>220800</v>
      </c>
      <c r="J33" s="722"/>
    </row>
    <row r="34" spans="1:12" ht="19.5" customHeight="1" x14ac:dyDescent="0.25">
      <c r="A34" s="716"/>
      <c r="B34" s="725" t="s">
        <v>1214</v>
      </c>
      <c r="C34" s="716"/>
      <c r="D34" s="724"/>
      <c r="E34" s="719"/>
      <c r="F34" s="720"/>
      <c r="G34" s="720"/>
      <c r="H34" s="751">
        <f t="shared" si="4"/>
        <v>0</v>
      </c>
      <c r="J34" s="722"/>
    </row>
    <row r="35" spans="1:12" ht="15.75" x14ac:dyDescent="0.25">
      <c r="A35" s="716">
        <f>A33+1</f>
        <v>28</v>
      </c>
      <c r="B35" s="723" t="s">
        <v>1190</v>
      </c>
      <c r="C35" s="716" t="s">
        <v>75</v>
      </c>
      <c r="D35" s="724">
        <v>5</v>
      </c>
      <c r="E35" s="719">
        <v>36000</v>
      </c>
      <c r="F35" s="720">
        <f t="shared" ref="F35:F38" si="9">ROUND(E35*D35,2)</f>
        <v>180000</v>
      </c>
      <c r="G35" s="720">
        <f t="shared" ref="G35:G38" si="10">ROUND(F35*1.2,2)</f>
        <v>216000</v>
      </c>
      <c r="H35" s="751">
        <f t="shared" si="4"/>
        <v>216000</v>
      </c>
      <c r="J35" s="722"/>
    </row>
    <row r="36" spans="1:12" ht="30" x14ac:dyDescent="0.25">
      <c r="A36" s="716">
        <f t="shared" ref="A36:A38" si="11">A35+1</f>
        <v>29</v>
      </c>
      <c r="B36" s="723" t="s">
        <v>1175</v>
      </c>
      <c r="C36" s="716" t="s">
        <v>75</v>
      </c>
      <c r="D36" s="724">
        <v>5</v>
      </c>
      <c r="E36" s="728">
        <v>14545.51</v>
      </c>
      <c r="F36" s="720">
        <f t="shared" si="9"/>
        <v>72727.55</v>
      </c>
      <c r="G36" s="720">
        <f t="shared" si="10"/>
        <v>87273.06</v>
      </c>
      <c r="H36" s="751">
        <f t="shared" si="4"/>
        <v>87273.06</v>
      </c>
      <c r="J36" s="722"/>
    </row>
    <row r="37" spans="1:12" ht="30" x14ac:dyDescent="0.25">
      <c r="A37" s="716">
        <f t="shared" si="11"/>
        <v>30</v>
      </c>
      <c r="B37" s="723" t="s">
        <v>1177</v>
      </c>
      <c r="C37" s="716" t="s">
        <v>75</v>
      </c>
      <c r="D37" s="724">
        <v>5</v>
      </c>
      <c r="E37" s="728">
        <v>14545.51</v>
      </c>
      <c r="F37" s="720">
        <f t="shared" si="9"/>
        <v>72727.55</v>
      </c>
      <c r="G37" s="720">
        <f t="shared" si="10"/>
        <v>87273.06</v>
      </c>
      <c r="H37" s="751">
        <f t="shared" si="4"/>
        <v>87273.06</v>
      </c>
      <c r="J37" s="722"/>
    </row>
    <row r="38" spans="1:12" ht="15.75" x14ac:dyDescent="0.25">
      <c r="A38" s="716">
        <f t="shared" si="11"/>
        <v>31</v>
      </c>
      <c r="B38" s="723" t="s">
        <v>1184</v>
      </c>
      <c r="C38" s="716" t="s">
        <v>75</v>
      </c>
      <c r="D38" s="724">
        <v>4</v>
      </c>
      <c r="E38" s="728">
        <v>14545.51</v>
      </c>
      <c r="F38" s="720">
        <f t="shared" si="9"/>
        <v>58182.04</v>
      </c>
      <c r="G38" s="720">
        <f t="shared" si="10"/>
        <v>69818.45</v>
      </c>
      <c r="H38" s="751">
        <f t="shared" si="4"/>
        <v>69818.45</v>
      </c>
      <c r="J38" s="722"/>
      <c r="L38" s="729"/>
    </row>
    <row r="39" spans="1:12" ht="20.25" customHeight="1" x14ac:dyDescent="0.25">
      <c r="A39" s="716"/>
      <c r="B39" s="725" t="s">
        <v>1215</v>
      </c>
      <c r="C39" s="716"/>
      <c r="D39" s="724"/>
      <c r="E39" s="719"/>
      <c r="F39" s="720"/>
      <c r="G39" s="720"/>
      <c r="H39" s="751">
        <f t="shared" si="4"/>
        <v>0</v>
      </c>
      <c r="J39" s="722"/>
      <c r="L39" s="730"/>
    </row>
    <row r="40" spans="1:12" ht="15.75" x14ac:dyDescent="0.25">
      <c r="A40" s="716">
        <f>A38+1</f>
        <v>32</v>
      </c>
      <c r="B40" s="723" t="s">
        <v>1155</v>
      </c>
      <c r="C40" s="716" t="s">
        <v>75</v>
      </c>
      <c r="D40" s="724">
        <v>4</v>
      </c>
      <c r="E40" s="728">
        <v>57796.69</v>
      </c>
      <c r="F40" s="720">
        <f t="shared" ref="F40:F45" si="12">ROUND(E40*D40,2)</f>
        <v>231186.76</v>
      </c>
      <c r="G40" s="720">
        <f t="shared" ref="G40:G45" si="13">ROUND(F40*1.2,2)</f>
        <v>277424.11</v>
      </c>
      <c r="H40" s="751">
        <f t="shared" si="4"/>
        <v>277424.11</v>
      </c>
      <c r="J40" s="722"/>
      <c r="L40" s="730"/>
    </row>
    <row r="41" spans="1:12" ht="15.75" x14ac:dyDescent="0.25">
      <c r="A41" s="716">
        <f>A40+1</f>
        <v>33</v>
      </c>
      <c r="B41" s="723" t="s">
        <v>1216</v>
      </c>
      <c r="C41" s="716" t="s">
        <v>75</v>
      </c>
      <c r="D41" s="724">
        <v>4</v>
      </c>
      <c r="E41" s="728">
        <f>E40*0.5</f>
        <v>28898.345000000001</v>
      </c>
      <c r="F41" s="720">
        <f t="shared" si="12"/>
        <v>115593.38</v>
      </c>
      <c r="G41" s="720">
        <f t="shared" si="13"/>
        <v>138712.06</v>
      </c>
      <c r="H41" s="751">
        <f t="shared" si="4"/>
        <v>138712.06</v>
      </c>
      <c r="J41" s="722"/>
      <c r="L41" s="730"/>
    </row>
    <row r="42" spans="1:12" ht="30" x14ac:dyDescent="0.25">
      <c r="A42" s="716">
        <f t="shared" ref="A42:A45" si="14">A41+1</f>
        <v>34</v>
      </c>
      <c r="B42" s="723" t="s">
        <v>1157</v>
      </c>
      <c r="C42" s="716" t="s">
        <v>75</v>
      </c>
      <c r="D42" s="724">
        <v>1</v>
      </c>
      <c r="E42" s="719">
        <v>116000</v>
      </c>
      <c r="F42" s="720">
        <f t="shared" si="12"/>
        <v>116000</v>
      </c>
      <c r="G42" s="720">
        <f t="shared" si="13"/>
        <v>139200</v>
      </c>
      <c r="H42" s="751">
        <f t="shared" si="4"/>
        <v>139200</v>
      </c>
      <c r="J42" s="722"/>
      <c r="L42" s="730"/>
    </row>
    <row r="43" spans="1:12" ht="15.75" x14ac:dyDescent="0.25">
      <c r="A43" s="716">
        <f t="shared" si="14"/>
        <v>35</v>
      </c>
      <c r="B43" s="723" t="s">
        <v>1164</v>
      </c>
      <c r="C43" s="716" t="s">
        <v>75</v>
      </c>
      <c r="D43" s="724">
        <v>8</v>
      </c>
      <c r="E43" s="728">
        <v>5294</v>
      </c>
      <c r="F43" s="720">
        <f t="shared" si="12"/>
        <v>42352</v>
      </c>
      <c r="G43" s="720">
        <f t="shared" si="13"/>
        <v>50822.400000000001</v>
      </c>
      <c r="H43" s="751">
        <f t="shared" si="4"/>
        <v>50822.400000000001</v>
      </c>
      <c r="J43" s="722"/>
      <c r="L43" s="730"/>
    </row>
    <row r="44" spans="1:12" ht="15.75" x14ac:dyDescent="0.25">
      <c r="A44" s="716">
        <f t="shared" si="14"/>
        <v>36</v>
      </c>
      <c r="B44" s="723" t="s">
        <v>1217</v>
      </c>
      <c r="C44" s="716" t="s">
        <v>75</v>
      </c>
      <c r="D44" s="724">
        <v>8</v>
      </c>
      <c r="E44" s="728">
        <f>29634.24/8</f>
        <v>3704.28</v>
      </c>
      <c r="F44" s="720">
        <f t="shared" si="12"/>
        <v>29634.240000000002</v>
      </c>
      <c r="G44" s="720">
        <f t="shared" si="13"/>
        <v>35561.089999999997</v>
      </c>
      <c r="H44" s="751">
        <f t="shared" si="4"/>
        <v>35561.089999999997</v>
      </c>
      <c r="J44" s="722"/>
      <c r="L44" s="730"/>
    </row>
    <row r="45" spans="1:12" ht="15.75" x14ac:dyDescent="0.25">
      <c r="A45" s="716">
        <f t="shared" si="14"/>
        <v>37</v>
      </c>
      <c r="B45" s="731" t="s">
        <v>1218</v>
      </c>
      <c r="C45" s="716" t="s">
        <v>80</v>
      </c>
      <c r="D45" s="724">
        <v>0.28000000000000003</v>
      </c>
      <c r="E45" s="719">
        <v>100000</v>
      </c>
      <c r="F45" s="720">
        <f t="shared" si="12"/>
        <v>28000</v>
      </c>
      <c r="G45" s="720">
        <f t="shared" si="13"/>
        <v>33600</v>
      </c>
      <c r="H45" s="751">
        <f t="shared" si="4"/>
        <v>33600</v>
      </c>
      <c r="J45" s="722"/>
      <c r="L45" s="730"/>
    </row>
    <row r="46" spans="1:12" x14ac:dyDescent="0.25">
      <c r="A46" s="732"/>
      <c r="B46" s="918" t="s">
        <v>566</v>
      </c>
      <c r="C46" s="919"/>
      <c r="D46" s="919"/>
      <c r="E46" s="920"/>
      <c r="F46" s="733">
        <f>SUM(F4:F45)</f>
        <v>4481259.21</v>
      </c>
      <c r="G46" s="733">
        <f>SUM(G6:G45)</f>
        <v>5377511.0799999991</v>
      </c>
      <c r="H46" s="733">
        <f>SUM(H6:H45)</f>
        <v>5194342.05</v>
      </c>
    </row>
    <row r="47" spans="1:12" x14ac:dyDescent="0.25">
      <c r="A47" s="862" t="s">
        <v>1219</v>
      </c>
      <c r="B47" s="863"/>
      <c r="C47" s="863"/>
      <c r="D47" s="863"/>
      <c r="E47" s="864"/>
      <c r="F47" s="481">
        <f>ROUND(F46*0.03,2)</f>
        <v>134437.78</v>
      </c>
      <c r="G47" s="481">
        <f>ROUND(G46*0.03,2)</f>
        <v>161325.32999999999</v>
      </c>
      <c r="H47" s="481">
        <f>ROUND(H46*0.03,2)</f>
        <v>155830.26</v>
      </c>
    </row>
    <row r="48" spans="1:12" x14ac:dyDescent="0.25">
      <c r="A48" s="862" t="s">
        <v>1220</v>
      </c>
      <c r="B48" s="863"/>
      <c r="C48" s="863"/>
      <c r="D48" s="863"/>
      <c r="E48" s="864"/>
      <c r="F48" s="481">
        <f>F46+F47</f>
        <v>4615696.99</v>
      </c>
      <c r="G48" s="481">
        <f>G46+G47</f>
        <v>5538836.4099999992</v>
      </c>
      <c r="H48" s="481">
        <f>H46+H47</f>
        <v>5350172.3099999996</v>
      </c>
    </row>
    <row r="51" spans="1:10" ht="19.5" customHeight="1" x14ac:dyDescent="0.25">
      <c r="A51" s="914" t="s">
        <v>26</v>
      </c>
      <c r="B51" s="921" t="s">
        <v>57</v>
      </c>
      <c r="C51" s="914" t="s">
        <v>1221</v>
      </c>
      <c r="D51" s="914" t="s">
        <v>59</v>
      </c>
      <c r="E51" s="922" t="s">
        <v>1222</v>
      </c>
      <c r="F51" s="922"/>
      <c r="G51" s="922"/>
    </row>
    <row r="52" spans="1:10" s="729" customFormat="1" ht="28.5" x14ac:dyDescent="0.25">
      <c r="A52" s="914"/>
      <c r="B52" s="921"/>
      <c r="C52" s="914"/>
      <c r="D52" s="914"/>
      <c r="E52" s="734" t="s">
        <v>1223</v>
      </c>
      <c r="F52" s="735" t="s">
        <v>1224</v>
      </c>
      <c r="G52" s="735" t="s">
        <v>1225</v>
      </c>
    </row>
    <row r="53" spans="1:10" ht="13.5" customHeight="1" x14ac:dyDescent="0.25">
      <c r="A53" s="9">
        <v>1</v>
      </c>
      <c r="B53" s="10">
        <v>2</v>
      </c>
      <c r="C53" s="10">
        <v>3</v>
      </c>
      <c r="D53" s="10">
        <v>4</v>
      </c>
      <c r="E53" s="10">
        <v>5</v>
      </c>
      <c r="F53" s="10">
        <v>6</v>
      </c>
      <c r="G53" s="10">
        <v>7</v>
      </c>
    </row>
    <row r="54" spans="1:10" x14ac:dyDescent="0.25">
      <c r="A54" s="712"/>
      <c r="B54" s="860" t="s">
        <v>1113</v>
      </c>
      <c r="C54" s="861"/>
      <c r="D54" s="861"/>
      <c r="E54" s="714"/>
      <c r="F54" s="736"/>
      <c r="G54" s="737"/>
    </row>
    <row r="55" spans="1:10" ht="22.5" customHeight="1" x14ac:dyDescent="0.25">
      <c r="A55" s="716">
        <v>1</v>
      </c>
      <c r="B55" s="738" t="s">
        <v>1128</v>
      </c>
      <c r="C55" s="716" t="s">
        <v>75</v>
      </c>
      <c r="D55" s="718">
        <v>1</v>
      </c>
      <c r="E55" s="739">
        <f>120000</f>
        <v>120000</v>
      </c>
      <c r="F55" s="720">
        <f t="shared" ref="F55:F94" si="15">ROUND(E55*D55,2)</f>
        <v>120000</v>
      </c>
      <c r="G55" s="720">
        <f t="shared" ref="G55:G94" si="16">ROUND(F55*1.2,2)</f>
        <v>144000</v>
      </c>
      <c r="J55" s="722"/>
    </row>
    <row r="56" spans="1:10" ht="21" customHeight="1" x14ac:dyDescent="0.25">
      <c r="A56" s="716">
        <f>A55+1</f>
        <v>2</v>
      </c>
      <c r="B56" s="738" t="s">
        <v>1130</v>
      </c>
      <c r="C56" s="716" t="s">
        <v>75</v>
      </c>
      <c r="D56" s="718">
        <v>4</v>
      </c>
      <c r="E56" s="739">
        <f>360000/4</f>
        <v>90000</v>
      </c>
      <c r="F56" s="720">
        <f t="shared" si="15"/>
        <v>360000</v>
      </c>
      <c r="G56" s="720">
        <f t="shared" si="16"/>
        <v>432000</v>
      </c>
      <c r="J56" s="722"/>
    </row>
    <row r="57" spans="1:10" ht="18.75" customHeight="1" x14ac:dyDescent="0.25">
      <c r="A57" s="716">
        <f t="shared" ref="A57:A94" si="17">A56+1</f>
        <v>3</v>
      </c>
      <c r="B57" s="723" t="s">
        <v>1132</v>
      </c>
      <c r="C57" s="716" t="s">
        <v>75</v>
      </c>
      <c r="D57" s="718">
        <v>4</v>
      </c>
      <c r="E57" s="719"/>
      <c r="F57" s="720">
        <f t="shared" si="15"/>
        <v>0</v>
      </c>
      <c r="G57" s="720">
        <f t="shared" si="16"/>
        <v>0</v>
      </c>
      <c r="J57" s="722"/>
    </row>
    <row r="58" spans="1:10" ht="18.75" customHeight="1" x14ac:dyDescent="0.25">
      <c r="A58" s="716">
        <f t="shared" si="17"/>
        <v>4</v>
      </c>
      <c r="B58" s="723" t="s">
        <v>1134</v>
      </c>
      <c r="C58" s="716" t="s">
        <v>75</v>
      </c>
      <c r="D58" s="718">
        <v>1</v>
      </c>
      <c r="E58" s="719"/>
      <c r="F58" s="720">
        <f t="shared" si="15"/>
        <v>0</v>
      </c>
      <c r="G58" s="720">
        <f t="shared" si="16"/>
        <v>0</v>
      </c>
      <c r="J58" s="722"/>
    </row>
    <row r="59" spans="1:10" ht="18.75" customHeight="1" x14ac:dyDescent="0.25">
      <c r="A59" s="369">
        <f t="shared" si="17"/>
        <v>5</v>
      </c>
      <c r="B59" s="18" t="s">
        <v>1137</v>
      </c>
      <c r="C59" s="716" t="s">
        <v>75</v>
      </c>
      <c r="D59" s="718">
        <v>20</v>
      </c>
      <c r="E59" s="719"/>
      <c r="F59" s="720">
        <f t="shared" si="15"/>
        <v>0</v>
      </c>
      <c r="G59" s="720">
        <f t="shared" si="16"/>
        <v>0</v>
      </c>
      <c r="J59" s="722"/>
    </row>
    <row r="60" spans="1:10" ht="18.75" customHeight="1" x14ac:dyDescent="0.25">
      <c r="A60" s="369">
        <f t="shared" si="17"/>
        <v>6</v>
      </c>
      <c r="B60" s="18" t="s">
        <v>1138</v>
      </c>
      <c r="C60" s="716" t="s">
        <v>75</v>
      </c>
      <c r="D60" s="718">
        <v>20</v>
      </c>
      <c r="E60" s="719"/>
      <c r="F60" s="720">
        <f t="shared" si="15"/>
        <v>0</v>
      </c>
      <c r="G60" s="720">
        <f t="shared" si="16"/>
        <v>0</v>
      </c>
      <c r="J60" s="722"/>
    </row>
    <row r="61" spans="1:10" ht="18.75" customHeight="1" x14ac:dyDescent="0.25">
      <c r="A61" s="369">
        <f t="shared" si="17"/>
        <v>7</v>
      </c>
      <c r="B61" s="18" t="s">
        <v>1140</v>
      </c>
      <c r="C61" s="716" t="s">
        <v>75</v>
      </c>
      <c r="D61" s="718">
        <v>5</v>
      </c>
      <c r="E61" s="720"/>
      <c r="F61" s="720">
        <f t="shared" si="15"/>
        <v>0</v>
      </c>
      <c r="G61" s="720">
        <f t="shared" si="16"/>
        <v>0</v>
      </c>
      <c r="J61" s="722"/>
    </row>
    <row r="62" spans="1:10" ht="18.75" customHeight="1" x14ac:dyDescent="0.25">
      <c r="A62" s="369">
        <f t="shared" si="17"/>
        <v>8</v>
      </c>
      <c r="B62" s="18" t="s">
        <v>1142</v>
      </c>
      <c r="C62" s="716" t="s">
        <v>75</v>
      </c>
      <c r="D62" s="718">
        <v>20</v>
      </c>
      <c r="E62" s="720"/>
      <c r="F62" s="720">
        <f t="shared" si="15"/>
        <v>0</v>
      </c>
      <c r="G62" s="720">
        <f t="shared" si="16"/>
        <v>0</v>
      </c>
      <c r="J62" s="722"/>
    </row>
    <row r="63" spans="1:10" ht="18.75" customHeight="1" x14ac:dyDescent="0.25">
      <c r="A63" s="369">
        <f t="shared" si="17"/>
        <v>9</v>
      </c>
      <c r="B63" s="18" t="s">
        <v>1137</v>
      </c>
      <c r="C63" s="716" t="s">
        <v>75</v>
      </c>
      <c r="D63" s="718">
        <v>20</v>
      </c>
      <c r="E63" s="720"/>
      <c r="F63" s="720">
        <f t="shared" si="15"/>
        <v>0</v>
      </c>
      <c r="G63" s="720">
        <f t="shared" si="16"/>
        <v>0</v>
      </c>
      <c r="J63" s="722"/>
    </row>
    <row r="64" spans="1:10" ht="18.75" customHeight="1" x14ac:dyDescent="0.25">
      <c r="A64" s="369">
        <f t="shared" si="17"/>
        <v>10</v>
      </c>
      <c r="B64" s="18" t="s">
        <v>1138</v>
      </c>
      <c r="C64" s="716" t="s">
        <v>75</v>
      </c>
      <c r="D64" s="718">
        <v>20</v>
      </c>
      <c r="E64" s="720"/>
      <c r="F64" s="720">
        <f t="shared" si="15"/>
        <v>0</v>
      </c>
      <c r="G64" s="720">
        <f t="shared" si="16"/>
        <v>0</v>
      </c>
      <c r="J64" s="722"/>
    </row>
    <row r="65" spans="1:12" ht="18.75" customHeight="1" x14ac:dyDescent="0.25">
      <c r="A65" s="369">
        <f t="shared" si="17"/>
        <v>11</v>
      </c>
      <c r="B65" s="18" t="s">
        <v>1146</v>
      </c>
      <c r="C65" s="716" t="s">
        <v>75</v>
      </c>
      <c r="D65" s="718">
        <v>40</v>
      </c>
      <c r="E65" s="720"/>
      <c r="F65" s="720">
        <f t="shared" si="15"/>
        <v>0</v>
      </c>
      <c r="G65" s="720">
        <f t="shared" si="16"/>
        <v>0</v>
      </c>
      <c r="J65" s="722"/>
    </row>
    <row r="66" spans="1:12" ht="18.75" customHeight="1" x14ac:dyDescent="0.25">
      <c r="A66" s="369">
        <f t="shared" si="17"/>
        <v>12</v>
      </c>
      <c r="B66" s="18" t="s">
        <v>1148</v>
      </c>
      <c r="C66" s="716" t="s">
        <v>75</v>
      </c>
      <c r="D66" s="718">
        <v>20</v>
      </c>
      <c r="E66" s="720"/>
      <c r="F66" s="720">
        <f t="shared" si="15"/>
        <v>0</v>
      </c>
      <c r="G66" s="720">
        <f t="shared" si="16"/>
        <v>0</v>
      </c>
      <c r="J66" s="722"/>
    </row>
    <row r="67" spans="1:12" ht="18.75" customHeight="1" x14ac:dyDescent="0.25">
      <c r="A67" s="369">
        <f t="shared" si="17"/>
        <v>13</v>
      </c>
      <c r="B67" s="18" t="s">
        <v>1150</v>
      </c>
      <c r="C67" s="716" t="s">
        <v>75</v>
      </c>
      <c r="D67" s="718">
        <v>20</v>
      </c>
      <c r="E67" s="720"/>
      <c r="F67" s="720">
        <f t="shared" si="15"/>
        <v>0</v>
      </c>
      <c r="G67" s="720">
        <f t="shared" si="16"/>
        <v>0</v>
      </c>
      <c r="J67" s="722"/>
    </row>
    <row r="68" spans="1:12" ht="18.75" customHeight="1" x14ac:dyDescent="0.25">
      <c r="A68" s="369">
        <f t="shared" si="17"/>
        <v>14</v>
      </c>
      <c r="B68" s="18" t="s">
        <v>1226</v>
      </c>
      <c r="C68" s="716" t="s">
        <v>75</v>
      </c>
      <c r="D68" s="718">
        <v>5</v>
      </c>
      <c r="E68" s="720"/>
      <c r="F68" s="720">
        <f t="shared" si="15"/>
        <v>0</v>
      </c>
      <c r="G68" s="720">
        <f t="shared" si="16"/>
        <v>0</v>
      </c>
      <c r="J68" s="722"/>
    </row>
    <row r="69" spans="1:12" ht="18.75" customHeight="1" x14ac:dyDescent="0.25">
      <c r="A69" s="369">
        <f t="shared" si="17"/>
        <v>15</v>
      </c>
      <c r="B69" s="18" t="s">
        <v>1152</v>
      </c>
      <c r="C69" s="716" t="s">
        <v>75</v>
      </c>
      <c r="D69" s="718">
        <v>5</v>
      </c>
      <c r="E69" s="720"/>
      <c r="F69" s="720">
        <f t="shared" si="15"/>
        <v>0</v>
      </c>
      <c r="G69" s="720">
        <f t="shared" si="16"/>
        <v>0</v>
      </c>
      <c r="J69" s="722"/>
    </row>
    <row r="70" spans="1:12" ht="18.75" customHeight="1" x14ac:dyDescent="0.25">
      <c r="A70" s="716">
        <f t="shared" si="17"/>
        <v>16</v>
      </c>
      <c r="B70" s="723" t="s">
        <v>1154</v>
      </c>
      <c r="C70" s="716" t="s">
        <v>75</v>
      </c>
      <c r="D70" s="718">
        <v>5</v>
      </c>
      <c r="E70" s="720"/>
      <c r="F70" s="720">
        <f t="shared" si="15"/>
        <v>0</v>
      </c>
      <c r="G70" s="720">
        <f t="shared" si="16"/>
        <v>0</v>
      </c>
      <c r="J70" s="722"/>
    </row>
    <row r="71" spans="1:12" ht="18.75" customHeight="1" x14ac:dyDescent="0.25">
      <c r="A71" s="716">
        <f t="shared" si="17"/>
        <v>17</v>
      </c>
      <c r="B71" s="740" t="s">
        <v>1227</v>
      </c>
      <c r="C71" s="716" t="s">
        <v>171</v>
      </c>
      <c r="D71" s="741">
        <v>1.29</v>
      </c>
      <c r="E71" s="720"/>
      <c r="F71" s="720">
        <f t="shared" si="15"/>
        <v>0</v>
      </c>
      <c r="G71" s="720">
        <f t="shared" si="16"/>
        <v>0</v>
      </c>
      <c r="J71" s="722"/>
    </row>
    <row r="72" spans="1:12" ht="18.75" customHeight="1" x14ac:dyDescent="0.25">
      <c r="A72" s="716">
        <f t="shared" si="17"/>
        <v>18</v>
      </c>
      <c r="B72" s="723" t="s">
        <v>1228</v>
      </c>
      <c r="C72" s="716" t="s">
        <v>171</v>
      </c>
      <c r="D72" s="741">
        <v>2.25</v>
      </c>
      <c r="E72" s="720"/>
      <c r="F72" s="720">
        <f t="shared" si="15"/>
        <v>0</v>
      </c>
      <c r="G72" s="720">
        <f t="shared" si="16"/>
        <v>0</v>
      </c>
      <c r="J72" s="722"/>
    </row>
    <row r="73" spans="1:12" ht="18.75" customHeight="1" x14ac:dyDescent="0.25">
      <c r="A73" s="716">
        <f t="shared" si="17"/>
        <v>19</v>
      </c>
      <c r="B73" s="723" t="s">
        <v>1229</v>
      </c>
      <c r="C73" s="716" t="s">
        <v>171</v>
      </c>
      <c r="D73" s="741">
        <v>0.11</v>
      </c>
      <c r="E73" s="720"/>
      <c r="F73" s="720">
        <f t="shared" si="15"/>
        <v>0</v>
      </c>
      <c r="G73" s="720">
        <f t="shared" si="16"/>
        <v>0</v>
      </c>
      <c r="J73" s="722"/>
    </row>
    <row r="74" spans="1:12" ht="18.75" customHeight="1" x14ac:dyDescent="0.25">
      <c r="A74" s="716">
        <f t="shared" si="17"/>
        <v>20</v>
      </c>
      <c r="B74" s="723" t="s">
        <v>1230</v>
      </c>
      <c r="C74" s="716" t="s">
        <v>84</v>
      </c>
      <c r="D74" s="741">
        <v>3.6</v>
      </c>
      <c r="E74" s="742"/>
      <c r="F74" s="720">
        <f t="shared" si="15"/>
        <v>0</v>
      </c>
      <c r="G74" s="720">
        <f t="shared" si="16"/>
        <v>0</v>
      </c>
      <c r="H74" s="474"/>
      <c r="J74" s="722"/>
      <c r="L74" s="729"/>
    </row>
    <row r="75" spans="1:12" ht="18.75" customHeight="1" x14ac:dyDescent="0.25">
      <c r="A75" s="716">
        <f t="shared" si="17"/>
        <v>21</v>
      </c>
      <c r="B75" s="723" t="s">
        <v>1170</v>
      </c>
      <c r="C75" s="716" t="s">
        <v>72</v>
      </c>
      <c r="D75" s="718">
        <v>326</v>
      </c>
      <c r="E75" s="739">
        <v>1124.25</v>
      </c>
      <c r="F75" s="720">
        <f t="shared" si="15"/>
        <v>366505.5</v>
      </c>
      <c r="G75" s="720">
        <f t="shared" si="16"/>
        <v>439806.6</v>
      </c>
      <c r="H75" s="749"/>
      <c r="J75" s="722"/>
      <c r="L75" s="729"/>
    </row>
    <row r="76" spans="1:12" ht="18.75" customHeight="1" x14ac:dyDescent="0.25">
      <c r="A76" s="716">
        <f t="shared" si="17"/>
        <v>22</v>
      </c>
      <c r="B76" s="723" t="s">
        <v>1173</v>
      </c>
      <c r="C76" s="716" t="s">
        <v>72</v>
      </c>
      <c r="D76" s="718">
        <v>652</v>
      </c>
      <c r="E76" s="739">
        <v>1756.8</v>
      </c>
      <c r="F76" s="720">
        <f t="shared" si="15"/>
        <v>1145433.6000000001</v>
      </c>
      <c r="G76" s="720">
        <f t="shared" si="16"/>
        <v>1374520.3200000001</v>
      </c>
      <c r="H76" s="749"/>
      <c r="J76" s="722"/>
      <c r="L76" s="729"/>
    </row>
    <row r="77" spans="1:12" ht="18.75" customHeight="1" x14ac:dyDescent="0.25">
      <c r="A77" s="716">
        <f t="shared" si="17"/>
        <v>23</v>
      </c>
      <c r="B77" s="723" t="s">
        <v>1181</v>
      </c>
      <c r="C77" s="716" t="s">
        <v>72</v>
      </c>
      <c r="D77" s="718">
        <v>15</v>
      </c>
      <c r="E77" s="739">
        <v>1201.53</v>
      </c>
      <c r="F77" s="720">
        <f t="shared" si="15"/>
        <v>18022.95</v>
      </c>
      <c r="G77" s="720">
        <f t="shared" si="16"/>
        <v>21627.54</v>
      </c>
      <c r="H77" s="474"/>
      <c r="J77" s="722"/>
      <c r="L77" s="729"/>
    </row>
    <row r="78" spans="1:12" ht="18.75" customHeight="1" x14ac:dyDescent="0.25">
      <c r="A78" s="716">
        <f t="shared" si="17"/>
        <v>24</v>
      </c>
      <c r="B78" s="723" t="s">
        <v>1182</v>
      </c>
      <c r="C78" s="716" t="s">
        <v>72</v>
      </c>
      <c r="D78" s="718">
        <v>200</v>
      </c>
      <c r="E78" s="739">
        <v>1712.7</v>
      </c>
      <c r="F78" s="720">
        <f t="shared" si="15"/>
        <v>342540</v>
      </c>
      <c r="G78" s="720">
        <f t="shared" si="16"/>
        <v>411048</v>
      </c>
      <c r="H78" s="474"/>
      <c r="J78" s="722"/>
      <c r="L78" s="729"/>
    </row>
    <row r="79" spans="1:12" ht="30" customHeight="1" x14ac:dyDescent="0.25">
      <c r="A79" s="716">
        <f t="shared" si="17"/>
        <v>25</v>
      </c>
      <c r="B79" s="723" t="s">
        <v>1189</v>
      </c>
      <c r="C79" s="716" t="s">
        <v>75</v>
      </c>
      <c r="D79" s="718">
        <v>5</v>
      </c>
      <c r="E79" s="739">
        <v>4318.6000000000004</v>
      </c>
      <c r="F79" s="720">
        <f t="shared" si="15"/>
        <v>21593</v>
      </c>
      <c r="G79" s="720">
        <f t="shared" si="16"/>
        <v>25911.599999999999</v>
      </c>
      <c r="H79" s="474"/>
      <c r="J79" s="722"/>
      <c r="L79" s="729"/>
    </row>
    <row r="80" spans="1:12" ht="18.75" customHeight="1" x14ac:dyDescent="0.25">
      <c r="A80" s="716">
        <f t="shared" si="17"/>
        <v>26</v>
      </c>
      <c r="B80" s="723" t="s">
        <v>1187</v>
      </c>
      <c r="C80" s="716" t="s">
        <v>75</v>
      </c>
      <c r="D80" s="718">
        <v>5</v>
      </c>
      <c r="E80" s="739">
        <v>619.30000000000007</v>
      </c>
      <c r="F80" s="720">
        <f t="shared" si="15"/>
        <v>3096.5</v>
      </c>
      <c r="G80" s="720">
        <f t="shared" si="16"/>
        <v>3715.8</v>
      </c>
      <c r="H80" s="474"/>
      <c r="J80" s="722"/>
      <c r="L80" s="729"/>
    </row>
    <row r="81" spans="1:12" ht="18.75" customHeight="1" x14ac:dyDescent="0.25">
      <c r="A81" s="716">
        <f t="shared" si="17"/>
        <v>27</v>
      </c>
      <c r="B81" s="723" t="s">
        <v>1163</v>
      </c>
      <c r="C81" s="716" t="s">
        <v>75</v>
      </c>
      <c r="D81" s="718">
        <v>5</v>
      </c>
      <c r="E81" s="739"/>
      <c r="F81" s="720">
        <f t="shared" si="15"/>
        <v>0</v>
      </c>
      <c r="G81" s="720">
        <f t="shared" si="16"/>
        <v>0</v>
      </c>
      <c r="H81" s="474"/>
      <c r="J81" s="722"/>
      <c r="L81" s="729"/>
    </row>
    <row r="82" spans="1:12" ht="18.75" customHeight="1" x14ac:dyDescent="0.25">
      <c r="A82" s="716">
        <f t="shared" si="17"/>
        <v>28</v>
      </c>
      <c r="B82" s="723" t="s">
        <v>1231</v>
      </c>
      <c r="C82" s="743"/>
      <c r="D82" s="744">
        <v>0.8</v>
      </c>
      <c r="E82" s="739"/>
      <c r="F82" s="720">
        <f t="shared" si="15"/>
        <v>0</v>
      </c>
      <c r="G82" s="720">
        <f t="shared" si="16"/>
        <v>0</v>
      </c>
      <c r="H82" s="474"/>
      <c r="J82" s="722"/>
      <c r="L82" s="729"/>
    </row>
    <row r="83" spans="1:12" ht="18.75" customHeight="1" x14ac:dyDescent="0.25">
      <c r="A83" s="716">
        <f t="shared" si="17"/>
        <v>29</v>
      </c>
      <c r="B83" s="723" t="s">
        <v>1232</v>
      </c>
      <c r="C83" s="716" t="s">
        <v>75</v>
      </c>
      <c r="D83" s="718">
        <v>5</v>
      </c>
      <c r="E83" s="739"/>
      <c r="F83" s="720">
        <f t="shared" si="15"/>
        <v>0</v>
      </c>
      <c r="G83" s="720">
        <f t="shared" si="16"/>
        <v>0</v>
      </c>
      <c r="H83" s="474"/>
      <c r="J83" s="722"/>
      <c r="L83" s="729"/>
    </row>
    <row r="84" spans="1:12" ht="18.75" customHeight="1" x14ac:dyDescent="0.25">
      <c r="A84" s="716">
        <f t="shared" si="17"/>
        <v>30</v>
      </c>
      <c r="B84" s="723" t="s">
        <v>1193</v>
      </c>
      <c r="C84" s="716" t="s">
        <v>75</v>
      </c>
      <c r="D84" s="718">
        <v>10</v>
      </c>
      <c r="E84" s="739"/>
      <c r="F84" s="720">
        <f t="shared" si="15"/>
        <v>0</v>
      </c>
      <c r="G84" s="720">
        <f t="shared" si="16"/>
        <v>0</v>
      </c>
      <c r="H84" s="474"/>
      <c r="J84" s="722"/>
      <c r="L84" s="729"/>
    </row>
    <row r="85" spans="1:12" ht="18.75" customHeight="1" x14ac:dyDescent="0.25">
      <c r="A85" s="716">
        <f t="shared" si="17"/>
        <v>31</v>
      </c>
      <c r="B85" s="723" t="s">
        <v>1191</v>
      </c>
      <c r="C85" s="716" t="s">
        <v>75</v>
      </c>
      <c r="D85" s="718">
        <v>10</v>
      </c>
      <c r="E85" s="739">
        <v>11942.7</v>
      </c>
      <c r="F85" s="720">
        <f t="shared" si="15"/>
        <v>119427</v>
      </c>
      <c r="G85" s="720">
        <f t="shared" si="16"/>
        <v>143312.4</v>
      </c>
      <c r="H85" s="474"/>
      <c r="J85" s="722"/>
      <c r="L85" s="729"/>
    </row>
    <row r="86" spans="1:12" ht="30.75" customHeight="1" x14ac:dyDescent="0.25">
      <c r="A86" s="716">
        <f t="shared" si="17"/>
        <v>32</v>
      </c>
      <c r="B86" s="723" t="s">
        <v>1176</v>
      </c>
      <c r="C86" s="716" t="s">
        <v>75</v>
      </c>
      <c r="D86" s="718">
        <v>5</v>
      </c>
      <c r="E86" s="739">
        <v>3795.0000000000005</v>
      </c>
      <c r="F86" s="720">
        <f t="shared" si="15"/>
        <v>18975</v>
      </c>
      <c r="G86" s="720">
        <f t="shared" si="16"/>
        <v>22770</v>
      </c>
      <c r="H86" s="474"/>
      <c r="J86" s="722"/>
      <c r="L86" s="729"/>
    </row>
    <row r="87" spans="1:12" ht="30.75" customHeight="1" x14ac:dyDescent="0.25">
      <c r="A87" s="716">
        <f t="shared" si="17"/>
        <v>33</v>
      </c>
      <c r="B87" s="723" t="s">
        <v>1178</v>
      </c>
      <c r="C87" s="716" t="s">
        <v>75</v>
      </c>
      <c r="D87" s="718">
        <v>5</v>
      </c>
      <c r="E87" s="739">
        <v>6831.0000000000009</v>
      </c>
      <c r="F87" s="720">
        <f t="shared" si="15"/>
        <v>34155</v>
      </c>
      <c r="G87" s="720">
        <f t="shared" si="16"/>
        <v>40986</v>
      </c>
      <c r="H87" s="474"/>
      <c r="J87" s="722"/>
      <c r="L87" s="729"/>
    </row>
    <row r="88" spans="1:12" ht="18.75" customHeight="1" x14ac:dyDescent="0.25">
      <c r="A88" s="716">
        <f t="shared" si="17"/>
        <v>34</v>
      </c>
      <c r="B88" s="723" t="s">
        <v>1185</v>
      </c>
      <c r="C88" s="716" t="s">
        <v>75</v>
      </c>
      <c r="D88" s="718">
        <v>4</v>
      </c>
      <c r="E88" s="739">
        <v>4098.6000000000004</v>
      </c>
      <c r="F88" s="720">
        <f t="shared" si="15"/>
        <v>16394.400000000001</v>
      </c>
      <c r="G88" s="720">
        <f t="shared" si="16"/>
        <v>19673.28</v>
      </c>
      <c r="H88" s="474"/>
      <c r="J88" s="722"/>
      <c r="L88" s="729"/>
    </row>
    <row r="89" spans="1:12" ht="18.75" customHeight="1" x14ac:dyDescent="0.25">
      <c r="A89" s="716">
        <f t="shared" si="17"/>
        <v>35</v>
      </c>
      <c r="B89" s="723" t="s">
        <v>1156</v>
      </c>
      <c r="C89" s="716" t="s">
        <v>75</v>
      </c>
      <c r="D89" s="718">
        <v>4</v>
      </c>
      <c r="E89" s="742"/>
      <c r="F89" s="720">
        <f t="shared" si="15"/>
        <v>0</v>
      </c>
      <c r="G89" s="720">
        <f t="shared" si="16"/>
        <v>0</v>
      </c>
      <c r="H89" s="474"/>
      <c r="J89" s="722"/>
      <c r="L89" s="729"/>
    </row>
    <row r="90" spans="1:12" ht="18.75" customHeight="1" x14ac:dyDescent="0.25">
      <c r="A90" s="716">
        <f t="shared" si="17"/>
        <v>36</v>
      </c>
      <c r="B90" s="723" t="s">
        <v>1158</v>
      </c>
      <c r="C90" s="716" t="s">
        <v>75</v>
      </c>
      <c r="D90" s="718">
        <v>1</v>
      </c>
      <c r="E90" s="742"/>
      <c r="F90" s="720">
        <f t="shared" si="15"/>
        <v>0</v>
      </c>
      <c r="G90" s="720">
        <f t="shared" si="16"/>
        <v>0</v>
      </c>
      <c r="H90" s="474"/>
      <c r="J90" s="722"/>
      <c r="L90" s="729"/>
    </row>
    <row r="91" spans="1:12" ht="18.75" customHeight="1" x14ac:dyDescent="0.25">
      <c r="A91" s="716">
        <f t="shared" si="17"/>
        <v>37</v>
      </c>
      <c r="B91" s="723" t="s">
        <v>1165</v>
      </c>
      <c r="C91" s="716" t="s">
        <v>75</v>
      </c>
      <c r="D91" s="718">
        <v>4</v>
      </c>
      <c r="E91" s="742"/>
      <c r="F91" s="720">
        <f t="shared" si="15"/>
        <v>0</v>
      </c>
      <c r="G91" s="720">
        <f t="shared" si="16"/>
        <v>0</v>
      </c>
      <c r="H91" s="474"/>
      <c r="J91" s="722"/>
      <c r="L91" s="729"/>
    </row>
    <row r="92" spans="1:12" ht="18.75" customHeight="1" x14ac:dyDescent="0.25">
      <c r="A92" s="716">
        <f t="shared" si="17"/>
        <v>38</v>
      </c>
      <c r="B92" s="723" t="s">
        <v>1167</v>
      </c>
      <c r="C92" s="716" t="s">
        <v>75</v>
      </c>
      <c r="D92" s="718">
        <v>4</v>
      </c>
      <c r="E92" s="742"/>
      <c r="F92" s="720">
        <f t="shared" si="15"/>
        <v>0</v>
      </c>
      <c r="G92" s="720">
        <f t="shared" si="16"/>
        <v>0</v>
      </c>
      <c r="H92" s="474"/>
      <c r="J92" s="722"/>
      <c r="L92" s="729"/>
    </row>
    <row r="93" spans="1:12" ht="18.75" customHeight="1" x14ac:dyDescent="0.25">
      <c r="A93" s="716">
        <f t="shared" si="17"/>
        <v>39</v>
      </c>
      <c r="B93" s="723" t="s">
        <v>1160</v>
      </c>
      <c r="C93" s="716" t="s">
        <v>75</v>
      </c>
      <c r="D93" s="718">
        <v>4</v>
      </c>
      <c r="E93" s="742"/>
      <c r="F93" s="720">
        <f t="shared" si="15"/>
        <v>0</v>
      </c>
      <c r="G93" s="720">
        <f t="shared" si="16"/>
        <v>0</v>
      </c>
      <c r="H93" s="474"/>
      <c r="J93" s="722"/>
      <c r="L93" s="729"/>
    </row>
    <row r="94" spans="1:12" ht="18.75" customHeight="1" x14ac:dyDescent="0.25">
      <c r="A94" s="716">
        <f t="shared" si="17"/>
        <v>40</v>
      </c>
      <c r="B94" s="723" t="s">
        <v>1161</v>
      </c>
      <c r="C94" s="716" t="s">
        <v>75</v>
      </c>
      <c r="D94" s="718">
        <v>1</v>
      </c>
      <c r="E94" s="742"/>
      <c r="F94" s="720">
        <f t="shared" si="15"/>
        <v>0</v>
      </c>
      <c r="G94" s="720">
        <f t="shared" si="16"/>
        <v>0</v>
      </c>
      <c r="H94" s="474"/>
      <c r="J94" s="722"/>
      <c r="L94" s="729"/>
    </row>
    <row r="95" spans="1:12" x14ac:dyDescent="0.25">
      <c r="A95" s="745"/>
      <c r="B95" s="915" t="s">
        <v>566</v>
      </c>
      <c r="C95" s="916"/>
      <c r="D95" s="916"/>
      <c r="E95" s="917"/>
      <c r="F95" s="733">
        <f>SUM(F54:F94)</f>
        <v>2566142.9499999997</v>
      </c>
      <c r="G95" s="733">
        <f>SUM(G54:G94)</f>
        <v>3079371.5399999996</v>
      </c>
    </row>
    <row r="97" spans="7:8" x14ac:dyDescent="0.25">
      <c r="G97" s="747">
        <f>G48+G95</f>
        <v>8618207.9499999993</v>
      </c>
      <c r="H97" s="748">
        <f>H48+G95</f>
        <v>8429543.8499999996</v>
      </c>
    </row>
    <row r="98" spans="7:8" x14ac:dyDescent="0.25">
      <c r="G98" s="746"/>
    </row>
  </sheetData>
  <mergeCells count="16">
    <mergeCell ref="E1:G1"/>
    <mergeCell ref="B54:D54"/>
    <mergeCell ref="B95:E95"/>
    <mergeCell ref="B46:E46"/>
    <mergeCell ref="A47:E47"/>
    <mergeCell ref="A48:E48"/>
    <mergeCell ref="A51:A52"/>
    <mergeCell ref="B51:B52"/>
    <mergeCell ref="C51:C52"/>
    <mergeCell ref="D51:D52"/>
    <mergeCell ref="E51:G51"/>
    <mergeCell ref="B4:D4"/>
    <mergeCell ref="A1:A2"/>
    <mergeCell ref="B1:B2"/>
    <mergeCell ref="C1:C2"/>
    <mergeCell ref="D1:D2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A3B37-31AC-4EE4-9DF5-B82E773818BD}">
  <sheetPr>
    <tabColor rgb="FF00B050"/>
  </sheetPr>
  <dimension ref="A1:R51"/>
  <sheetViews>
    <sheetView tabSelected="1" zoomScale="85" zoomScaleNormal="85" workbookViewId="0">
      <pane ySplit="1" topLeftCell="A2" activePane="bottomLeft" state="frozen"/>
      <selection pane="bottomLeft" activeCell="O19" sqref="O19"/>
    </sheetView>
  </sheetViews>
  <sheetFormatPr defaultRowHeight="15" x14ac:dyDescent="0.25"/>
  <cols>
    <col min="1" max="1" width="5.7109375" style="293" customWidth="1"/>
    <col min="2" max="2" width="20.7109375" style="293" customWidth="1"/>
    <col min="3" max="3" width="15.5703125" style="293" customWidth="1"/>
    <col min="4" max="4" width="18.42578125" style="293" customWidth="1"/>
    <col min="5" max="5" width="17.85546875" style="293" customWidth="1"/>
    <col min="6" max="7" width="6.5703125" style="293" customWidth="1"/>
    <col min="8" max="8" width="48.7109375" style="293" customWidth="1"/>
    <col min="9" max="9" width="16.28515625" style="293" bestFit="1" customWidth="1"/>
    <col min="10" max="11" width="17.85546875" style="293" customWidth="1"/>
    <col min="12" max="12" width="74.42578125" style="293" customWidth="1"/>
    <col min="13" max="13" width="19.28515625" style="760" customWidth="1"/>
    <col min="14" max="14" width="9.140625" style="293"/>
    <col min="15" max="15" width="45.85546875" style="293" customWidth="1"/>
    <col min="16" max="16" width="21.140625" style="293" customWidth="1"/>
    <col min="17" max="16384" width="9.140625" style="293"/>
  </cols>
  <sheetData>
    <row r="1" spans="1:18" x14ac:dyDescent="0.25">
      <c r="A1" s="292" t="s">
        <v>54</v>
      </c>
      <c r="B1" s="292"/>
      <c r="C1" s="292"/>
      <c r="G1" s="294" t="s">
        <v>51</v>
      </c>
      <c r="H1" s="294"/>
      <c r="I1" s="294"/>
      <c r="J1" s="5" t="s">
        <v>564</v>
      </c>
      <c r="K1" s="5" t="s">
        <v>565</v>
      </c>
      <c r="L1" s="5" t="s">
        <v>56</v>
      </c>
    </row>
    <row r="2" spans="1:18" s="295" customFormat="1" x14ac:dyDescent="0.25">
      <c r="A2" s="4" t="s">
        <v>55</v>
      </c>
      <c r="B2" s="4" t="s">
        <v>1</v>
      </c>
      <c r="C2" s="4" t="s">
        <v>28</v>
      </c>
      <c r="D2" s="1" t="s">
        <v>1071</v>
      </c>
      <c r="E2" s="1" t="s">
        <v>1235</v>
      </c>
      <c r="G2" s="1" t="s">
        <v>55</v>
      </c>
      <c r="H2" s="1" t="s">
        <v>27</v>
      </c>
      <c r="I2" s="1" t="s">
        <v>28</v>
      </c>
      <c r="J2" s="1"/>
      <c r="K2" s="3"/>
      <c r="L2" s="296"/>
      <c r="M2" s="761"/>
      <c r="O2" s="839" t="s">
        <v>1253</v>
      </c>
      <c r="P2" s="854">
        <f>Q2</f>
        <v>308.75</v>
      </c>
      <c r="Q2" s="295">
        <v>308.75</v>
      </c>
      <c r="R2" s="295">
        <v>431.37</v>
      </c>
    </row>
    <row r="3" spans="1:18" x14ac:dyDescent="0.25">
      <c r="A3" s="296">
        <v>1</v>
      </c>
      <c r="B3" s="297" t="s">
        <v>0</v>
      </c>
      <c r="C3" s="755">
        <v>12292609.449999999</v>
      </c>
      <c r="D3" s="756">
        <f>верх!J57+верх!J13+верх!J35</f>
        <v>14440407.270000001</v>
      </c>
      <c r="E3" s="757">
        <f>D3-C3</f>
        <v>2147797.8200000022</v>
      </c>
      <c r="F3" s="299"/>
      <c r="G3" s="2">
        <v>1</v>
      </c>
      <c r="H3" s="300" t="s">
        <v>29</v>
      </c>
      <c r="I3" s="303">
        <v>12292609.449999999</v>
      </c>
      <c r="J3" s="301">
        <f>АС1Площадка!L32*-1</f>
        <v>-853107.6</v>
      </c>
      <c r="K3" s="303">
        <f>I3+J3</f>
        <v>11439501.85</v>
      </c>
      <c r="L3" s="753" t="s">
        <v>126</v>
      </c>
      <c r="O3" s="840" t="s">
        <v>1270</v>
      </c>
      <c r="P3" s="757">
        <f>'Резка+погр'!E42+'Резка+погр'!E43+'Резка+погр'!E44</f>
        <v>410215.18336000002</v>
      </c>
    </row>
    <row r="4" spans="1:18" x14ac:dyDescent="0.25">
      <c r="A4" s="296">
        <v>2</v>
      </c>
      <c r="B4" s="297" t="s">
        <v>2</v>
      </c>
      <c r="C4" s="755">
        <v>8548320.6400000006</v>
      </c>
      <c r="D4" s="756">
        <f>верх!J66+верх!J22</f>
        <v>3992463.31</v>
      </c>
      <c r="E4" s="757">
        <f t="shared" ref="E4:E27" si="0">D4-C4</f>
        <v>-4555857.33</v>
      </c>
      <c r="F4" s="299"/>
      <c r="G4" s="2">
        <v>2</v>
      </c>
      <c r="H4" s="300" t="s">
        <v>30</v>
      </c>
      <c r="I4" s="303">
        <v>89859.26</v>
      </c>
      <c r="J4" s="302"/>
      <c r="K4" s="303">
        <f t="shared" ref="K4:K30" si="1">I4+J4</f>
        <v>89859.26</v>
      </c>
      <c r="L4" s="297"/>
      <c r="O4" s="824"/>
      <c r="P4" s="825"/>
    </row>
    <row r="5" spans="1:18" x14ac:dyDescent="0.25">
      <c r="A5" s="296">
        <v>3</v>
      </c>
      <c r="B5" s="297" t="s">
        <v>3</v>
      </c>
      <c r="C5" s="755">
        <v>1894010.8900000001</v>
      </c>
      <c r="D5" s="756">
        <f>верх!J59+верх!J14</f>
        <v>2028436.29</v>
      </c>
      <c r="E5" s="757">
        <f t="shared" si="0"/>
        <v>134425.39999999991</v>
      </c>
      <c r="F5" s="299"/>
      <c r="G5" s="2">
        <v>3</v>
      </c>
      <c r="H5" s="300" t="s">
        <v>31</v>
      </c>
      <c r="I5" s="303">
        <v>5641179.5499999998</v>
      </c>
      <c r="J5" s="301">
        <f>(ГСН!L85+ГСН!L86)*-1+ГСН!N20*-1</f>
        <v>-315084.08999999997</v>
      </c>
      <c r="K5" s="303">
        <f t="shared" si="1"/>
        <v>5326095.46</v>
      </c>
      <c r="L5" s="297" t="s">
        <v>1267</v>
      </c>
      <c r="O5" s="824"/>
      <c r="P5" s="825"/>
    </row>
    <row r="6" spans="1:18" x14ac:dyDescent="0.25">
      <c r="A6" s="296">
        <v>4</v>
      </c>
      <c r="B6" s="297" t="s">
        <v>4</v>
      </c>
      <c r="C6" s="755">
        <v>89859.26</v>
      </c>
      <c r="D6" s="756">
        <f>верх!J32</f>
        <v>85851.36</v>
      </c>
      <c r="E6" s="757">
        <f t="shared" si="0"/>
        <v>-4007.8999999999942</v>
      </c>
      <c r="F6" s="299"/>
      <c r="G6" s="2">
        <v>4</v>
      </c>
      <c r="H6" s="300" t="s">
        <v>32</v>
      </c>
      <c r="I6" s="303">
        <v>47174.400000000001</v>
      </c>
      <c r="J6" s="301">
        <f>'Демонтаж ламп'!L8*-1</f>
        <v>-14515.2</v>
      </c>
      <c r="K6" s="303">
        <f t="shared" si="1"/>
        <v>32659.200000000001</v>
      </c>
      <c r="L6" s="297" t="s">
        <v>1198</v>
      </c>
      <c r="O6" s="824"/>
      <c r="P6" s="825"/>
    </row>
    <row r="7" spans="1:18" x14ac:dyDescent="0.25">
      <c r="A7" s="296">
        <v>5</v>
      </c>
      <c r="B7" s="297" t="s">
        <v>5</v>
      </c>
      <c r="C7" s="755">
        <v>771191.87</v>
      </c>
      <c r="D7" s="756">
        <f>верх!J33</f>
        <v>708000.38</v>
      </c>
      <c r="E7" s="757">
        <f t="shared" si="0"/>
        <v>-63191.489999999991</v>
      </c>
      <c r="F7" s="299"/>
      <c r="G7" s="2">
        <v>5</v>
      </c>
      <c r="H7" s="300" t="s">
        <v>33</v>
      </c>
      <c r="I7" s="303">
        <v>8903413.1300000008</v>
      </c>
      <c r="J7" s="301">
        <f>(I7-КПКС!H97)*-1</f>
        <v>-473869.28000000119</v>
      </c>
      <c r="K7" s="303">
        <f t="shared" si="1"/>
        <v>8429543.8499999996</v>
      </c>
      <c r="L7" s="752" t="s">
        <v>1234</v>
      </c>
      <c r="M7" s="760" t="s">
        <v>1236</v>
      </c>
      <c r="O7" s="824"/>
      <c r="P7" s="825"/>
    </row>
    <row r="8" spans="1:18" x14ac:dyDescent="0.25">
      <c r="A8" s="296">
        <v>6</v>
      </c>
      <c r="B8" s="297" t="s">
        <v>6</v>
      </c>
      <c r="C8" s="755">
        <v>23327935.399999999</v>
      </c>
      <c r="D8" s="756">
        <f>верх!J56+верх!J26+верх!J40</f>
        <v>22490590.770000003</v>
      </c>
      <c r="E8" s="757">
        <f t="shared" si="0"/>
        <v>-837344.62999999523</v>
      </c>
      <c r="F8" s="299"/>
      <c r="G8" s="2">
        <v>6</v>
      </c>
      <c r="H8" s="300" t="s">
        <v>34</v>
      </c>
      <c r="I8" s="303">
        <v>630049.56999999995</v>
      </c>
      <c r="J8" s="302"/>
      <c r="K8" s="303">
        <f t="shared" si="1"/>
        <v>630049.56999999995</v>
      </c>
      <c r="L8" s="297"/>
      <c r="O8" s="824"/>
      <c r="P8" s="825"/>
    </row>
    <row r="9" spans="1:18" x14ac:dyDescent="0.25">
      <c r="A9" s="296">
        <v>7</v>
      </c>
      <c r="B9" s="297" t="s">
        <v>7</v>
      </c>
      <c r="C9" s="755">
        <v>69943671.159999996</v>
      </c>
      <c r="D9" s="756">
        <f>верх!J61+верх!J27</f>
        <v>84453365.530000001</v>
      </c>
      <c r="E9" s="757">
        <f t="shared" si="0"/>
        <v>14509694.370000005</v>
      </c>
      <c r="F9" s="299"/>
      <c r="G9" s="2">
        <v>7</v>
      </c>
      <c r="H9" s="300" t="s">
        <v>35</v>
      </c>
      <c r="I9" s="303">
        <v>1516853.62</v>
      </c>
      <c r="J9" s="302"/>
      <c r="K9" s="303">
        <f t="shared" si="1"/>
        <v>1516853.62</v>
      </c>
      <c r="L9" s="297"/>
      <c r="O9" s="824"/>
      <c r="P9" s="825"/>
    </row>
    <row r="10" spans="1:18" x14ac:dyDescent="0.25">
      <c r="A10" s="296">
        <v>8</v>
      </c>
      <c r="B10" s="297" t="s">
        <v>8</v>
      </c>
      <c r="C10" s="755">
        <v>5641179.5499999998</v>
      </c>
      <c r="D10" s="756">
        <f>верх!J25-верх!M25</f>
        <v>6117618.79</v>
      </c>
      <c r="E10" s="757">
        <f t="shared" si="0"/>
        <v>476439.24000000022</v>
      </c>
      <c r="F10" s="299"/>
      <c r="G10" s="2">
        <v>8</v>
      </c>
      <c r="H10" s="300" t="s">
        <v>36</v>
      </c>
      <c r="I10" s="303">
        <v>22508536.09</v>
      </c>
      <c r="J10" s="302"/>
      <c r="K10" s="303">
        <f t="shared" si="1"/>
        <v>22508536.09</v>
      </c>
      <c r="L10" s="297"/>
      <c r="O10" s="824"/>
      <c r="P10" s="825"/>
    </row>
    <row r="11" spans="1:18" ht="30" x14ac:dyDescent="0.25">
      <c r="A11" s="296">
        <v>9</v>
      </c>
      <c r="B11" s="297" t="s">
        <v>9</v>
      </c>
      <c r="C11" s="755">
        <v>47174.400000000001</v>
      </c>
      <c r="D11" s="756">
        <f>верх!J31</f>
        <v>27667.040000000001</v>
      </c>
      <c r="E11" s="757">
        <f t="shared" si="0"/>
        <v>-19507.36</v>
      </c>
      <c r="F11" s="299"/>
      <c r="G11" s="2">
        <v>9</v>
      </c>
      <c r="H11" s="300" t="s">
        <v>16</v>
      </c>
      <c r="I11" s="303">
        <v>7187698.04</v>
      </c>
      <c r="J11" s="301">
        <f>-1*('К16А дождеп'!O76+'К26-27'!M32)</f>
        <v>-1525895.5020000001</v>
      </c>
      <c r="K11" s="303">
        <f t="shared" si="1"/>
        <v>5661802.5379999997</v>
      </c>
      <c r="L11" s="838" t="s">
        <v>642</v>
      </c>
      <c r="O11" s="824">
        <f>'Резка+погр'!C33-'Резка+погр'!B33*СВОД!P2</f>
        <v>51089.520000000019</v>
      </c>
      <c r="P11" s="825" t="s">
        <v>1260</v>
      </c>
    </row>
    <row r="12" spans="1:18" ht="90" x14ac:dyDescent="0.25">
      <c r="A12" s="296">
        <v>10</v>
      </c>
      <c r="B12" s="297" t="s">
        <v>10</v>
      </c>
      <c r="C12" s="755">
        <v>8903413.1300000008</v>
      </c>
      <c r="D12" s="756">
        <f>верх!J34</f>
        <v>5703505.3300000001</v>
      </c>
      <c r="E12" s="757">
        <f t="shared" si="0"/>
        <v>-3199907.8000000007</v>
      </c>
      <c r="F12" s="299"/>
      <c r="G12" s="2">
        <v>10</v>
      </c>
      <c r="H12" s="300" t="s">
        <v>37</v>
      </c>
      <c r="I12" s="303">
        <v>94808943.879999995</v>
      </c>
      <c r="J12" s="301">
        <f>-1*ПЖ!O116-11575527.07</f>
        <v>-32605221.678299993</v>
      </c>
      <c r="K12" s="303">
        <f t="shared" si="1"/>
        <v>62203722.201700002</v>
      </c>
      <c r="L12" s="838" t="s">
        <v>1252</v>
      </c>
      <c r="M12" s="804"/>
      <c r="O12" s="299"/>
    </row>
    <row r="13" spans="1:18" x14ac:dyDescent="0.25">
      <c r="A13" s="296">
        <v>11</v>
      </c>
      <c r="B13" s="297" t="s">
        <v>11</v>
      </c>
      <c r="C13" s="755">
        <v>554638.52</v>
      </c>
      <c r="D13" s="756">
        <f>верх!J36</f>
        <v>299526.31</v>
      </c>
      <c r="E13" s="757">
        <f t="shared" si="0"/>
        <v>-255112.21000000002</v>
      </c>
      <c r="F13" s="299"/>
      <c r="G13" s="2">
        <v>11</v>
      </c>
      <c r="H13" s="300" t="s">
        <v>38</v>
      </c>
      <c r="I13" s="303">
        <v>3434769.77</v>
      </c>
      <c r="J13" s="301">
        <f>ТС2!O182*-1</f>
        <v>-695456.72800000012</v>
      </c>
      <c r="K13" s="303">
        <f t="shared" si="1"/>
        <v>2739313.0419999999</v>
      </c>
      <c r="L13" s="297" t="s">
        <v>853</v>
      </c>
      <c r="O13" s="299"/>
    </row>
    <row r="14" spans="1:18" x14ac:dyDescent="0.25">
      <c r="A14" s="296">
        <v>12</v>
      </c>
      <c r="B14" s="297" t="s">
        <v>12</v>
      </c>
      <c r="C14" s="755">
        <v>630049.56999999995</v>
      </c>
      <c r="D14" s="756">
        <f>верх!J63</f>
        <v>505496.99</v>
      </c>
      <c r="E14" s="757">
        <f t="shared" si="0"/>
        <v>-124552.57999999996</v>
      </c>
      <c r="F14" s="299"/>
      <c r="G14" s="2">
        <v>12</v>
      </c>
      <c r="H14" s="300" t="s">
        <v>39</v>
      </c>
      <c r="I14" s="303">
        <v>5344436.47</v>
      </c>
      <c r="J14" s="301">
        <f>-1*ТС3!O123</f>
        <v>-648541.76</v>
      </c>
      <c r="K14" s="303">
        <f t="shared" si="1"/>
        <v>4695894.71</v>
      </c>
      <c r="L14" s="297" t="s">
        <v>734</v>
      </c>
      <c r="O14" s="299"/>
    </row>
    <row r="15" spans="1:18" x14ac:dyDescent="0.25">
      <c r="A15" s="296">
        <v>13</v>
      </c>
      <c r="B15" s="297" t="s">
        <v>13</v>
      </c>
      <c r="C15" s="755">
        <v>1516853.62</v>
      </c>
      <c r="D15" s="756">
        <f>верх!J17</f>
        <v>1526181.18</v>
      </c>
      <c r="E15" s="757">
        <f t="shared" si="0"/>
        <v>9327.559999999823</v>
      </c>
      <c r="F15" s="299"/>
      <c r="G15" s="2">
        <v>13</v>
      </c>
      <c r="H15" s="300" t="s">
        <v>40</v>
      </c>
      <c r="I15" s="303">
        <v>2140860.2799999998</v>
      </c>
      <c r="J15" s="302"/>
      <c r="K15" s="303">
        <f t="shared" si="1"/>
        <v>2140860.2799999998</v>
      </c>
      <c r="L15" s="297"/>
      <c r="O15" s="299"/>
    </row>
    <row r="16" spans="1:18" x14ac:dyDescent="0.25">
      <c r="A16" s="296">
        <v>14</v>
      </c>
      <c r="B16" s="297" t="s">
        <v>14</v>
      </c>
      <c r="C16" s="755">
        <v>22508536.09</v>
      </c>
      <c r="D16" s="756">
        <f>верх!J18</f>
        <v>19653084.23</v>
      </c>
      <c r="E16" s="757">
        <f t="shared" si="0"/>
        <v>-2855451.8599999994</v>
      </c>
      <c r="F16" s="299"/>
      <c r="G16" s="2">
        <v>14</v>
      </c>
      <c r="H16" s="300" t="s">
        <v>41</v>
      </c>
      <c r="I16" s="303">
        <v>912139.03</v>
      </c>
      <c r="J16" s="302"/>
      <c r="K16" s="303">
        <f t="shared" si="1"/>
        <v>912139.03</v>
      </c>
      <c r="L16" s="297"/>
      <c r="O16" s="299"/>
    </row>
    <row r="17" spans="1:15" x14ac:dyDescent="0.25">
      <c r="A17" s="296">
        <v>15</v>
      </c>
      <c r="B17" s="297" t="s">
        <v>15</v>
      </c>
      <c r="C17" s="755">
        <v>3122837.6500000004</v>
      </c>
      <c r="D17" s="756">
        <f>верх!J64+верх!J19</f>
        <v>2533730.48</v>
      </c>
      <c r="E17" s="757">
        <f t="shared" si="0"/>
        <v>-589107.17000000039</v>
      </c>
      <c r="F17" s="299"/>
      <c r="G17" s="2">
        <v>15</v>
      </c>
      <c r="H17" s="300" t="s">
        <v>42</v>
      </c>
      <c r="I17" s="303">
        <v>6392727.4800000004</v>
      </c>
      <c r="J17" s="302"/>
      <c r="K17" s="303">
        <f t="shared" si="1"/>
        <v>6392727.4800000004</v>
      </c>
      <c r="L17" s="297"/>
      <c r="O17" s="299"/>
    </row>
    <row r="18" spans="1:15" x14ac:dyDescent="0.25">
      <c r="A18" s="296">
        <v>16</v>
      </c>
      <c r="B18" s="297" t="s">
        <v>16</v>
      </c>
      <c r="C18" s="755">
        <v>7187698.04</v>
      </c>
      <c r="D18" s="756">
        <f>верх!J60+верх!J20+верх!J39</f>
        <v>5003587.68</v>
      </c>
      <c r="E18" s="757">
        <f t="shared" si="0"/>
        <v>-2184110.3600000003</v>
      </c>
      <c r="F18" s="299"/>
      <c r="G18" s="2">
        <v>16</v>
      </c>
      <c r="H18" s="300" t="s">
        <v>19</v>
      </c>
      <c r="I18" s="303">
        <v>6467412.8399999999</v>
      </c>
      <c r="J18" s="301">
        <f>-1*ТС1!O172</f>
        <v>-449804.32</v>
      </c>
      <c r="K18" s="303">
        <f t="shared" si="1"/>
        <v>6017608.5199999996</v>
      </c>
      <c r="L18" s="297" t="s">
        <v>734</v>
      </c>
      <c r="O18" s="299"/>
    </row>
    <row r="19" spans="1:15" ht="45" x14ac:dyDescent="0.25">
      <c r="A19" s="296">
        <v>17</v>
      </c>
      <c r="B19" s="297" t="s">
        <v>17</v>
      </c>
      <c r="C19" s="755">
        <v>94808943.879999995</v>
      </c>
      <c r="D19" s="756">
        <f>верх!J55+верх!J12-верх!M48</f>
        <v>236436367.31999999</v>
      </c>
      <c r="E19" s="757">
        <f t="shared" si="0"/>
        <v>141627423.44</v>
      </c>
      <c r="F19" s="299"/>
      <c r="G19" s="2">
        <v>17</v>
      </c>
      <c r="H19" s="300" t="s">
        <v>6</v>
      </c>
      <c r="I19" s="303">
        <v>23327935.399999999</v>
      </c>
      <c r="J19" s="301">
        <f>-1*ГП1!O50</f>
        <v>-2187983.7800000003</v>
      </c>
      <c r="K19" s="303">
        <f t="shared" si="1"/>
        <v>21139951.619999997</v>
      </c>
      <c r="L19" s="838" t="s">
        <v>1254</v>
      </c>
      <c r="O19" s="299"/>
    </row>
    <row r="20" spans="1:15" x14ac:dyDescent="0.25">
      <c r="A20" s="296">
        <v>18</v>
      </c>
      <c r="B20" s="297" t="s">
        <v>18</v>
      </c>
      <c r="C20" s="755">
        <v>557534.86</v>
      </c>
      <c r="D20" s="756">
        <f>верх!J38</f>
        <v>556614.54</v>
      </c>
      <c r="E20" s="757">
        <f t="shared" si="0"/>
        <v>-920.31999999994878</v>
      </c>
      <c r="F20" s="299"/>
      <c r="G20" s="2">
        <v>18</v>
      </c>
      <c r="H20" s="300" t="s">
        <v>7</v>
      </c>
      <c r="I20" s="303">
        <v>69943671.159999996</v>
      </c>
      <c r="J20" s="301">
        <f>-1*'ГП2 '!O164</f>
        <v>-3036616.96</v>
      </c>
      <c r="K20" s="303">
        <f t="shared" si="1"/>
        <v>66907054.199999996</v>
      </c>
      <c r="L20" s="297" t="s">
        <v>1255</v>
      </c>
      <c r="O20" s="299"/>
    </row>
    <row r="21" spans="1:15" ht="30" x14ac:dyDescent="0.25">
      <c r="A21" s="296">
        <v>19</v>
      </c>
      <c r="B21" s="297" t="s">
        <v>19</v>
      </c>
      <c r="C21" s="755">
        <v>6467412.8399999999</v>
      </c>
      <c r="D21" s="756">
        <f>верх!J65+верх!J21</f>
        <v>4657994.58</v>
      </c>
      <c r="E21" s="757">
        <f t="shared" si="0"/>
        <v>-1809418.2599999998</v>
      </c>
      <c r="F21" s="299"/>
      <c r="G21" s="2">
        <v>19</v>
      </c>
      <c r="H21" s="300" t="s">
        <v>2</v>
      </c>
      <c r="I21" s="303">
        <v>8548320.6400000006</v>
      </c>
      <c r="J21" s="301">
        <f>-1*АС4!O61</f>
        <v>-1856160.4494999999</v>
      </c>
      <c r="K21" s="303">
        <f t="shared" si="1"/>
        <v>6692160.1905000005</v>
      </c>
      <c r="L21" s="838" t="s">
        <v>1237</v>
      </c>
      <c r="O21" s="299"/>
    </row>
    <row r="22" spans="1:15" x14ac:dyDescent="0.25">
      <c r="A22" s="296">
        <v>20</v>
      </c>
      <c r="B22" s="297" t="s">
        <v>20</v>
      </c>
      <c r="C22" s="755">
        <v>3434769.77</v>
      </c>
      <c r="D22" s="756">
        <f>верх!J23</f>
        <v>2470252.58</v>
      </c>
      <c r="E22" s="757">
        <f t="shared" si="0"/>
        <v>-964517.19</v>
      </c>
      <c r="F22" s="299"/>
      <c r="G22" s="2">
        <v>20</v>
      </c>
      <c r="H22" s="300" t="s">
        <v>15</v>
      </c>
      <c r="I22" s="303">
        <v>3122837.65</v>
      </c>
      <c r="J22" s="302"/>
      <c r="K22" s="303">
        <f t="shared" si="1"/>
        <v>3122837.65</v>
      </c>
      <c r="L22" s="297"/>
      <c r="O22" s="299"/>
    </row>
    <row r="23" spans="1:15" x14ac:dyDescent="0.25">
      <c r="A23" s="296">
        <v>21</v>
      </c>
      <c r="B23" s="297" t="s">
        <v>21</v>
      </c>
      <c r="C23" s="755">
        <v>5344436.47</v>
      </c>
      <c r="D23" s="756">
        <f>верх!J24</f>
        <v>4701704.12</v>
      </c>
      <c r="E23" s="757">
        <f t="shared" si="0"/>
        <v>-642732.34999999963</v>
      </c>
      <c r="F23" s="299"/>
      <c r="G23" s="2">
        <v>21</v>
      </c>
      <c r="H23" s="300" t="s">
        <v>43</v>
      </c>
      <c r="I23" s="303">
        <v>1894010.89</v>
      </c>
      <c r="J23" s="302"/>
      <c r="K23" s="303">
        <f t="shared" si="1"/>
        <v>1894010.89</v>
      </c>
      <c r="L23" s="297"/>
      <c r="O23" s="299"/>
    </row>
    <row r="24" spans="1:15" x14ac:dyDescent="0.25">
      <c r="A24" s="296">
        <v>22</v>
      </c>
      <c r="B24" s="297" t="s">
        <v>22</v>
      </c>
      <c r="C24" s="755">
        <v>148688.69</v>
      </c>
      <c r="D24" s="756">
        <f>верх!J30</f>
        <v>208912.6</v>
      </c>
      <c r="E24" s="757">
        <f t="shared" si="0"/>
        <v>60223.91</v>
      </c>
      <c r="F24" s="299"/>
      <c r="G24" s="2">
        <v>22</v>
      </c>
      <c r="H24" s="300" t="s">
        <v>44</v>
      </c>
      <c r="I24" s="303">
        <v>771191.87</v>
      </c>
      <c r="J24" s="302"/>
      <c r="K24" s="303">
        <f t="shared" si="1"/>
        <v>771191.87</v>
      </c>
      <c r="L24" s="297"/>
      <c r="O24" s="299"/>
    </row>
    <row r="25" spans="1:15" x14ac:dyDescent="0.25">
      <c r="A25" s="296">
        <v>23</v>
      </c>
      <c r="B25" s="297" t="s">
        <v>23</v>
      </c>
      <c r="C25" s="755">
        <v>2140860.2799999998</v>
      </c>
      <c r="D25" s="756">
        <f>верх!J37</f>
        <v>2040575.68</v>
      </c>
      <c r="E25" s="757">
        <f t="shared" si="0"/>
        <v>-100284.59999999986</v>
      </c>
      <c r="F25" s="299"/>
      <c r="G25" s="2">
        <v>23</v>
      </c>
      <c r="H25" s="300" t="s">
        <v>45</v>
      </c>
      <c r="I25" s="303">
        <v>109388.95</v>
      </c>
      <c r="J25" s="301">
        <f>I25*-1</f>
        <v>-109388.95</v>
      </c>
      <c r="K25" s="303">
        <f t="shared" si="1"/>
        <v>0</v>
      </c>
      <c r="L25" s="297" t="s">
        <v>124</v>
      </c>
      <c r="O25" s="299"/>
    </row>
    <row r="26" spans="1:15" x14ac:dyDescent="0.25">
      <c r="A26" s="296">
        <v>24</v>
      </c>
      <c r="B26" s="297" t="s">
        <v>24</v>
      </c>
      <c r="C26" s="755">
        <v>912139.03</v>
      </c>
      <c r="D26" s="756">
        <f>верх!J15+верх!J28</f>
        <v>425113.38</v>
      </c>
      <c r="E26" s="757">
        <f t="shared" si="0"/>
        <v>-487025.65</v>
      </c>
      <c r="F26" s="299"/>
      <c r="G26" s="2">
        <v>24</v>
      </c>
      <c r="H26" s="300" t="s">
        <v>46</v>
      </c>
      <c r="I26" s="303">
        <v>1513846.08</v>
      </c>
      <c r="J26" s="301">
        <f t="shared" ref="J26:J27" si="2">I26*-1</f>
        <v>-1513846.08</v>
      </c>
      <c r="K26" s="303">
        <f t="shared" si="1"/>
        <v>0</v>
      </c>
      <c r="L26" s="297" t="s">
        <v>125</v>
      </c>
      <c r="O26" s="299"/>
    </row>
    <row r="27" spans="1:15" x14ac:dyDescent="0.25">
      <c r="A27" s="296">
        <v>25</v>
      </c>
      <c r="B27" s="297" t="s">
        <v>25</v>
      </c>
      <c r="C27" s="755">
        <v>6392727.4799999995</v>
      </c>
      <c r="D27" s="756">
        <f>верх!J16+верх!J29</f>
        <v>4769341.42</v>
      </c>
      <c r="E27" s="757">
        <f t="shared" si="0"/>
        <v>-1623386.0599999996</v>
      </c>
      <c r="F27" s="299"/>
      <c r="G27" s="2">
        <v>25</v>
      </c>
      <c r="H27" s="300" t="s">
        <v>47</v>
      </c>
      <c r="I27" s="303">
        <v>205626.28</v>
      </c>
      <c r="J27" s="301">
        <f t="shared" si="2"/>
        <v>-205626.28</v>
      </c>
      <c r="K27" s="303">
        <f t="shared" si="1"/>
        <v>0</v>
      </c>
      <c r="L27" s="297" t="s">
        <v>125</v>
      </c>
      <c r="O27" s="299"/>
    </row>
    <row r="28" spans="1:15" x14ac:dyDescent="0.25">
      <c r="A28" s="304"/>
      <c r="B28" s="305" t="s">
        <v>50</v>
      </c>
      <c r="C28" s="758">
        <f>SUM(C3:C27)</f>
        <v>287187492.53999996</v>
      </c>
      <c r="D28" s="758">
        <f>SUM(D3:D27)</f>
        <v>425836389.16000003</v>
      </c>
      <c r="E28" s="758">
        <f>SUM(E3:E27)</f>
        <v>138648896.62000003</v>
      </c>
      <c r="F28" s="299"/>
      <c r="G28" s="2">
        <v>26</v>
      </c>
      <c r="H28" s="300" t="s">
        <v>48</v>
      </c>
      <c r="I28" s="303">
        <v>148688.69</v>
      </c>
      <c r="J28" s="302"/>
      <c r="K28" s="303">
        <f t="shared" si="1"/>
        <v>148688.69</v>
      </c>
      <c r="L28" s="297"/>
      <c r="O28" s="299"/>
    </row>
    <row r="29" spans="1:15" x14ac:dyDescent="0.25">
      <c r="A29" s="307"/>
      <c r="B29" s="307"/>
      <c r="C29" s="308"/>
      <c r="D29" s="299"/>
      <c r="E29" s="299"/>
      <c r="F29" s="299"/>
      <c r="G29" s="2">
        <v>27</v>
      </c>
      <c r="H29" s="309" t="s">
        <v>11</v>
      </c>
      <c r="I29" s="303">
        <v>554638.52</v>
      </c>
      <c r="J29" s="302"/>
      <c r="K29" s="303">
        <f t="shared" si="1"/>
        <v>554638.52</v>
      </c>
      <c r="L29" s="300"/>
      <c r="O29" s="299"/>
    </row>
    <row r="30" spans="1:15" x14ac:dyDescent="0.25">
      <c r="A30" s="307"/>
      <c r="B30" s="307"/>
      <c r="C30" s="308"/>
      <c r="D30" s="299"/>
      <c r="E30" s="299"/>
      <c r="F30" s="299"/>
      <c r="G30" s="2">
        <v>28</v>
      </c>
      <c r="H30" s="300" t="s">
        <v>18</v>
      </c>
      <c r="I30" s="303">
        <v>557534.86</v>
      </c>
      <c r="J30" s="302"/>
      <c r="K30" s="303">
        <f t="shared" si="1"/>
        <v>557534.86</v>
      </c>
      <c r="L30" s="300"/>
      <c r="O30" s="299"/>
    </row>
    <row r="31" spans="1:15" x14ac:dyDescent="0.25">
      <c r="G31" s="337"/>
      <c r="H31" s="337"/>
      <c r="I31" s="462"/>
      <c r="J31" s="338"/>
      <c r="K31" s="462"/>
      <c r="L31" s="300"/>
      <c r="O31" s="299"/>
    </row>
    <row r="32" spans="1:15" x14ac:dyDescent="0.25">
      <c r="D32" s="299"/>
      <c r="G32" s="337"/>
      <c r="H32" s="337" t="s">
        <v>560</v>
      </c>
      <c r="I32" s="462"/>
      <c r="J32" s="344">
        <f>'Резка+погр'!D30</f>
        <v>-5712115.5</v>
      </c>
      <c r="K32" s="754">
        <f>J32</f>
        <v>-5712115.5</v>
      </c>
      <c r="L32" s="300" t="s">
        <v>561</v>
      </c>
      <c r="O32" s="299"/>
    </row>
    <row r="33" spans="4:16" x14ac:dyDescent="0.25">
      <c r="D33" s="299"/>
      <c r="G33" s="337"/>
      <c r="H33" s="846" t="s">
        <v>1265</v>
      </c>
      <c r="I33" s="462"/>
      <c r="J33" s="344">
        <f>'Резка+погр'!D31</f>
        <v>0</v>
      </c>
      <c r="K33" s="754">
        <f>J33</f>
        <v>0</v>
      </c>
      <c r="L33" s="300"/>
      <c r="O33" s="299"/>
    </row>
    <row r="34" spans="4:16" x14ac:dyDescent="0.25">
      <c r="G34" s="337"/>
      <c r="H34" s="852" t="s">
        <v>1268</v>
      </c>
      <c r="I34" s="462"/>
      <c r="J34" s="853">
        <f>-1000000*16</f>
        <v>-16000000</v>
      </c>
      <c r="K34" s="754">
        <f>J34</f>
        <v>-16000000</v>
      </c>
      <c r="L34" s="300" t="s">
        <v>1269</v>
      </c>
      <c r="O34" s="299"/>
    </row>
    <row r="35" spans="4:16" x14ac:dyDescent="0.25">
      <c r="G35" s="304"/>
      <c r="H35" s="305" t="s">
        <v>566</v>
      </c>
      <c r="I35" s="310">
        <f>SUM(I3:I34)</f>
        <v>289016353.8499999</v>
      </c>
      <c r="J35" s="310">
        <f>SUM(J3:J34)</f>
        <v>-68203234.157799989</v>
      </c>
      <c r="K35" s="310">
        <f>SUM(K3:K34)</f>
        <v>220813119.69220001</v>
      </c>
      <c r="L35" s="300"/>
      <c r="O35" s="299"/>
    </row>
    <row r="36" spans="4:16" x14ac:dyDescent="0.25">
      <c r="D36" s="299"/>
      <c r="I36" s="311"/>
      <c r="J36" s="311"/>
      <c r="K36" s="311"/>
      <c r="L36" s="753"/>
    </row>
    <row r="37" spans="4:16" x14ac:dyDescent="0.25">
      <c r="H37" s="339" t="s">
        <v>567</v>
      </c>
      <c r="I37" s="340"/>
      <c r="J37" s="340"/>
      <c r="K37" s="340">
        <f>J35</f>
        <v>-68203234.157799989</v>
      </c>
      <c r="L37" s="753"/>
    </row>
    <row r="38" spans="4:16" x14ac:dyDescent="0.25">
      <c r="H38" s="341" t="s">
        <v>52</v>
      </c>
      <c r="I38" s="342"/>
      <c r="J38" s="342"/>
      <c r="K38" s="342">
        <v>218000000</v>
      </c>
      <c r="L38" s="753"/>
    </row>
    <row r="39" spans="4:16" x14ac:dyDescent="0.25">
      <c r="H39" s="341" t="s">
        <v>53</v>
      </c>
      <c r="I39" s="343"/>
      <c r="J39" s="343"/>
      <c r="K39" s="343">
        <f>K38-K35</f>
        <v>-2813119.6922000051</v>
      </c>
    </row>
    <row r="40" spans="4:16" x14ac:dyDescent="0.25">
      <c r="D40" s="299"/>
      <c r="I40" s="311"/>
      <c r="J40" s="311"/>
      <c r="K40" s="311"/>
    </row>
    <row r="41" spans="4:16" x14ac:dyDescent="0.25">
      <c r="D41" s="299"/>
      <c r="J41" s="311"/>
      <c r="K41" s="311"/>
    </row>
    <row r="42" spans="4:16" x14ac:dyDescent="0.25">
      <c r="J42" s="311"/>
      <c r="K42" s="311"/>
      <c r="M42" s="850"/>
      <c r="N42" s="850"/>
      <c r="O42" s="850"/>
      <c r="P42" s="850"/>
    </row>
    <row r="43" spans="4:16" x14ac:dyDescent="0.25">
      <c r="J43" s="311"/>
      <c r="K43" s="311"/>
      <c r="M43" s="851">
        <v>45423</v>
      </c>
      <c r="N43" s="850"/>
      <c r="O43" s="850">
        <f>M44-M43</f>
        <v>117</v>
      </c>
      <c r="P43" s="850"/>
    </row>
    <row r="44" spans="4:16" x14ac:dyDescent="0.25">
      <c r="J44" s="311"/>
      <c r="K44" s="311"/>
      <c r="M44" s="851">
        <v>45540</v>
      </c>
      <c r="N44" s="850"/>
      <c r="O44" s="850">
        <f>O43/7</f>
        <v>16.714285714285715</v>
      </c>
      <c r="P44" s="850"/>
    </row>
    <row r="45" spans="4:16" x14ac:dyDescent="0.25">
      <c r="J45" s="311"/>
      <c r="K45" s="311"/>
      <c r="M45" s="851"/>
      <c r="N45" s="850"/>
      <c r="O45" s="850"/>
      <c r="P45" s="850"/>
    </row>
    <row r="46" spans="4:16" x14ac:dyDescent="0.25">
      <c r="J46" s="311"/>
      <c r="K46" s="311"/>
      <c r="M46" s="851"/>
      <c r="N46" s="850"/>
      <c r="O46" s="850"/>
      <c r="P46" s="850"/>
    </row>
    <row r="47" spans="4:16" x14ac:dyDescent="0.25">
      <c r="J47" s="311"/>
      <c r="K47" s="311"/>
      <c r="M47" s="851"/>
      <c r="N47" s="850"/>
      <c r="O47" s="850"/>
      <c r="P47" s="850"/>
    </row>
    <row r="48" spans="4:16" x14ac:dyDescent="0.25">
      <c r="J48" s="311"/>
      <c r="K48" s="311"/>
      <c r="M48" s="849"/>
    </row>
    <row r="49" spans="10:13" x14ac:dyDescent="0.25">
      <c r="J49" s="311"/>
      <c r="K49" s="311"/>
      <c r="M49" s="849"/>
    </row>
    <row r="50" spans="10:13" x14ac:dyDescent="0.25">
      <c r="M50" s="849"/>
    </row>
    <row r="51" spans="10:13" x14ac:dyDescent="0.25">
      <c r="K51" s="311"/>
      <c r="M51" s="849"/>
    </row>
  </sheetData>
  <conditionalFormatting sqref="E3:E28">
    <cfRule type="cellIs" dxfId="1" priority="1" operator="less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6C01-73C4-421E-A789-DA3EB37CEB34}">
  <sheetPr>
    <tabColor rgb="FFFFFF00"/>
  </sheetPr>
  <dimension ref="A1:O64"/>
  <sheetViews>
    <sheetView view="pageBreakPreview" topLeftCell="A40" zoomScale="85" zoomScaleNormal="100" zoomScaleSheetLayoutView="85" workbookViewId="0">
      <selection activeCell="D43" sqref="D43"/>
    </sheetView>
  </sheetViews>
  <sheetFormatPr defaultColWidth="8.85546875" defaultRowHeight="15" x14ac:dyDescent="0.25"/>
  <cols>
    <col min="1" max="1" width="8.85546875" style="352"/>
    <col min="2" max="2" width="65.140625" style="352" customWidth="1"/>
    <col min="3" max="3" width="9.28515625" style="352" customWidth="1"/>
    <col min="4" max="4" width="11" style="352" bestFit="1" customWidth="1"/>
    <col min="5" max="5" width="15.140625" style="352" customWidth="1"/>
    <col min="6" max="6" width="16" style="352" customWidth="1"/>
    <col min="7" max="7" width="17.140625" style="417" customWidth="1"/>
    <col min="8" max="8" width="16.140625" style="417" customWidth="1"/>
    <col min="9" max="12" width="16.140625" style="352" customWidth="1"/>
    <col min="13" max="13" width="41.7109375" style="352" customWidth="1"/>
    <col min="14" max="14" width="32" style="394" customWidth="1"/>
    <col min="15" max="15" width="23" style="352" customWidth="1"/>
    <col min="16" max="35" width="8.85546875" style="352"/>
    <col min="36" max="36" width="58" style="352" customWidth="1"/>
    <col min="37" max="16384" width="8.85546875" style="352"/>
  </cols>
  <sheetData>
    <row r="1" spans="1:15" ht="14.45" customHeight="1" x14ac:dyDescent="0.25">
      <c r="A1" s="865" t="s">
        <v>26</v>
      </c>
      <c r="B1" s="868" t="s">
        <v>57</v>
      </c>
      <c r="C1" s="871" t="s">
        <v>58</v>
      </c>
      <c r="D1" s="871" t="s">
        <v>59</v>
      </c>
      <c r="E1" s="872" t="s">
        <v>60</v>
      </c>
      <c r="F1" s="873"/>
      <c r="G1" s="873"/>
      <c r="H1" s="873"/>
      <c r="I1" s="873"/>
      <c r="J1" s="873"/>
      <c r="K1" s="873"/>
      <c r="L1" s="873"/>
    </row>
    <row r="2" spans="1:15" ht="14.45" customHeight="1" x14ac:dyDescent="0.25">
      <c r="A2" s="866"/>
      <c r="B2" s="869"/>
      <c r="C2" s="871"/>
      <c r="D2" s="871"/>
      <c r="E2" s="874"/>
      <c r="F2" s="875"/>
      <c r="G2" s="875"/>
      <c r="H2" s="875"/>
      <c r="I2" s="875"/>
      <c r="J2" s="875"/>
      <c r="K2" s="875"/>
      <c r="L2" s="875"/>
    </row>
    <row r="3" spans="1:15" ht="27.75" customHeight="1" x14ac:dyDescent="0.25">
      <c r="A3" s="866"/>
      <c r="B3" s="869"/>
      <c r="C3" s="871"/>
      <c r="D3" s="871"/>
      <c r="E3" s="871" t="s">
        <v>61</v>
      </c>
      <c r="F3" s="871"/>
      <c r="G3" s="871"/>
      <c r="H3" s="871" t="s">
        <v>62</v>
      </c>
      <c r="I3" s="871"/>
      <c r="J3" s="871"/>
      <c r="K3" s="876" t="s">
        <v>63</v>
      </c>
      <c r="L3" s="876"/>
    </row>
    <row r="4" spans="1:15" ht="56.1" customHeight="1" x14ac:dyDescent="0.25">
      <c r="A4" s="867"/>
      <c r="B4" s="870"/>
      <c r="C4" s="871"/>
      <c r="D4" s="871"/>
      <c r="E4" s="353" t="s">
        <v>64</v>
      </c>
      <c r="F4" s="353" t="s">
        <v>65</v>
      </c>
      <c r="G4" s="354" t="s">
        <v>66</v>
      </c>
      <c r="H4" s="353" t="s">
        <v>64</v>
      </c>
      <c r="I4" s="353" t="s">
        <v>65</v>
      </c>
      <c r="J4" s="354" t="s">
        <v>66</v>
      </c>
      <c r="K4" s="353" t="s">
        <v>67</v>
      </c>
      <c r="L4" s="353" t="s">
        <v>68</v>
      </c>
    </row>
    <row r="5" spans="1: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52"/>
    </row>
    <row r="6" spans="1:15" ht="20.25" customHeight="1" x14ac:dyDescent="0.25">
      <c r="A6" s="355"/>
      <c r="B6" s="860" t="s">
        <v>1072</v>
      </c>
      <c r="C6" s="861"/>
      <c r="D6" s="861"/>
      <c r="E6" s="356"/>
      <c r="F6" s="357"/>
      <c r="G6" s="358"/>
      <c r="H6" s="358"/>
      <c r="I6" s="358"/>
      <c r="J6" s="358"/>
      <c r="K6" s="358"/>
      <c r="L6" s="358"/>
    </row>
    <row r="7" spans="1:15" s="401" customFormat="1" ht="24" customHeight="1" x14ac:dyDescent="0.25">
      <c r="A7" s="627"/>
      <c r="B7" s="628" t="s">
        <v>1073</v>
      </c>
      <c r="C7" s="629"/>
      <c r="D7" s="629"/>
      <c r="E7" s="630"/>
      <c r="F7" s="631"/>
      <c r="G7" s="631"/>
      <c r="H7" s="632"/>
      <c r="I7" s="631"/>
      <c r="J7" s="631"/>
      <c r="K7" s="630"/>
      <c r="L7" s="631"/>
      <c r="M7" s="394"/>
      <c r="N7" s="674"/>
    </row>
    <row r="8" spans="1:15" s="401" customFormat="1" ht="18" customHeight="1" x14ac:dyDescent="0.25">
      <c r="A8" s="380"/>
      <c r="B8" s="46" t="s">
        <v>285</v>
      </c>
      <c r="C8" s="380" t="s">
        <v>84</v>
      </c>
      <c r="D8" s="381">
        <v>13.3</v>
      </c>
      <c r="E8" s="383">
        <f>ROUND(65055.24/(297.03*0.05),2)</f>
        <v>4380.38</v>
      </c>
      <c r="F8" s="383">
        <f>ROUND(E8*39.42/1.05*1.19,2)</f>
        <v>195697.86</v>
      </c>
      <c r="G8" s="383">
        <f t="shared" ref="G8:G9" si="0">ROUND(F8*1.2,2)</f>
        <v>234837.43</v>
      </c>
      <c r="H8" s="384"/>
      <c r="I8" s="383"/>
      <c r="J8" s="383"/>
      <c r="K8" s="384">
        <f t="shared" ref="K8:L9" si="1">F8+I8</f>
        <v>195697.86</v>
      </c>
      <c r="L8" s="383">
        <f t="shared" si="1"/>
        <v>234837.43</v>
      </c>
      <c r="M8" s="400" t="s">
        <v>1074</v>
      </c>
      <c r="N8" s="674"/>
    </row>
    <row r="9" spans="1:15" s="401" customFormat="1" ht="20.25" customHeight="1" x14ac:dyDescent="0.25">
      <c r="A9" s="380"/>
      <c r="B9" s="46" t="s">
        <v>286</v>
      </c>
      <c r="C9" s="380" t="s">
        <v>84</v>
      </c>
      <c r="D9" s="381"/>
      <c r="E9" s="384">
        <v>304</v>
      </c>
      <c r="F9" s="383">
        <f t="shared" ref="F9" si="2">ROUND(E9*D9,2)</f>
        <v>0</v>
      </c>
      <c r="G9" s="383">
        <f t="shared" si="0"/>
        <v>0</v>
      </c>
      <c r="H9" s="383"/>
      <c r="I9" s="383"/>
      <c r="J9" s="383"/>
      <c r="K9" s="384">
        <f t="shared" si="1"/>
        <v>0</v>
      </c>
      <c r="L9" s="383">
        <f t="shared" si="1"/>
        <v>0</v>
      </c>
      <c r="M9" s="461"/>
      <c r="N9" s="674"/>
    </row>
    <row r="10" spans="1:15" s="401" customFormat="1" ht="20.25" customHeight="1" x14ac:dyDescent="0.25">
      <c r="A10" s="525"/>
      <c r="B10" s="633" t="s">
        <v>134</v>
      </c>
      <c r="C10" s="532"/>
      <c r="D10" s="634"/>
      <c r="E10" s="635"/>
      <c r="F10" s="635"/>
      <c r="G10" s="636"/>
      <c r="H10" s="637"/>
      <c r="I10" s="538"/>
      <c r="J10" s="538"/>
      <c r="K10" s="539"/>
      <c r="L10" s="538"/>
      <c r="M10" s="394"/>
      <c r="N10" s="674"/>
    </row>
    <row r="11" spans="1:15" s="401" customFormat="1" ht="21" customHeight="1" x14ac:dyDescent="0.25">
      <c r="A11" s="420"/>
      <c r="B11" s="46" t="s">
        <v>135</v>
      </c>
      <c r="C11" s="380" t="s">
        <v>1075</v>
      </c>
      <c r="D11" s="638">
        <f>15.217+3.804</f>
        <v>19.021000000000001</v>
      </c>
      <c r="E11" s="384">
        <v>431.37</v>
      </c>
      <c r="F11" s="829">
        <f>ROUND(E11*63.2,2)</f>
        <v>27262.58</v>
      </c>
      <c r="G11" s="383">
        <f t="shared" ref="G11" si="3">ROUND(F11*1.2,2)</f>
        <v>32715.1</v>
      </c>
      <c r="H11" s="503"/>
      <c r="I11" s="383"/>
      <c r="J11" s="383"/>
      <c r="K11" s="384">
        <f t="shared" ref="K11:L11" si="4">F11+I11</f>
        <v>27262.58</v>
      </c>
      <c r="L11" s="383">
        <f t="shared" si="4"/>
        <v>32715.1</v>
      </c>
      <c r="M11" s="828"/>
      <c r="N11" s="782"/>
      <c r="O11" s="827">
        <f>L11-D11*СВОД!$P$2*1.2</f>
        <v>25667.819499999998</v>
      </c>
    </row>
    <row r="12" spans="1:15" ht="22.5" customHeight="1" x14ac:dyDescent="0.25">
      <c r="A12" s="639"/>
      <c r="B12" s="640" t="s">
        <v>1076</v>
      </c>
      <c r="C12" s="639"/>
      <c r="D12" s="641"/>
      <c r="E12" s="642"/>
      <c r="F12" s="643"/>
      <c r="G12" s="643"/>
      <c r="H12" s="642"/>
      <c r="I12" s="643"/>
      <c r="J12" s="643"/>
      <c r="K12" s="644"/>
      <c r="L12" s="643"/>
      <c r="M12" s="394"/>
    </row>
    <row r="13" spans="1:15" ht="20.25" customHeight="1" x14ac:dyDescent="0.25">
      <c r="A13" s="380"/>
      <c r="B13" s="46" t="s">
        <v>83</v>
      </c>
      <c r="C13" s="380" t="s">
        <v>84</v>
      </c>
      <c r="D13" s="381">
        <v>52</v>
      </c>
      <c r="E13" s="384">
        <v>308.75</v>
      </c>
      <c r="F13" s="383">
        <f>ROUND(E13*D13,2)</f>
        <v>16055</v>
      </c>
      <c r="G13" s="383">
        <f>ROUND(F13*1.2,2)</f>
        <v>19266</v>
      </c>
      <c r="H13" s="503"/>
      <c r="I13" s="383"/>
      <c r="J13" s="383"/>
      <c r="K13" s="384">
        <f t="shared" ref="K13:L19" si="5">F13+I13</f>
        <v>16055</v>
      </c>
      <c r="L13" s="383">
        <f t="shared" si="5"/>
        <v>19266</v>
      </c>
    </row>
    <row r="14" spans="1:15" s="401" customFormat="1" ht="24" customHeight="1" x14ac:dyDescent="0.25">
      <c r="A14" s="520"/>
      <c r="B14" s="46" t="s">
        <v>138</v>
      </c>
      <c r="C14" s="380" t="s">
        <v>84</v>
      </c>
      <c r="D14" s="381">
        <v>2.7</v>
      </c>
      <c r="E14" s="384">
        <v>1688.15</v>
      </c>
      <c r="F14" s="383">
        <f t="shared" ref="F14" si="6">ROUND(E14*D14,2)</f>
        <v>4558.01</v>
      </c>
      <c r="G14" s="383">
        <f t="shared" ref="G14" si="7">ROUND(F14*1.2,2)</f>
        <v>5469.61</v>
      </c>
      <c r="H14" s="503"/>
      <c r="I14" s="383"/>
      <c r="J14" s="383"/>
      <c r="K14" s="384">
        <f t="shared" si="5"/>
        <v>4558.01</v>
      </c>
      <c r="L14" s="383">
        <f t="shared" si="5"/>
        <v>5469.61</v>
      </c>
      <c r="M14" s="352"/>
      <c r="N14" s="674"/>
    </row>
    <row r="15" spans="1:15" s="395" customFormat="1" ht="21.75" customHeight="1" x14ac:dyDescent="0.25">
      <c r="A15" s="369"/>
      <c r="B15" s="46" t="s">
        <v>87</v>
      </c>
      <c r="C15" s="380" t="s">
        <v>84</v>
      </c>
      <c r="D15" s="381">
        <v>38</v>
      </c>
      <c r="E15" s="384">
        <v>308.75</v>
      </c>
      <c r="F15" s="383">
        <f>ROUND(E15*D15,2)</f>
        <v>11732.5</v>
      </c>
      <c r="G15" s="383">
        <f>ROUND(F15*1.2,2)</f>
        <v>14079</v>
      </c>
      <c r="H15" s="503"/>
      <c r="I15" s="383"/>
      <c r="J15" s="383"/>
      <c r="K15" s="384">
        <f t="shared" si="5"/>
        <v>11732.5</v>
      </c>
      <c r="L15" s="383">
        <f t="shared" si="5"/>
        <v>14079</v>
      </c>
      <c r="M15" s="395">
        <v>61958.400000000001</v>
      </c>
      <c r="N15" s="443"/>
    </row>
    <row r="16" spans="1:15" s="395" customFormat="1" ht="21.75" customHeight="1" x14ac:dyDescent="0.25">
      <c r="A16" s="369"/>
      <c r="B16" s="46" t="s">
        <v>86</v>
      </c>
      <c r="C16" s="380" t="s">
        <v>84</v>
      </c>
      <c r="D16" s="381">
        <v>9.6</v>
      </c>
      <c r="E16" s="384">
        <v>854.05</v>
      </c>
      <c r="F16" s="383">
        <f>ROUND(E16*D16,2)</f>
        <v>8198.8799999999992</v>
      </c>
      <c r="G16" s="383">
        <f>ROUND(F16*1.2,2)</f>
        <v>9838.66</v>
      </c>
      <c r="H16" s="503"/>
      <c r="I16" s="383"/>
      <c r="J16" s="383"/>
      <c r="K16" s="384">
        <f t="shared" si="5"/>
        <v>8198.8799999999992</v>
      </c>
      <c r="L16" s="383">
        <f t="shared" si="5"/>
        <v>9838.66</v>
      </c>
      <c r="N16" s="443"/>
    </row>
    <row r="17" spans="1:14" s="401" customFormat="1" ht="18" customHeight="1" x14ac:dyDescent="0.25">
      <c r="A17" s="380"/>
      <c r="B17" s="46" t="s">
        <v>89</v>
      </c>
      <c r="C17" s="380" t="s">
        <v>80</v>
      </c>
      <c r="D17" s="638">
        <f>87.28+60.24</f>
        <v>147.52000000000001</v>
      </c>
      <c r="E17" s="384">
        <v>308.75</v>
      </c>
      <c r="F17" s="383">
        <f>ROUND(E17*63.2,2)</f>
        <v>19513</v>
      </c>
      <c r="G17" s="383">
        <f t="shared" ref="G17:G19" si="8">ROUND(F17*1.2,2)</f>
        <v>23415.599999999999</v>
      </c>
      <c r="H17" s="503"/>
      <c r="I17" s="383"/>
      <c r="J17" s="383"/>
      <c r="K17" s="384">
        <f t="shared" si="5"/>
        <v>19513</v>
      </c>
      <c r="L17" s="383">
        <f t="shared" si="5"/>
        <v>23415.599999999999</v>
      </c>
      <c r="M17" s="461"/>
      <c r="N17" s="674"/>
    </row>
    <row r="18" spans="1:14" s="438" customFormat="1" ht="18" customHeight="1" x14ac:dyDescent="0.25">
      <c r="A18" s="420"/>
      <c r="B18" s="419" t="s">
        <v>607</v>
      </c>
      <c r="C18" s="420" t="s">
        <v>80</v>
      </c>
      <c r="D18" s="421">
        <f>87.28+60.24</f>
        <v>147.52000000000001</v>
      </c>
      <c r="E18" s="422">
        <v>350</v>
      </c>
      <c r="F18" s="423">
        <f t="shared" ref="F18" si="9">ROUND(E18*D18,2)</f>
        <v>51632</v>
      </c>
      <c r="G18" s="423">
        <f t="shared" si="8"/>
        <v>61958.400000000001</v>
      </c>
      <c r="H18" s="422"/>
      <c r="I18" s="423"/>
      <c r="J18" s="423"/>
      <c r="K18" s="424">
        <f t="shared" si="5"/>
        <v>51632</v>
      </c>
      <c r="L18" s="433">
        <f t="shared" si="5"/>
        <v>61958.400000000001</v>
      </c>
      <c r="M18" s="485" t="s">
        <v>1112</v>
      </c>
      <c r="N18" s="675"/>
    </row>
    <row r="19" spans="1:14" s="401" customFormat="1" ht="18" customHeight="1" x14ac:dyDescent="0.25">
      <c r="A19" s="380"/>
      <c r="B19" s="46" t="s">
        <v>89</v>
      </c>
      <c r="C19" s="380" t="s">
        <v>80</v>
      </c>
      <c r="D19" s="638">
        <f>22.85*1.9</f>
        <v>43.414999999999999</v>
      </c>
      <c r="E19" s="384">
        <v>308.75</v>
      </c>
      <c r="F19" s="383">
        <f>ROUND(E19*63.2,2)</f>
        <v>19513</v>
      </c>
      <c r="G19" s="383">
        <f t="shared" si="8"/>
        <v>23415.599999999999</v>
      </c>
      <c r="H19" s="503"/>
      <c r="I19" s="383"/>
      <c r="J19" s="383"/>
      <c r="K19" s="384">
        <f t="shared" si="5"/>
        <v>19513</v>
      </c>
      <c r="L19" s="383">
        <f t="shared" si="5"/>
        <v>23415.599999999999</v>
      </c>
      <c r="M19" s="461"/>
      <c r="N19" s="674"/>
    </row>
    <row r="20" spans="1:14" ht="20.25" customHeight="1" x14ac:dyDescent="0.25">
      <c r="A20" s="645"/>
      <c r="B20" s="640" t="s">
        <v>1077</v>
      </c>
      <c r="C20" s="639"/>
      <c r="D20" s="641"/>
      <c r="E20" s="642"/>
      <c r="F20" s="643"/>
      <c r="G20" s="643"/>
      <c r="H20" s="644"/>
      <c r="I20" s="643"/>
      <c r="J20" s="643"/>
      <c r="K20" s="644"/>
      <c r="L20" s="643"/>
      <c r="M20" s="394"/>
    </row>
    <row r="21" spans="1:14" ht="18" customHeight="1" x14ac:dyDescent="0.25">
      <c r="A21" s="380"/>
      <c r="B21" s="505" t="s">
        <v>858</v>
      </c>
      <c r="C21" s="380" t="s">
        <v>84</v>
      </c>
      <c r="D21" s="381">
        <v>2.8</v>
      </c>
      <c r="E21" s="384">
        <v>2637.2</v>
      </c>
      <c r="F21" s="383">
        <v>27480.959999999999</v>
      </c>
      <c r="G21" s="383">
        <v>32977.15</v>
      </c>
      <c r="H21" s="382"/>
      <c r="I21" s="383"/>
      <c r="J21" s="383"/>
      <c r="K21" s="384">
        <v>27480.959999999999</v>
      </c>
      <c r="L21" s="383">
        <v>32977.15</v>
      </c>
      <c r="M21" s="394"/>
    </row>
    <row r="22" spans="1:14" ht="18" customHeight="1" x14ac:dyDescent="0.25">
      <c r="A22" s="525"/>
      <c r="B22" s="58" t="s">
        <v>859</v>
      </c>
      <c r="C22" s="385" t="s">
        <v>84</v>
      </c>
      <c r="D22" s="646">
        <v>2.8250000000000002</v>
      </c>
      <c r="E22" s="387"/>
      <c r="F22" s="388"/>
      <c r="G22" s="388"/>
      <c r="H22" s="389">
        <v>4370</v>
      </c>
      <c r="I22" s="388">
        <f>ROUND(H22*D22,2)</f>
        <v>12345.25</v>
      </c>
      <c r="J22" s="388">
        <f>ROUND(I22*1.2,2)</f>
        <v>14814.3</v>
      </c>
      <c r="K22" s="389">
        <f t="shared" ref="K22:L34" si="10">F22+I22</f>
        <v>12345.25</v>
      </c>
      <c r="L22" s="388">
        <f t="shared" si="10"/>
        <v>14814.3</v>
      </c>
      <c r="M22" s="394"/>
    </row>
    <row r="23" spans="1:14" ht="21" customHeight="1" x14ac:dyDescent="0.25">
      <c r="A23" s="380"/>
      <c r="B23" s="46" t="s">
        <v>1078</v>
      </c>
      <c r="C23" s="380" t="s">
        <v>84</v>
      </c>
      <c r="D23" s="381">
        <v>13.9</v>
      </c>
      <c r="E23" s="384">
        <v>8275.4499999999989</v>
      </c>
      <c r="F23" s="383">
        <f>ROUND(E23*D23,2)</f>
        <v>115028.76</v>
      </c>
      <c r="G23" s="383">
        <f t="shared" ref="G23" si="11">ROUND(F23*1.2,2)</f>
        <v>138034.51</v>
      </c>
      <c r="H23" s="384"/>
      <c r="I23" s="383"/>
      <c r="J23" s="383"/>
      <c r="K23" s="384">
        <f t="shared" si="10"/>
        <v>115028.76</v>
      </c>
      <c r="L23" s="383">
        <f t="shared" si="10"/>
        <v>138034.51</v>
      </c>
      <c r="M23" s="394"/>
    </row>
    <row r="24" spans="1:14" ht="20.25" customHeight="1" x14ac:dyDescent="0.25">
      <c r="A24" s="525"/>
      <c r="B24" s="507" t="s">
        <v>1079</v>
      </c>
      <c r="C24" s="385" t="s">
        <v>84</v>
      </c>
      <c r="D24" s="386">
        <f>0.169+17.278</f>
        <v>17.446999999999999</v>
      </c>
      <c r="E24" s="387"/>
      <c r="F24" s="388"/>
      <c r="G24" s="388"/>
      <c r="H24" s="389">
        <v>4655</v>
      </c>
      <c r="I24" s="388">
        <f t="shared" ref="I24:I29" si="12">ROUND(H24*D24,2)</f>
        <v>81215.789999999994</v>
      </c>
      <c r="J24" s="388">
        <f t="shared" ref="J24:J29" si="13">ROUND(I24*1.2,2)</f>
        <v>97458.95</v>
      </c>
      <c r="K24" s="389">
        <f t="shared" si="10"/>
        <v>81215.789999999994</v>
      </c>
      <c r="L24" s="388">
        <f t="shared" si="10"/>
        <v>97458.95</v>
      </c>
      <c r="M24" s="394"/>
    </row>
    <row r="25" spans="1:14" ht="20.25" customHeight="1" x14ac:dyDescent="0.25">
      <c r="A25" s="525"/>
      <c r="B25" s="507" t="s">
        <v>1080</v>
      </c>
      <c r="C25" s="385" t="s">
        <v>171</v>
      </c>
      <c r="D25" s="386">
        <v>171</v>
      </c>
      <c r="E25" s="387"/>
      <c r="F25" s="388"/>
      <c r="G25" s="388"/>
      <c r="H25" s="389">
        <v>80.75</v>
      </c>
      <c r="I25" s="388">
        <f t="shared" si="12"/>
        <v>13808.25</v>
      </c>
      <c r="J25" s="388">
        <f t="shared" si="13"/>
        <v>16569.900000000001</v>
      </c>
      <c r="K25" s="389">
        <f t="shared" si="10"/>
        <v>13808.25</v>
      </c>
      <c r="L25" s="388">
        <f t="shared" si="10"/>
        <v>16569.900000000001</v>
      </c>
      <c r="M25" s="394"/>
    </row>
    <row r="26" spans="1:14" ht="20.25" customHeight="1" x14ac:dyDescent="0.25">
      <c r="A26" s="525"/>
      <c r="B26" s="507" t="s">
        <v>1081</v>
      </c>
      <c r="C26" s="385" t="s">
        <v>171</v>
      </c>
      <c r="D26" s="386">
        <v>442</v>
      </c>
      <c r="E26" s="387"/>
      <c r="F26" s="388"/>
      <c r="G26" s="388"/>
      <c r="H26" s="389">
        <v>80.75</v>
      </c>
      <c r="I26" s="388">
        <f t="shared" si="12"/>
        <v>35691.5</v>
      </c>
      <c r="J26" s="388">
        <f t="shared" si="13"/>
        <v>42829.8</v>
      </c>
      <c r="K26" s="389">
        <f t="shared" si="10"/>
        <v>35691.5</v>
      </c>
      <c r="L26" s="388">
        <f t="shared" si="10"/>
        <v>42829.8</v>
      </c>
      <c r="M26" s="394"/>
    </row>
    <row r="27" spans="1:14" ht="20.25" customHeight="1" x14ac:dyDescent="0.25">
      <c r="A27" s="525"/>
      <c r="B27" s="507" t="s">
        <v>1082</v>
      </c>
      <c r="C27" s="385" t="s">
        <v>171</v>
      </c>
      <c r="D27" s="386">
        <v>167</v>
      </c>
      <c r="E27" s="387"/>
      <c r="F27" s="388"/>
      <c r="G27" s="388"/>
      <c r="H27" s="389">
        <v>80.75</v>
      </c>
      <c r="I27" s="388">
        <f t="shared" si="12"/>
        <v>13485.25</v>
      </c>
      <c r="J27" s="388">
        <f t="shared" si="13"/>
        <v>16182.3</v>
      </c>
      <c r="K27" s="389">
        <f t="shared" si="10"/>
        <v>13485.25</v>
      </c>
      <c r="L27" s="388">
        <f t="shared" si="10"/>
        <v>16182.3</v>
      </c>
      <c r="M27" s="394"/>
    </row>
    <row r="28" spans="1:14" ht="20.25" customHeight="1" x14ac:dyDescent="0.25">
      <c r="A28" s="525"/>
      <c r="B28" s="507" t="s">
        <v>1083</v>
      </c>
      <c r="C28" s="385" t="s">
        <v>171</v>
      </c>
      <c r="D28" s="386">
        <v>189</v>
      </c>
      <c r="E28" s="387"/>
      <c r="F28" s="388"/>
      <c r="G28" s="388"/>
      <c r="H28" s="389">
        <v>80.75</v>
      </c>
      <c r="I28" s="388">
        <f t="shared" si="12"/>
        <v>15261.75</v>
      </c>
      <c r="J28" s="388">
        <f t="shared" si="13"/>
        <v>18314.099999999999</v>
      </c>
      <c r="K28" s="389">
        <f t="shared" si="10"/>
        <v>15261.75</v>
      </c>
      <c r="L28" s="388">
        <f t="shared" si="10"/>
        <v>18314.099999999999</v>
      </c>
      <c r="M28" s="394"/>
    </row>
    <row r="29" spans="1:14" ht="20.25" customHeight="1" x14ac:dyDescent="0.25">
      <c r="A29" s="525"/>
      <c r="B29" s="507" t="s">
        <v>1084</v>
      </c>
      <c r="C29" s="385" t="s">
        <v>171</v>
      </c>
      <c r="D29" s="386">
        <v>26</v>
      </c>
      <c r="E29" s="387"/>
      <c r="F29" s="388"/>
      <c r="G29" s="388"/>
      <c r="H29" s="389">
        <v>71.25</v>
      </c>
      <c r="I29" s="388">
        <f t="shared" si="12"/>
        <v>1852.5</v>
      </c>
      <c r="J29" s="388">
        <f t="shared" si="13"/>
        <v>2223</v>
      </c>
      <c r="K29" s="389">
        <f t="shared" si="10"/>
        <v>1852.5</v>
      </c>
      <c r="L29" s="388">
        <f t="shared" si="10"/>
        <v>2223</v>
      </c>
      <c r="M29" s="394"/>
    </row>
    <row r="30" spans="1:14" ht="34.5" customHeight="1" x14ac:dyDescent="0.25">
      <c r="A30" s="380"/>
      <c r="B30" s="46" t="s">
        <v>1085</v>
      </c>
      <c r="C30" s="380" t="s">
        <v>77</v>
      </c>
      <c r="D30" s="647">
        <v>81.91</v>
      </c>
      <c r="E30" s="384">
        <v>909.45</v>
      </c>
      <c r="F30" s="383">
        <f>ROUND(E30*D30,2)</f>
        <v>74493.05</v>
      </c>
      <c r="G30" s="383">
        <f t="shared" ref="G30:G31" si="14">ROUND(F30*1.2,2)</f>
        <v>89391.66</v>
      </c>
      <c r="H30" s="384"/>
      <c r="I30" s="383"/>
      <c r="J30" s="383"/>
      <c r="K30" s="384">
        <f t="shared" si="10"/>
        <v>74493.05</v>
      </c>
      <c r="L30" s="383">
        <f t="shared" si="10"/>
        <v>89391.66</v>
      </c>
      <c r="M30" s="394"/>
    </row>
    <row r="31" spans="1:14" ht="20.25" customHeight="1" x14ac:dyDescent="0.25">
      <c r="A31" s="380"/>
      <c r="B31" s="46" t="s">
        <v>793</v>
      </c>
      <c r="C31" s="380" t="s">
        <v>77</v>
      </c>
      <c r="D31" s="647">
        <v>81.900000000000006</v>
      </c>
      <c r="E31" s="384">
        <v>144.4</v>
      </c>
      <c r="F31" s="383">
        <f>ROUND(E31*D31,2)</f>
        <v>11826.36</v>
      </c>
      <c r="G31" s="383">
        <f t="shared" si="14"/>
        <v>14191.63</v>
      </c>
      <c r="H31" s="384"/>
      <c r="I31" s="383"/>
      <c r="J31" s="383"/>
      <c r="K31" s="384">
        <f t="shared" si="10"/>
        <v>11826.36</v>
      </c>
      <c r="L31" s="383">
        <f t="shared" si="10"/>
        <v>14191.63</v>
      </c>
      <c r="M31" s="394"/>
    </row>
    <row r="32" spans="1:14" ht="17.25" customHeight="1" x14ac:dyDescent="0.25">
      <c r="A32" s="525"/>
      <c r="B32" s="507" t="s">
        <v>461</v>
      </c>
      <c r="C32" s="385" t="s">
        <v>462</v>
      </c>
      <c r="D32" s="530">
        <f>25*20/16</f>
        <v>31.25</v>
      </c>
      <c r="E32" s="389"/>
      <c r="F32" s="388"/>
      <c r="G32" s="388"/>
      <c r="H32" s="509">
        <v>237.5</v>
      </c>
      <c r="I32" s="388">
        <f>ROUND(H32*D32,2)</f>
        <v>7421.88</v>
      </c>
      <c r="J32" s="388">
        <f t="shared" ref="J32" si="15">ROUND(I32*1.2,2)</f>
        <v>8906.26</v>
      </c>
      <c r="K32" s="389">
        <f t="shared" si="10"/>
        <v>7421.88</v>
      </c>
      <c r="L32" s="388">
        <f t="shared" si="10"/>
        <v>8906.26</v>
      </c>
      <c r="M32" s="394"/>
    </row>
    <row r="33" spans="1:15" ht="21.75" customHeight="1" x14ac:dyDescent="0.25">
      <c r="A33" s="380"/>
      <c r="B33" s="46" t="s">
        <v>663</v>
      </c>
      <c r="C33" s="380" t="s">
        <v>77</v>
      </c>
      <c r="D33" s="647">
        <v>81.900000000000006</v>
      </c>
      <c r="E33" s="384">
        <v>299.76</v>
      </c>
      <c r="F33" s="383">
        <f>ROUND(E33*D33,2)</f>
        <v>24550.34</v>
      </c>
      <c r="G33" s="383">
        <f t="shared" ref="G33" si="16">ROUND(F33*1.2,2)</f>
        <v>29460.41</v>
      </c>
      <c r="H33" s="384"/>
      <c r="I33" s="383"/>
      <c r="J33" s="383"/>
      <c r="K33" s="384">
        <f t="shared" si="10"/>
        <v>24550.34</v>
      </c>
      <c r="L33" s="383">
        <f t="shared" si="10"/>
        <v>29460.41</v>
      </c>
      <c r="M33" s="394"/>
    </row>
    <row r="34" spans="1:15" x14ac:dyDescent="0.25">
      <c r="A34" s="525"/>
      <c r="B34" s="507" t="s">
        <v>465</v>
      </c>
      <c r="C34" s="385" t="s">
        <v>171</v>
      </c>
      <c r="D34" s="386">
        <v>115</v>
      </c>
      <c r="E34" s="389"/>
      <c r="F34" s="388"/>
      <c r="G34" s="388"/>
      <c r="H34" s="509">
        <v>296.39999999999998</v>
      </c>
      <c r="I34" s="388">
        <f t="shared" ref="I34" si="17">ROUND(H34*D34,2)</f>
        <v>34086</v>
      </c>
      <c r="J34" s="388">
        <f t="shared" ref="J34" si="18">ROUND(I34*1.2,2)</f>
        <v>40903.199999999997</v>
      </c>
      <c r="K34" s="389">
        <f t="shared" si="10"/>
        <v>34086</v>
      </c>
      <c r="L34" s="388">
        <f t="shared" si="10"/>
        <v>40903.199999999997</v>
      </c>
      <c r="M34" s="394"/>
    </row>
    <row r="35" spans="1:15" ht="20.25" customHeight="1" x14ac:dyDescent="0.25">
      <c r="A35" s="648"/>
      <c r="B35" s="649" t="s">
        <v>1086</v>
      </c>
      <c r="C35" s="650"/>
      <c r="D35" s="650"/>
      <c r="E35" s="651"/>
      <c r="F35" s="652"/>
      <c r="G35" s="652"/>
      <c r="H35" s="642"/>
      <c r="I35" s="652"/>
      <c r="J35" s="652"/>
      <c r="K35" s="651"/>
      <c r="L35" s="652"/>
      <c r="M35" s="394"/>
    </row>
    <row r="36" spans="1:15" s="401" customFormat="1" ht="24" customHeight="1" x14ac:dyDescent="0.25">
      <c r="A36" s="648"/>
      <c r="B36" s="649" t="s">
        <v>1087</v>
      </c>
      <c r="C36" s="650"/>
      <c r="D36" s="650"/>
      <c r="E36" s="651"/>
      <c r="F36" s="652"/>
      <c r="G36" s="652"/>
      <c r="H36" s="642"/>
      <c r="I36" s="652"/>
      <c r="J36" s="652"/>
      <c r="K36" s="651"/>
      <c r="L36" s="652"/>
      <c r="M36" s="394"/>
      <c r="N36" s="674"/>
    </row>
    <row r="37" spans="1:15" s="438" customFormat="1" ht="45" x14ac:dyDescent="0.25">
      <c r="A37" s="667">
        <v>1</v>
      </c>
      <c r="B37" s="152" t="s">
        <v>1088</v>
      </c>
      <c r="C37" s="418" t="s">
        <v>171</v>
      </c>
      <c r="D37" s="428">
        <v>14951</v>
      </c>
      <c r="E37" s="430">
        <f>ROUND(159.41*0.7,2)</f>
        <v>111.59</v>
      </c>
      <c r="F37" s="668">
        <f t="shared" ref="F37" si="19">ROUND(E37*D37,2)</f>
        <v>1668382.09</v>
      </c>
      <c r="G37" s="668">
        <f t="shared" ref="G37:G39" si="20">ROUND(F37*1.2,2)</f>
        <v>2002058.51</v>
      </c>
      <c r="H37" s="431"/>
      <c r="I37" s="668"/>
      <c r="J37" s="668"/>
      <c r="K37" s="669">
        <f t="shared" ref="K37:L39" si="21">F37+I37</f>
        <v>1668382.09</v>
      </c>
      <c r="L37" s="668">
        <f t="shared" si="21"/>
        <v>2002058.51</v>
      </c>
      <c r="M37" s="670" t="s">
        <v>1089</v>
      </c>
      <c r="N37" s="676">
        <v>1000000</v>
      </c>
      <c r="O37" s="676">
        <f>L37-N37</f>
        <v>1002058.51</v>
      </c>
    </row>
    <row r="38" spans="1:15" s="401" customFormat="1" ht="21" customHeight="1" x14ac:dyDescent="0.25">
      <c r="A38" s="520">
        <f>A37+1</f>
        <v>2</v>
      </c>
      <c r="B38" s="18" t="s">
        <v>135</v>
      </c>
      <c r="C38" s="369" t="s">
        <v>1075</v>
      </c>
      <c r="D38" s="656">
        <f>14951/1000</f>
        <v>14.951000000000001</v>
      </c>
      <c r="E38" s="372">
        <v>0</v>
      </c>
      <c r="F38" s="521">
        <f>ROUND(E38*D38,2)</f>
        <v>0</v>
      </c>
      <c r="G38" s="521">
        <f t="shared" si="20"/>
        <v>0</v>
      </c>
      <c r="H38" s="657"/>
      <c r="I38" s="658"/>
      <c r="J38" s="658"/>
      <c r="K38" s="374">
        <f t="shared" si="21"/>
        <v>0</v>
      </c>
      <c r="L38" s="372">
        <f t="shared" si="21"/>
        <v>0</v>
      </c>
      <c r="M38" s="394" t="s">
        <v>1090</v>
      </c>
      <c r="N38" s="674"/>
      <c r="O38" s="674"/>
    </row>
    <row r="39" spans="1:15" s="401" customFormat="1" ht="25.5" customHeight="1" x14ac:dyDescent="0.25">
      <c r="A39" s="653">
        <f>A38+1</f>
        <v>3</v>
      </c>
      <c r="B39" s="99" t="s">
        <v>1091</v>
      </c>
      <c r="C39" s="404" t="s">
        <v>1075</v>
      </c>
      <c r="D39" s="659">
        <f>14951/1000</f>
        <v>14.951000000000001</v>
      </c>
      <c r="E39" s="660">
        <v>0</v>
      </c>
      <c r="F39" s="654">
        <f>ROUND(E39*D39,2)</f>
        <v>0</v>
      </c>
      <c r="G39" s="654">
        <f t="shared" si="20"/>
        <v>0</v>
      </c>
      <c r="H39" s="661"/>
      <c r="I39" s="662"/>
      <c r="J39" s="662"/>
      <c r="K39" s="409">
        <f t="shared" si="21"/>
        <v>0</v>
      </c>
      <c r="L39" s="407">
        <f t="shared" si="21"/>
        <v>0</v>
      </c>
      <c r="M39" s="394" t="s">
        <v>1090</v>
      </c>
      <c r="N39" s="674"/>
      <c r="O39" s="674"/>
    </row>
    <row r="40" spans="1:15" s="401" customFormat="1" ht="24" customHeight="1" x14ac:dyDescent="0.25">
      <c r="A40" s="648"/>
      <c r="B40" s="649" t="s">
        <v>1092</v>
      </c>
      <c r="C40" s="650"/>
      <c r="D40" s="650"/>
      <c r="E40" s="651"/>
      <c r="F40" s="652"/>
      <c r="G40" s="652"/>
      <c r="H40" s="642"/>
      <c r="I40" s="652"/>
      <c r="J40" s="652"/>
      <c r="K40" s="651"/>
      <c r="L40" s="652"/>
      <c r="M40" s="394"/>
      <c r="N40" s="674"/>
      <c r="O40" s="674"/>
    </row>
    <row r="41" spans="1:15" s="438" customFormat="1" ht="45" x14ac:dyDescent="0.25">
      <c r="A41" s="667">
        <f>A39+1</f>
        <v>4</v>
      </c>
      <c r="B41" s="152" t="s">
        <v>1093</v>
      </c>
      <c r="C41" s="418" t="s">
        <v>171</v>
      </c>
      <c r="D41" s="671">
        <v>11877.54</v>
      </c>
      <c r="E41" s="430">
        <f>159.41</f>
        <v>159.41</v>
      </c>
      <c r="F41" s="668">
        <f t="shared" ref="F41:F46" si="22">ROUND(E41*D41,2)</f>
        <v>1893398.65</v>
      </c>
      <c r="G41" s="668">
        <f t="shared" ref="G41:G46" si="23">ROUND(F41*1.2,2)</f>
        <v>2272078.38</v>
      </c>
      <c r="H41" s="672"/>
      <c r="I41" s="673"/>
      <c r="J41" s="673"/>
      <c r="K41" s="431">
        <f t="shared" ref="K41:L47" si="24">F41+I41</f>
        <v>1893398.65</v>
      </c>
      <c r="L41" s="430">
        <f t="shared" si="24"/>
        <v>2272078.38</v>
      </c>
      <c r="M41" s="670" t="s">
        <v>1094</v>
      </c>
      <c r="N41" s="676">
        <v>1500000</v>
      </c>
      <c r="O41" s="676">
        <f>L41-N41</f>
        <v>772078.37999999989</v>
      </c>
    </row>
    <row r="42" spans="1:15" s="401" customFormat="1" ht="30" x14ac:dyDescent="0.25">
      <c r="A42" s="663" t="s">
        <v>578</v>
      </c>
      <c r="B42" s="26" t="s">
        <v>1095</v>
      </c>
      <c r="C42" s="375" t="s">
        <v>171</v>
      </c>
      <c r="D42" s="464">
        <v>9070.6299999999992</v>
      </c>
      <c r="E42" s="378"/>
      <c r="F42" s="501"/>
      <c r="G42" s="501"/>
      <c r="H42" s="470">
        <v>194.96</v>
      </c>
      <c r="I42" s="378">
        <f t="shared" ref="I42:I45" si="25">ROUND(H42*D42,2)</f>
        <v>1768410.02</v>
      </c>
      <c r="J42" s="378">
        <f t="shared" ref="J42:J45" si="26">ROUND(I42*1.2,2)</f>
        <v>2122092.02</v>
      </c>
      <c r="K42" s="379">
        <f t="shared" si="24"/>
        <v>1768410.02</v>
      </c>
      <c r="L42" s="845">
        <f t="shared" si="24"/>
        <v>2122092.02</v>
      </c>
      <c r="M42" s="664" t="s">
        <v>1096</v>
      </c>
      <c r="N42" s="674"/>
      <c r="O42" s="674"/>
    </row>
    <row r="43" spans="1:15" s="401" customFormat="1" ht="30" x14ac:dyDescent="0.25">
      <c r="A43" s="663" t="s">
        <v>1097</v>
      </c>
      <c r="B43" s="26" t="s">
        <v>1098</v>
      </c>
      <c r="C43" s="375" t="s">
        <v>171</v>
      </c>
      <c r="D43" s="464">
        <v>226.68</v>
      </c>
      <c r="E43" s="378"/>
      <c r="F43" s="501"/>
      <c r="G43" s="501"/>
      <c r="H43" s="470">
        <v>194.96</v>
      </c>
      <c r="I43" s="378">
        <f t="shared" si="25"/>
        <v>44193.53</v>
      </c>
      <c r="J43" s="378">
        <f t="shared" si="26"/>
        <v>53032.24</v>
      </c>
      <c r="K43" s="379">
        <f t="shared" si="24"/>
        <v>44193.53</v>
      </c>
      <c r="L43" s="378">
        <f t="shared" si="24"/>
        <v>53032.24</v>
      </c>
      <c r="M43" s="394"/>
      <c r="N43" s="674"/>
      <c r="O43" s="674"/>
    </row>
    <row r="44" spans="1:15" s="401" customFormat="1" ht="30" x14ac:dyDescent="0.25">
      <c r="A44" s="663" t="s">
        <v>1099</v>
      </c>
      <c r="B44" s="26" t="s">
        <v>1100</v>
      </c>
      <c r="C44" s="375" t="s">
        <v>171</v>
      </c>
      <c r="D44" s="464">
        <v>2050.37</v>
      </c>
      <c r="E44" s="378"/>
      <c r="F44" s="501"/>
      <c r="G44" s="501"/>
      <c r="H44" s="470">
        <v>194.96</v>
      </c>
      <c r="I44" s="378">
        <f t="shared" si="25"/>
        <v>399740.14</v>
      </c>
      <c r="J44" s="378">
        <f t="shared" si="26"/>
        <v>479688.17</v>
      </c>
      <c r="K44" s="379">
        <f t="shared" si="24"/>
        <v>399740.14</v>
      </c>
      <c r="L44" s="378">
        <f t="shared" si="24"/>
        <v>479688.17</v>
      </c>
      <c r="M44" s="394"/>
      <c r="N44" s="674"/>
      <c r="O44" s="674"/>
    </row>
    <row r="45" spans="1:15" s="401" customFormat="1" ht="30" x14ac:dyDescent="0.25">
      <c r="A45" s="663" t="s">
        <v>1101</v>
      </c>
      <c r="B45" s="26" t="s">
        <v>1102</v>
      </c>
      <c r="C45" s="375" t="s">
        <v>171</v>
      </c>
      <c r="D45" s="464">
        <v>529.86</v>
      </c>
      <c r="E45" s="378"/>
      <c r="F45" s="501"/>
      <c r="G45" s="501"/>
      <c r="H45" s="470">
        <v>194.96</v>
      </c>
      <c r="I45" s="378">
        <f t="shared" si="25"/>
        <v>103301.51</v>
      </c>
      <c r="J45" s="378">
        <f t="shared" si="26"/>
        <v>123961.81</v>
      </c>
      <c r="K45" s="379">
        <f t="shared" si="24"/>
        <v>103301.51</v>
      </c>
      <c r="L45" s="378">
        <f t="shared" si="24"/>
        <v>123961.81</v>
      </c>
      <c r="M45" s="394"/>
      <c r="N45" s="674"/>
      <c r="O45" s="674"/>
    </row>
    <row r="46" spans="1:15" s="438" customFormat="1" ht="45" x14ac:dyDescent="0.25">
      <c r="A46" s="667">
        <f>A41+1</f>
        <v>5</v>
      </c>
      <c r="B46" s="152" t="s">
        <v>1103</v>
      </c>
      <c r="C46" s="418" t="s">
        <v>171</v>
      </c>
      <c r="D46" s="428">
        <f>373.02</f>
        <v>373.02</v>
      </c>
      <c r="E46" s="430">
        <f>159.41</f>
        <v>159.41</v>
      </c>
      <c r="F46" s="668">
        <f t="shared" si="22"/>
        <v>59463.12</v>
      </c>
      <c r="G46" s="668">
        <f t="shared" si="23"/>
        <v>71355.740000000005</v>
      </c>
      <c r="H46" s="672"/>
      <c r="I46" s="673"/>
      <c r="J46" s="673"/>
      <c r="K46" s="431">
        <f t="shared" si="24"/>
        <v>59463.12</v>
      </c>
      <c r="L46" s="430">
        <f t="shared" si="24"/>
        <v>71355.740000000005</v>
      </c>
      <c r="M46" s="670" t="s">
        <v>1094</v>
      </c>
      <c r="N46" s="676">
        <v>15000</v>
      </c>
      <c r="O46" s="676">
        <f>L46-N46</f>
        <v>56355.740000000005</v>
      </c>
    </row>
    <row r="47" spans="1:15" ht="47.25" customHeight="1" x14ac:dyDescent="0.25">
      <c r="A47" s="488" t="s">
        <v>476</v>
      </c>
      <c r="B47" s="26" t="s">
        <v>1104</v>
      </c>
      <c r="C47" s="375" t="s">
        <v>171</v>
      </c>
      <c r="D47" s="454">
        <v>373.02</v>
      </c>
      <c r="E47" s="377"/>
      <c r="F47" s="378"/>
      <c r="G47" s="378"/>
      <c r="H47" s="470">
        <v>194.96</v>
      </c>
      <c r="I47" s="378">
        <f t="shared" ref="I47" si="27">ROUND(H47*D47,2)</f>
        <v>72723.98</v>
      </c>
      <c r="J47" s="378">
        <f t="shared" ref="J47" si="28">ROUND(I47*1.2,2)</f>
        <v>87268.78</v>
      </c>
      <c r="K47" s="379">
        <f t="shared" si="24"/>
        <v>72723.98</v>
      </c>
      <c r="L47" s="378">
        <f t="shared" si="24"/>
        <v>87268.78</v>
      </c>
      <c r="M47" s="394"/>
    </row>
    <row r="48" spans="1:15" s="401" customFormat="1" ht="24" customHeight="1" x14ac:dyDescent="0.25">
      <c r="A48" s="648"/>
      <c r="B48" s="649" t="s">
        <v>1105</v>
      </c>
      <c r="C48" s="650"/>
      <c r="D48" s="650"/>
      <c r="E48" s="651"/>
      <c r="F48" s="652"/>
      <c r="G48" s="652"/>
      <c r="H48" s="642"/>
      <c r="I48" s="652"/>
      <c r="J48" s="652"/>
      <c r="K48" s="651"/>
      <c r="L48" s="652"/>
      <c r="M48" s="394"/>
      <c r="N48" s="674"/>
    </row>
    <row r="49" spans="1:15" ht="20.25" customHeight="1" x14ac:dyDescent="0.25">
      <c r="A49" s="369">
        <f>A46+1</f>
        <v>6</v>
      </c>
      <c r="B49" s="113" t="s">
        <v>1106</v>
      </c>
      <c r="C49" s="369" t="s">
        <v>77</v>
      </c>
      <c r="D49" s="665">
        <v>133</v>
      </c>
      <c r="E49" s="374">
        <v>957.31</v>
      </c>
      <c r="F49" s="372">
        <f t="shared" ref="F49:F55" si="29">ROUND(E49*D49,2)</f>
        <v>127322.23</v>
      </c>
      <c r="G49" s="372">
        <f t="shared" ref="G49:G55" si="30">ROUND(F49*1.2,2)</f>
        <v>152786.68</v>
      </c>
      <c r="H49" s="374"/>
      <c r="I49" s="372"/>
      <c r="J49" s="372"/>
      <c r="K49" s="844">
        <f t="shared" ref="K49:L60" si="31">F49+I49</f>
        <v>127322.23</v>
      </c>
      <c r="L49" s="845">
        <f t="shared" si="31"/>
        <v>152786.68</v>
      </c>
      <c r="M49" s="394" t="s">
        <v>1107</v>
      </c>
      <c r="N49" s="767"/>
    </row>
    <row r="50" spans="1:15" ht="32.25" customHeight="1" x14ac:dyDescent="0.25">
      <c r="A50" s="369">
        <f t="shared" ref="A50:A51" si="32">A49+1</f>
        <v>7</v>
      </c>
      <c r="B50" s="113" t="s">
        <v>1108</v>
      </c>
      <c r="C50" s="369" t="s">
        <v>77</v>
      </c>
      <c r="D50" s="453">
        <v>515</v>
      </c>
      <c r="E50" s="374">
        <v>80.75</v>
      </c>
      <c r="F50" s="372">
        <f t="shared" si="29"/>
        <v>41586.25</v>
      </c>
      <c r="G50" s="372">
        <f t="shared" si="30"/>
        <v>49903.5</v>
      </c>
      <c r="H50" s="374"/>
      <c r="I50" s="372"/>
      <c r="J50" s="372"/>
      <c r="K50" s="844">
        <f t="shared" si="31"/>
        <v>41586.25</v>
      </c>
      <c r="L50" s="845">
        <f t="shared" si="31"/>
        <v>49903.5</v>
      </c>
      <c r="M50" s="394" t="s">
        <v>1107</v>
      </c>
    </row>
    <row r="51" spans="1:15" ht="18.75" customHeight="1" x14ac:dyDescent="0.25">
      <c r="A51" s="369">
        <f t="shared" si="32"/>
        <v>8</v>
      </c>
      <c r="B51" s="18" t="s">
        <v>543</v>
      </c>
      <c r="C51" s="369" t="s">
        <v>77</v>
      </c>
      <c r="D51" s="370">
        <v>7</v>
      </c>
      <c r="E51" s="371">
        <v>144.4</v>
      </c>
      <c r="F51" s="372">
        <f>ROUND(E51*D51,2)</f>
        <v>1010.8</v>
      </c>
      <c r="G51" s="372">
        <f>ROUND(F51*1.2,2)</f>
        <v>1212.96</v>
      </c>
      <c r="H51" s="374"/>
      <c r="I51" s="372"/>
      <c r="J51" s="372"/>
      <c r="K51" s="374">
        <f t="shared" si="31"/>
        <v>1010.8</v>
      </c>
      <c r="L51" s="372">
        <f t="shared" si="31"/>
        <v>1212.96</v>
      </c>
      <c r="M51" s="394"/>
    </row>
    <row r="52" spans="1:15" ht="18.75" customHeight="1" x14ac:dyDescent="0.25">
      <c r="A52" s="488" t="s">
        <v>591</v>
      </c>
      <c r="B52" s="277" t="s">
        <v>545</v>
      </c>
      <c r="C52" s="375" t="s">
        <v>171</v>
      </c>
      <c r="D52" s="464">
        <f>D51*0.15</f>
        <v>1.05</v>
      </c>
      <c r="E52" s="377"/>
      <c r="F52" s="378"/>
      <c r="G52" s="378"/>
      <c r="H52" s="379">
        <v>149.15</v>
      </c>
      <c r="I52" s="378">
        <f>ROUND(H52*D52,2)</f>
        <v>156.61000000000001</v>
      </c>
      <c r="J52" s="378">
        <f>ROUND(I52*1.2,2)</f>
        <v>187.93</v>
      </c>
      <c r="K52" s="379">
        <f t="shared" si="31"/>
        <v>156.61000000000001</v>
      </c>
      <c r="L52" s="378">
        <f t="shared" si="31"/>
        <v>187.93</v>
      </c>
    </row>
    <row r="53" spans="1:15" ht="18.75" customHeight="1" x14ac:dyDescent="0.25">
      <c r="A53" s="369">
        <f>A51+1</f>
        <v>9</v>
      </c>
      <c r="B53" s="18" t="s">
        <v>546</v>
      </c>
      <c r="C53" s="369" t="s">
        <v>77</v>
      </c>
      <c r="D53" s="370">
        <v>515</v>
      </c>
      <c r="E53" s="371">
        <v>172.9</v>
      </c>
      <c r="F53" s="372">
        <f>ROUND(E53*D53,2)</f>
        <v>89043.5</v>
      </c>
      <c r="G53" s="372">
        <f>ROUND(F53*1.2,2)</f>
        <v>106852.2</v>
      </c>
      <c r="H53" s="374"/>
      <c r="I53" s="372"/>
      <c r="J53" s="372"/>
      <c r="K53" s="374">
        <f t="shared" si="31"/>
        <v>89043.5</v>
      </c>
      <c r="L53" s="372">
        <f t="shared" si="31"/>
        <v>106852.2</v>
      </c>
      <c r="M53" s="394"/>
    </row>
    <row r="54" spans="1:15" ht="18.75" customHeight="1" x14ac:dyDescent="0.25">
      <c r="A54" s="488" t="s">
        <v>93</v>
      </c>
      <c r="B54" s="277" t="s">
        <v>547</v>
      </c>
      <c r="C54" s="375" t="s">
        <v>171</v>
      </c>
      <c r="D54" s="464">
        <f>D53*0.32</f>
        <v>164.8</v>
      </c>
      <c r="E54" s="377"/>
      <c r="F54" s="378"/>
      <c r="G54" s="378"/>
      <c r="H54" s="379">
        <v>165.3</v>
      </c>
      <c r="I54" s="378">
        <f>ROUND(H54*D54,2)</f>
        <v>27241.439999999999</v>
      </c>
      <c r="J54" s="378">
        <f>ROUND(I54*1.2,2)</f>
        <v>32689.73</v>
      </c>
      <c r="K54" s="379">
        <f t="shared" si="31"/>
        <v>27241.439999999999</v>
      </c>
      <c r="L54" s="378">
        <f t="shared" si="31"/>
        <v>32689.73</v>
      </c>
    </row>
    <row r="55" spans="1:15" ht="34.5" customHeight="1" x14ac:dyDescent="0.25">
      <c r="A55" s="369">
        <f>A53+1</f>
        <v>10</v>
      </c>
      <c r="B55" s="113" t="s">
        <v>1109</v>
      </c>
      <c r="C55" s="369" t="s">
        <v>84</v>
      </c>
      <c r="D55" s="453">
        <v>0.39</v>
      </c>
      <c r="E55" s="374">
        <v>2637.2</v>
      </c>
      <c r="F55" s="372">
        <f t="shared" si="29"/>
        <v>1028.51</v>
      </c>
      <c r="G55" s="372">
        <f t="shared" si="30"/>
        <v>1234.21</v>
      </c>
      <c r="H55" s="374"/>
      <c r="I55" s="372"/>
      <c r="J55" s="372"/>
      <c r="K55" s="374">
        <f t="shared" si="31"/>
        <v>1028.51</v>
      </c>
      <c r="L55" s="372">
        <f t="shared" si="31"/>
        <v>1234.21</v>
      </c>
      <c r="M55" s="394"/>
    </row>
    <row r="56" spans="1:15" ht="20.25" customHeight="1" x14ac:dyDescent="0.25">
      <c r="A56" s="488" t="s">
        <v>96</v>
      </c>
      <c r="B56" s="277" t="s">
        <v>1079</v>
      </c>
      <c r="C56" s="375" t="s">
        <v>84</v>
      </c>
      <c r="D56" s="666">
        <f>D55*1.02</f>
        <v>0.39780000000000004</v>
      </c>
      <c r="E56" s="377"/>
      <c r="F56" s="378"/>
      <c r="G56" s="378"/>
      <c r="H56" s="379">
        <v>5196.5</v>
      </c>
      <c r="I56" s="378">
        <f t="shared" ref="I56" si="33">ROUND(H56*D56,2)</f>
        <v>2067.17</v>
      </c>
      <c r="J56" s="378">
        <f t="shared" ref="J56" si="34">ROUND(I56*1.2,2)</f>
        <v>2480.6</v>
      </c>
      <c r="K56" s="379">
        <f t="shared" si="31"/>
        <v>2067.17</v>
      </c>
      <c r="L56" s="378">
        <f t="shared" si="31"/>
        <v>2480.6</v>
      </c>
      <c r="M56" s="394"/>
    </row>
    <row r="57" spans="1:15" ht="27" customHeight="1" x14ac:dyDescent="0.25">
      <c r="A57" s="369">
        <f>A55+1</f>
        <v>11</v>
      </c>
      <c r="B57" s="18" t="s">
        <v>1110</v>
      </c>
      <c r="C57" s="369" t="s">
        <v>77</v>
      </c>
      <c r="D57" s="453">
        <v>1.92</v>
      </c>
      <c r="E57" s="374">
        <v>144.4</v>
      </c>
      <c r="F57" s="372">
        <f>ROUND(E57*D57,2)</f>
        <v>277.25</v>
      </c>
      <c r="G57" s="372">
        <f t="shared" ref="G57" si="35">ROUND(F57*1.2,2)</f>
        <v>332.7</v>
      </c>
      <c r="H57" s="374"/>
      <c r="I57" s="372"/>
      <c r="J57" s="372"/>
      <c r="K57" s="374">
        <f t="shared" si="31"/>
        <v>277.25</v>
      </c>
      <c r="L57" s="372">
        <f t="shared" si="31"/>
        <v>332.7</v>
      </c>
      <c r="M57" s="394"/>
    </row>
    <row r="58" spans="1:15" ht="19.5" customHeight="1" x14ac:dyDescent="0.25">
      <c r="A58" s="488" t="s">
        <v>99</v>
      </c>
      <c r="B58" s="277" t="s">
        <v>461</v>
      </c>
      <c r="C58" s="375" t="s">
        <v>462</v>
      </c>
      <c r="D58" s="454">
        <f>D57*0.3*20/16</f>
        <v>0.72</v>
      </c>
      <c r="E58" s="379"/>
      <c r="F58" s="378"/>
      <c r="G58" s="378"/>
      <c r="H58" s="452">
        <v>237.5</v>
      </c>
      <c r="I58" s="378">
        <f>ROUND(H58*D58,2)</f>
        <v>171</v>
      </c>
      <c r="J58" s="378">
        <f t="shared" ref="J58" si="36">ROUND(I58*1.2,2)</f>
        <v>205.2</v>
      </c>
      <c r="K58" s="379">
        <f t="shared" si="31"/>
        <v>171</v>
      </c>
      <c r="L58" s="378">
        <f t="shared" si="31"/>
        <v>205.2</v>
      </c>
      <c r="M58" s="394"/>
    </row>
    <row r="59" spans="1:15" ht="16.5" customHeight="1" x14ac:dyDescent="0.25">
      <c r="A59" s="369">
        <f>A57+1</f>
        <v>12</v>
      </c>
      <c r="B59" s="18" t="s">
        <v>1111</v>
      </c>
      <c r="C59" s="369" t="s">
        <v>77</v>
      </c>
      <c r="D59" s="453">
        <v>1.92</v>
      </c>
      <c r="E59" s="374">
        <v>299.76</v>
      </c>
      <c r="F59" s="372">
        <f>ROUND(E59*D59,2)</f>
        <v>575.54</v>
      </c>
      <c r="G59" s="372">
        <f t="shared" ref="G59" si="37">ROUND(F59*1.2,2)</f>
        <v>690.65</v>
      </c>
      <c r="H59" s="374"/>
      <c r="I59" s="372"/>
      <c r="J59" s="372"/>
      <c r="K59" s="374">
        <f t="shared" si="31"/>
        <v>575.54</v>
      </c>
      <c r="L59" s="372">
        <f t="shared" si="31"/>
        <v>690.65</v>
      </c>
      <c r="M59" s="394"/>
    </row>
    <row r="60" spans="1:15" x14ac:dyDescent="0.25">
      <c r="A60" s="488" t="s">
        <v>102</v>
      </c>
      <c r="B60" s="277" t="s">
        <v>465</v>
      </c>
      <c r="C60" s="375" t="s">
        <v>171</v>
      </c>
      <c r="D60" s="376">
        <f>D59*0.7*2</f>
        <v>2.6879999999999997</v>
      </c>
      <c r="E60" s="379"/>
      <c r="F60" s="378"/>
      <c r="G60" s="378"/>
      <c r="H60" s="452">
        <v>296.39999999999998</v>
      </c>
      <c r="I60" s="378">
        <f t="shared" ref="I60" si="38">ROUND(H60*D60,2)</f>
        <v>796.72</v>
      </c>
      <c r="J60" s="378">
        <f t="shared" ref="J60" si="39">ROUND(I60*1.2,2)</f>
        <v>956.06</v>
      </c>
      <c r="K60" s="379">
        <f t="shared" si="31"/>
        <v>796.72</v>
      </c>
      <c r="L60" s="378">
        <f t="shared" si="31"/>
        <v>956.06</v>
      </c>
      <c r="M60" s="394"/>
    </row>
    <row r="61" spans="1:15" ht="15.75" x14ac:dyDescent="0.25">
      <c r="A61" s="862" t="s">
        <v>121</v>
      </c>
      <c r="B61" s="863"/>
      <c r="C61" s="863"/>
      <c r="D61" s="863"/>
      <c r="E61" s="864"/>
      <c r="F61" s="481">
        <f>SUM(F8:F60)</f>
        <v>4489630.24</v>
      </c>
      <c r="G61" s="414">
        <f>ROUND(F61*1.2,2)</f>
        <v>5387556.29</v>
      </c>
      <c r="I61" s="481">
        <f>SUM(I8:I60)</f>
        <v>2633970.2899999996</v>
      </c>
      <c r="J61" s="414">
        <f>ROUND(I61*1.2,2)</f>
        <v>3160764.35</v>
      </c>
      <c r="K61" s="481">
        <f>SUM(K8:K60)</f>
        <v>7123600.5300000012</v>
      </c>
      <c r="L61" s="414">
        <f>ROUND(K61*1.2,2)</f>
        <v>8548320.6400000006</v>
      </c>
      <c r="O61" s="826">
        <f>SUM(O6:O60)</f>
        <v>1856160.4494999999</v>
      </c>
    </row>
    <row r="63" spans="1:15" x14ac:dyDescent="0.25">
      <c r="B63" s="459" t="s">
        <v>122</v>
      </c>
    </row>
    <row r="64" spans="1:15" x14ac:dyDescent="0.25">
      <c r="B64" s="460" t="s">
        <v>123</v>
      </c>
    </row>
  </sheetData>
  <mergeCells count="10">
    <mergeCell ref="B6:D6"/>
    <mergeCell ref="A61:E6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AB00-AFC6-4967-B043-AF0B6ACEC188}">
  <sheetPr>
    <tabColor rgb="FFFFFF00"/>
  </sheetPr>
  <dimension ref="A1:O176"/>
  <sheetViews>
    <sheetView view="pageBreakPreview" topLeftCell="A130" zoomScale="85" zoomScaleNormal="100" zoomScaleSheetLayoutView="85" workbookViewId="0">
      <selection activeCell="L147" sqref="L147"/>
    </sheetView>
  </sheetViews>
  <sheetFormatPr defaultColWidth="8.85546875" defaultRowHeight="15" x14ac:dyDescent="0.25"/>
  <cols>
    <col min="1" max="1" width="8.85546875" style="352"/>
    <col min="2" max="2" width="65.140625" style="352" customWidth="1"/>
    <col min="3" max="3" width="9.28515625" style="352" customWidth="1"/>
    <col min="4" max="4" width="11" style="352" bestFit="1" customWidth="1"/>
    <col min="5" max="5" width="15.140625" style="352" customWidth="1"/>
    <col min="6" max="6" width="16" style="352" customWidth="1"/>
    <col min="7" max="7" width="17.140625" style="417" customWidth="1"/>
    <col min="8" max="8" width="16.140625" style="417" customWidth="1"/>
    <col min="9" max="12" width="16.140625" style="352" customWidth="1"/>
    <col min="13" max="13" width="30.140625" style="352" customWidth="1"/>
    <col min="14" max="15" width="35" style="352" customWidth="1"/>
    <col min="16" max="16384" width="8.85546875" style="352"/>
  </cols>
  <sheetData>
    <row r="1" spans="1:13" ht="14.45" customHeight="1" x14ac:dyDescent="0.25">
      <c r="A1" s="865" t="s">
        <v>26</v>
      </c>
      <c r="B1" s="868" t="s">
        <v>57</v>
      </c>
      <c r="C1" s="871" t="s">
        <v>58</v>
      </c>
      <c r="D1" s="871" t="s">
        <v>59</v>
      </c>
      <c r="E1" s="872" t="s">
        <v>60</v>
      </c>
      <c r="F1" s="873"/>
      <c r="G1" s="873"/>
      <c r="H1" s="873"/>
      <c r="I1" s="873"/>
      <c r="J1" s="873"/>
      <c r="K1" s="873"/>
      <c r="L1" s="873"/>
    </row>
    <row r="2" spans="1:13" ht="14.45" customHeight="1" x14ac:dyDescent="0.25">
      <c r="A2" s="866"/>
      <c r="B2" s="869"/>
      <c r="C2" s="871"/>
      <c r="D2" s="871"/>
      <c r="E2" s="874"/>
      <c r="F2" s="875"/>
      <c r="G2" s="875"/>
      <c r="H2" s="875"/>
      <c r="I2" s="875"/>
      <c r="J2" s="875"/>
      <c r="K2" s="875"/>
      <c r="L2" s="875"/>
    </row>
    <row r="3" spans="1:13" ht="27.75" customHeight="1" x14ac:dyDescent="0.25">
      <c r="A3" s="866"/>
      <c r="B3" s="869"/>
      <c r="C3" s="871"/>
      <c r="D3" s="871"/>
      <c r="E3" s="871" t="s">
        <v>61</v>
      </c>
      <c r="F3" s="871"/>
      <c r="G3" s="871"/>
      <c r="H3" s="871" t="s">
        <v>62</v>
      </c>
      <c r="I3" s="871"/>
      <c r="J3" s="871"/>
      <c r="K3" s="876" t="s">
        <v>63</v>
      </c>
      <c r="L3" s="876"/>
    </row>
    <row r="4" spans="1:13" ht="56.1" customHeight="1" x14ac:dyDescent="0.25">
      <c r="A4" s="867"/>
      <c r="B4" s="870"/>
      <c r="C4" s="871"/>
      <c r="D4" s="871"/>
      <c r="E4" s="353" t="s">
        <v>64</v>
      </c>
      <c r="F4" s="353" t="s">
        <v>65</v>
      </c>
      <c r="G4" s="354" t="s">
        <v>66</v>
      </c>
      <c r="H4" s="353" t="s">
        <v>64</v>
      </c>
      <c r="I4" s="353" t="s">
        <v>65</v>
      </c>
      <c r="J4" s="354" t="s">
        <v>66</v>
      </c>
      <c r="K4" s="353" t="s">
        <v>67</v>
      </c>
      <c r="L4" s="353" t="s">
        <v>68</v>
      </c>
    </row>
    <row r="5" spans="1:13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52"/>
    </row>
    <row r="6" spans="1:13" ht="20.25" customHeight="1" x14ac:dyDescent="0.25">
      <c r="A6" s="355"/>
      <c r="B6" s="860" t="s">
        <v>854</v>
      </c>
      <c r="C6" s="861"/>
      <c r="D6" s="861"/>
      <c r="E6" s="356"/>
      <c r="F6" s="357"/>
      <c r="G6" s="358"/>
      <c r="H6" s="358"/>
      <c r="I6" s="358"/>
      <c r="J6" s="358"/>
      <c r="K6" s="358"/>
      <c r="L6" s="358"/>
    </row>
    <row r="7" spans="1:13" ht="20.25" customHeight="1" x14ac:dyDescent="0.25">
      <c r="A7" s="359"/>
      <c r="B7" s="360" t="s">
        <v>181</v>
      </c>
      <c r="C7" s="361"/>
      <c r="D7" s="362"/>
      <c r="E7" s="363"/>
      <c r="F7" s="363"/>
      <c r="G7" s="364"/>
      <c r="H7" s="365"/>
      <c r="I7" s="366"/>
      <c r="J7" s="366"/>
      <c r="K7" s="367"/>
      <c r="L7" s="366"/>
    </row>
    <row r="8" spans="1:13" ht="19.5" customHeight="1" x14ac:dyDescent="0.25">
      <c r="A8" s="369">
        <v>1</v>
      </c>
      <c r="B8" s="18" t="s">
        <v>855</v>
      </c>
      <c r="C8" s="369" t="s">
        <v>84</v>
      </c>
      <c r="D8" s="370">
        <v>8.24</v>
      </c>
      <c r="E8" s="374">
        <v>1311</v>
      </c>
      <c r="F8" s="372">
        <f>ROUND(E8*D8,2)</f>
        <v>10802.64</v>
      </c>
      <c r="G8" s="372">
        <f>ROUND(F8*1.2,2)</f>
        <v>12963.17</v>
      </c>
      <c r="H8" s="372"/>
      <c r="I8" s="372"/>
      <c r="J8" s="372"/>
      <c r="K8" s="374">
        <f t="shared" ref="K8:L17" si="0">F8+I8</f>
        <v>10802.64</v>
      </c>
      <c r="L8" s="372">
        <f t="shared" si="0"/>
        <v>12963.17</v>
      </c>
    </row>
    <row r="9" spans="1:13" ht="20.25" customHeight="1" x14ac:dyDescent="0.25">
      <c r="A9" s="359" t="s">
        <v>73</v>
      </c>
      <c r="B9" s="26" t="s">
        <v>160</v>
      </c>
      <c r="C9" s="375" t="s">
        <v>84</v>
      </c>
      <c r="D9" s="376">
        <f>ROUND(D8*1.1,2)</f>
        <v>9.06</v>
      </c>
      <c r="E9" s="377"/>
      <c r="F9" s="378"/>
      <c r="G9" s="378"/>
      <c r="H9" s="378">
        <v>1191.3</v>
      </c>
      <c r="I9" s="378">
        <f>ROUND(H9*D9,2)</f>
        <v>10793.18</v>
      </c>
      <c r="J9" s="378">
        <f>ROUND(I9*1.2,2)</f>
        <v>12951.82</v>
      </c>
      <c r="K9" s="379">
        <f t="shared" si="0"/>
        <v>10793.18</v>
      </c>
      <c r="L9" s="378">
        <f t="shared" si="0"/>
        <v>12951.82</v>
      </c>
    </row>
    <row r="10" spans="1:13" ht="20.25" customHeight="1" x14ac:dyDescent="0.25">
      <c r="A10" s="369">
        <f>A8+1</f>
        <v>2</v>
      </c>
      <c r="B10" s="18" t="s">
        <v>856</v>
      </c>
      <c r="C10" s="369" t="s">
        <v>533</v>
      </c>
      <c r="D10" s="370">
        <v>1.42</v>
      </c>
      <c r="E10" s="374">
        <v>1350.9</v>
      </c>
      <c r="F10" s="372">
        <f>ROUND(E10*D10,2)</f>
        <v>1918.28</v>
      </c>
      <c r="G10" s="372">
        <f t="shared" ref="G10" si="1">ROUND(F10*1.2,2)</f>
        <v>2301.94</v>
      </c>
      <c r="H10" s="371"/>
      <c r="I10" s="372"/>
      <c r="J10" s="372"/>
      <c r="K10" s="374">
        <f t="shared" si="0"/>
        <v>1918.28</v>
      </c>
      <c r="L10" s="372">
        <f t="shared" si="0"/>
        <v>2301.94</v>
      </c>
      <c r="M10" s="394"/>
    </row>
    <row r="11" spans="1:13" ht="20.25" customHeight="1" x14ac:dyDescent="0.25">
      <c r="A11" s="359" t="s">
        <v>78</v>
      </c>
      <c r="B11" s="26" t="s">
        <v>534</v>
      </c>
      <c r="C11" s="375" t="s">
        <v>84</v>
      </c>
      <c r="D11" s="376">
        <f>D10*1.26</f>
        <v>1.7891999999999999</v>
      </c>
      <c r="E11" s="377"/>
      <c r="F11" s="378"/>
      <c r="G11" s="378"/>
      <c r="H11" s="379">
        <v>1299.5999999999999</v>
      </c>
      <c r="I11" s="378">
        <f>ROUND(H11*D11,2)</f>
        <v>2325.2399999999998</v>
      </c>
      <c r="J11" s="378">
        <f>ROUND(I11*1.2,2)</f>
        <v>2790.29</v>
      </c>
      <c r="K11" s="379">
        <f t="shared" si="0"/>
        <v>2325.2399999999998</v>
      </c>
      <c r="L11" s="378">
        <f t="shared" si="0"/>
        <v>2790.29</v>
      </c>
      <c r="M11" s="394"/>
    </row>
    <row r="12" spans="1:13" ht="20.25" customHeight="1" x14ac:dyDescent="0.25">
      <c r="A12" s="369">
        <f>A10+1</f>
        <v>3</v>
      </c>
      <c r="B12" s="18" t="s">
        <v>857</v>
      </c>
      <c r="C12" s="369" t="s">
        <v>84</v>
      </c>
      <c r="D12" s="370">
        <v>59.89</v>
      </c>
      <c r="E12" s="374">
        <v>1310.05</v>
      </c>
      <c r="F12" s="372">
        <f>ROUND(E12*D12,2)</f>
        <v>78458.89</v>
      </c>
      <c r="G12" s="372">
        <f>ROUND(F12*1.2,2)</f>
        <v>94150.67</v>
      </c>
      <c r="H12" s="372"/>
      <c r="I12" s="372"/>
      <c r="J12" s="372"/>
      <c r="K12" s="374">
        <f t="shared" si="0"/>
        <v>78458.89</v>
      </c>
      <c r="L12" s="372">
        <f t="shared" si="0"/>
        <v>94150.67</v>
      </c>
    </row>
    <row r="13" spans="1:13" ht="20.25" customHeight="1" x14ac:dyDescent="0.25">
      <c r="A13" s="359" t="s">
        <v>576</v>
      </c>
      <c r="B13" s="26" t="s">
        <v>160</v>
      </c>
      <c r="C13" s="375" t="s">
        <v>84</v>
      </c>
      <c r="D13" s="376">
        <f>ROUND(D12*1.1,2)</f>
        <v>65.88</v>
      </c>
      <c r="E13" s="377"/>
      <c r="F13" s="378"/>
      <c r="G13" s="378"/>
      <c r="H13" s="378">
        <v>1191.3</v>
      </c>
      <c r="I13" s="378">
        <f>ROUND(H13*D13,2)</f>
        <v>78482.84</v>
      </c>
      <c r="J13" s="378">
        <f>ROUND(I13*1.2,2)</f>
        <v>94179.41</v>
      </c>
      <c r="K13" s="379">
        <f t="shared" si="0"/>
        <v>78482.84</v>
      </c>
      <c r="L13" s="378">
        <f t="shared" si="0"/>
        <v>94179.41</v>
      </c>
    </row>
    <row r="14" spans="1:13" ht="18" customHeight="1" x14ac:dyDescent="0.25">
      <c r="A14" s="369">
        <f>A12+1</f>
        <v>4</v>
      </c>
      <c r="B14" s="113" t="s">
        <v>858</v>
      </c>
      <c r="C14" s="369" t="s">
        <v>84</v>
      </c>
      <c r="D14" s="370">
        <v>1.7</v>
      </c>
      <c r="E14" s="374">
        <v>12608.54</v>
      </c>
      <c r="F14" s="372">
        <v>27480.959999999999</v>
      </c>
      <c r="G14" s="372">
        <v>32977.15</v>
      </c>
      <c r="H14" s="371"/>
      <c r="I14" s="372"/>
      <c r="J14" s="372"/>
      <c r="K14" s="374">
        <v>27480.959999999999</v>
      </c>
      <c r="L14" s="372">
        <v>32977.15</v>
      </c>
      <c r="M14" s="394"/>
    </row>
    <row r="15" spans="1:13" ht="18" customHeight="1" x14ac:dyDescent="0.25">
      <c r="A15" s="359" t="s">
        <v>578</v>
      </c>
      <c r="B15" s="26" t="s">
        <v>859</v>
      </c>
      <c r="C15" s="375" t="s">
        <v>84</v>
      </c>
      <c r="D15" s="500">
        <f>D14*1.02</f>
        <v>1.734</v>
      </c>
      <c r="E15" s="377"/>
      <c r="F15" s="501"/>
      <c r="G15" s="501"/>
      <c r="H15" s="379">
        <v>4807</v>
      </c>
      <c r="I15" s="501">
        <f>ROUND(H15*D15,2)</f>
        <v>8335.34</v>
      </c>
      <c r="J15" s="501">
        <f>ROUND(I15*1.2,2)</f>
        <v>10002.41</v>
      </c>
      <c r="K15" s="502">
        <f t="shared" ref="K15:L15" si="2">F15+I15</f>
        <v>8335.34</v>
      </c>
      <c r="L15" s="501">
        <f t="shared" si="2"/>
        <v>10002.41</v>
      </c>
      <c r="M15" s="394"/>
    </row>
    <row r="16" spans="1:13" s="395" customFormat="1" ht="21.75" customHeight="1" x14ac:dyDescent="0.25">
      <c r="A16" s="369">
        <f>A14+1</f>
        <v>5</v>
      </c>
      <c r="B16" s="18" t="s">
        <v>87</v>
      </c>
      <c r="C16" s="369" t="s">
        <v>84</v>
      </c>
      <c r="D16" s="370">
        <v>6.61</v>
      </c>
      <c r="E16" s="374">
        <v>118.75</v>
      </c>
      <c r="F16" s="372">
        <f>ROUND(E16*D16,2)</f>
        <v>784.94</v>
      </c>
      <c r="G16" s="372">
        <f>ROUND(F16*1.2,2)</f>
        <v>941.93</v>
      </c>
      <c r="H16" s="373"/>
      <c r="I16" s="372"/>
      <c r="J16" s="372"/>
      <c r="K16" s="374">
        <f t="shared" si="0"/>
        <v>784.94</v>
      </c>
      <c r="L16" s="372">
        <f t="shared" si="0"/>
        <v>941.93</v>
      </c>
    </row>
    <row r="17" spans="1:13" ht="18.75" customHeight="1" x14ac:dyDescent="0.25">
      <c r="A17" s="369">
        <f>A16+1</f>
        <v>6</v>
      </c>
      <c r="B17" s="18" t="s">
        <v>88</v>
      </c>
      <c r="C17" s="369" t="s">
        <v>84</v>
      </c>
      <c r="D17" s="370">
        <v>6.61</v>
      </c>
      <c r="E17" s="374">
        <v>188.1</v>
      </c>
      <c r="F17" s="372">
        <f>ROUND(E17*D17,2)</f>
        <v>1243.3399999999999</v>
      </c>
      <c r="G17" s="372">
        <f>ROUND(F17*1.2,2)</f>
        <v>1492.01</v>
      </c>
      <c r="H17" s="374"/>
      <c r="I17" s="372"/>
      <c r="J17" s="372"/>
      <c r="K17" s="374">
        <f t="shared" si="0"/>
        <v>1243.3399999999999</v>
      </c>
      <c r="L17" s="372">
        <f t="shared" si="0"/>
        <v>1492.01</v>
      </c>
    </row>
    <row r="18" spans="1:13" ht="20.25" customHeight="1" x14ac:dyDescent="0.25">
      <c r="A18" s="369">
        <f>A17+1</f>
        <v>7</v>
      </c>
      <c r="B18" s="18" t="s">
        <v>89</v>
      </c>
      <c r="C18" s="369" t="s">
        <v>80</v>
      </c>
      <c r="D18" s="370">
        <f>69.85*1.9</f>
        <v>132.71499999999997</v>
      </c>
      <c r="E18" s="374">
        <v>308.75</v>
      </c>
      <c r="F18" s="372">
        <f>ROUND(E18*D18,2)</f>
        <v>40975.760000000002</v>
      </c>
      <c r="G18" s="372">
        <f>ROUND(F18*1.2,2)</f>
        <v>49170.91</v>
      </c>
      <c r="H18" s="371"/>
      <c r="I18" s="372"/>
      <c r="J18" s="372"/>
      <c r="K18" s="374">
        <f>F18+I18</f>
        <v>40975.760000000002</v>
      </c>
      <c r="L18" s="372">
        <f>G18+J18</f>
        <v>49170.91</v>
      </c>
      <c r="M18" s="394"/>
    </row>
    <row r="19" spans="1:13" s="401" customFormat="1" ht="30.75" customHeight="1" x14ac:dyDescent="0.25">
      <c r="A19" s="380"/>
      <c r="B19" s="46" t="s">
        <v>860</v>
      </c>
      <c r="C19" s="380" t="s">
        <v>84</v>
      </c>
      <c r="D19" s="381">
        <f>256.79+83+65+8.79</f>
        <v>413.58000000000004</v>
      </c>
      <c r="E19" s="384">
        <v>308.75</v>
      </c>
      <c r="F19" s="383">
        <f t="shared" ref="F19:F20" si="3">ROUND(E19*D19,2)</f>
        <v>127692.83</v>
      </c>
      <c r="G19" s="383">
        <f t="shared" ref="G19:G20" si="4">ROUND(F19*1.2,2)</f>
        <v>153231.4</v>
      </c>
      <c r="H19" s="503"/>
      <c r="I19" s="383"/>
      <c r="J19" s="383"/>
      <c r="K19" s="384">
        <f t="shared" ref="K19:L22" si="5">F19+I19</f>
        <v>127692.83</v>
      </c>
      <c r="L19" s="383">
        <f t="shared" si="5"/>
        <v>153231.4</v>
      </c>
      <c r="M19" s="400" t="s">
        <v>861</v>
      </c>
    </row>
    <row r="20" spans="1:13" s="401" customFormat="1" ht="21" customHeight="1" x14ac:dyDescent="0.25">
      <c r="A20" s="380"/>
      <c r="B20" s="46" t="s">
        <v>85</v>
      </c>
      <c r="C20" s="380" t="s">
        <v>84</v>
      </c>
      <c r="D20" s="381">
        <f>9.79+3</f>
        <v>12.79</v>
      </c>
      <c r="E20" s="384">
        <v>1688.15</v>
      </c>
      <c r="F20" s="383">
        <f t="shared" si="3"/>
        <v>21591.439999999999</v>
      </c>
      <c r="G20" s="383">
        <f t="shared" si="4"/>
        <v>25909.73</v>
      </c>
      <c r="H20" s="503"/>
      <c r="I20" s="383"/>
      <c r="J20" s="383"/>
      <c r="K20" s="384">
        <f t="shared" si="5"/>
        <v>21591.439999999999</v>
      </c>
      <c r="L20" s="383">
        <f t="shared" si="5"/>
        <v>25909.73</v>
      </c>
      <c r="M20" s="394"/>
    </row>
    <row r="21" spans="1:13" s="395" customFormat="1" ht="21.75" customHeight="1" x14ac:dyDescent="0.25">
      <c r="A21" s="380"/>
      <c r="B21" s="46" t="s">
        <v>87</v>
      </c>
      <c r="C21" s="380" t="s">
        <v>84</v>
      </c>
      <c r="D21" s="381">
        <f>172.12+86-6.61</f>
        <v>251.51</v>
      </c>
      <c r="E21" s="384">
        <v>118.75</v>
      </c>
      <c r="F21" s="383">
        <f>ROUND(E21*D21,2)</f>
        <v>29866.81</v>
      </c>
      <c r="G21" s="383">
        <f>ROUND(F21*1.2,2)</f>
        <v>35840.17</v>
      </c>
      <c r="H21" s="503"/>
      <c r="I21" s="383"/>
      <c r="J21" s="383"/>
      <c r="K21" s="384">
        <f t="shared" si="5"/>
        <v>29866.81</v>
      </c>
      <c r="L21" s="383">
        <f t="shared" si="5"/>
        <v>35840.17</v>
      </c>
      <c r="M21" s="504" t="s">
        <v>862</v>
      </c>
    </row>
    <row r="22" spans="1:13" ht="18.75" customHeight="1" x14ac:dyDescent="0.25">
      <c r="A22" s="380"/>
      <c r="B22" s="46" t="s">
        <v>88</v>
      </c>
      <c r="C22" s="380" t="s">
        <v>84</v>
      </c>
      <c r="D22" s="381">
        <f>172.12+86-6.61</f>
        <v>251.51</v>
      </c>
      <c r="E22" s="384">
        <v>188.1</v>
      </c>
      <c r="F22" s="383">
        <f>ROUND(E22*D22,2)</f>
        <v>47309.03</v>
      </c>
      <c r="G22" s="383">
        <f>ROUND(F22*1.2,2)</f>
        <v>56770.84</v>
      </c>
      <c r="H22" s="384"/>
      <c r="I22" s="383"/>
      <c r="J22" s="383"/>
      <c r="K22" s="384">
        <f t="shared" si="5"/>
        <v>47309.03</v>
      </c>
      <c r="L22" s="383">
        <f t="shared" si="5"/>
        <v>56770.84</v>
      </c>
      <c r="M22" s="504" t="s">
        <v>863</v>
      </c>
    </row>
    <row r="23" spans="1:13" ht="20.25" customHeight="1" x14ac:dyDescent="0.25">
      <c r="A23" s="380"/>
      <c r="B23" s="46" t="s">
        <v>89</v>
      </c>
      <c r="C23" s="380" t="s">
        <v>80</v>
      </c>
      <c r="D23" s="381">
        <f>(83+8.79)*1.9-132.72</f>
        <v>41.680999999999983</v>
      </c>
      <c r="E23" s="384">
        <v>308.75</v>
      </c>
      <c r="F23" s="383">
        <f>ROUND(E23*D23,2)</f>
        <v>12869.01</v>
      </c>
      <c r="G23" s="383">
        <f>ROUND(F23*1.2,2)</f>
        <v>15442.81</v>
      </c>
      <c r="H23" s="382"/>
      <c r="I23" s="383"/>
      <c r="J23" s="383"/>
      <c r="K23" s="384">
        <f>F23+I23</f>
        <v>12869.01</v>
      </c>
      <c r="L23" s="383">
        <f>G23+J23</f>
        <v>15442.81</v>
      </c>
      <c r="M23" s="474" t="s">
        <v>864</v>
      </c>
    </row>
    <row r="24" spans="1:13" s="401" customFormat="1" x14ac:dyDescent="0.25">
      <c r="A24" s="380"/>
      <c r="B24" s="505" t="s">
        <v>865</v>
      </c>
      <c r="C24" s="380" t="s">
        <v>84</v>
      </c>
      <c r="D24" s="381">
        <v>8</v>
      </c>
      <c r="E24" s="384">
        <v>854.05</v>
      </c>
      <c r="F24" s="383">
        <f t="shared" ref="F24" si="6">ROUND(E24*D24,2)</f>
        <v>6832.4</v>
      </c>
      <c r="G24" s="383">
        <f t="shared" ref="G24:G25" si="7">ROUND(F24*1.2,2)</f>
        <v>8198.8799999999992</v>
      </c>
      <c r="H24" s="383"/>
      <c r="I24" s="383"/>
      <c r="J24" s="383"/>
      <c r="K24" s="384">
        <f t="shared" ref="K24:L26" si="8">F24+I24</f>
        <v>6832.4</v>
      </c>
      <c r="L24" s="383">
        <f t="shared" si="8"/>
        <v>8198.8799999999992</v>
      </c>
      <c r="M24" s="394"/>
    </row>
    <row r="25" spans="1:13" ht="20.25" customHeight="1" x14ac:dyDescent="0.25">
      <c r="A25" s="369"/>
      <c r="B25" s="46" t="s">
        <v>856</v>
      </c>
      <c r="C25" s="380" t="s">
        <v>84</v>
      </c>
      <c r="D25" s="381">
        <f>5.63-1.42</f>
        <v>4.21</v>
      </c>
      <c r="E25" s="384">
        <v>1350.9</v>
      </c>
      <c r="F25" s="383">
        <f>ROUND(E25*D25,2)</f>
        <v>5687.29</v>
      </c>
      <c r="G25" s="383">
        <f t="shared" si="7"/>
        <v>6824.75</v>
      </c>
      <c r="H25" s="382"/>
      <c r="I25" s="383"/>
      <c r="J25" s="383"/>
      <c r="K25" s="384">
        <f t="shared" si="8"/>
        <v>5687.29</v>
      </c>
      <c r="L25" s="383">
        <f t="shared" si="8"/>
        <v>6824.75</v>
      </c>
      <c r="M25" s="474" t="s">
        <v>866</v>
      </c>
    </row>
    <row r="26" spans="1:13" ht="20.25" customHeight="1" x14ac:dyDescent="0.25">
      <c r="A26" s="359"/>
      <c r="B26" s="58" t="s">
        <v>534</v>
      </c>
      <c r="C26" s="385" t="s">
        <v>84</v>
      </c>
      <c r="D26" s="386">
        <f>6.475-1.79</f>
        <v>4.6849999999999996</v>
      </c>
      <c r="E26" s="387"/>
      <c r="F26" s="388"/>
      <c r="G26" s="388"/>
      <c r="H26" s="389">
        <v>1299.5999999999999</v>
      </c>
      <c r="I26" s="388">
        <f>ROUND(H26*D26,2)</f>
        <v>6088.63</v>
      </c>
      <c r="J26" s="388">
        <f>ROUND(I26*1.2,2)</f>
        <v>7306.36</v>
      </c>
      <c r="K26" s="389">
        <f t="shared" si="8"/>
        <v>6088.63</v>
      </c>
      <c r="L26" s="388">
        <f t="shared" si="8"/>
        <v>7306.36</v>
      </c>
      <c r="M26" s="474" t="s">
        <v>867</v>
      </c>
    </row>
    <row r="27" spans="1:13" ht="18" customHeight="1" x14ac:dyDescent="0.25">
      <c r="A27" s="361"/>
      <c r="B27" s="479" t="s">
        <v>664</v>
      </c>
      <c r="C27" s="390"/>
      <c r="D27" s="391"/>
      <c r="E27" s="392"/>
      <c r="F27" s="393"/>
      <c r="G27" s="393"/>
      <c r="H27" s="392"/>
      <c r="I27" s="366"/>
      <c r="J27" s="366"/>
      <c r="K27" s="367"/>
      <c r="L27" s="366"/>
      <c r="M27" s="394"/>
    </row>
    <row r="28" spans="1:13" ht="20.25" customHeight="1" x14ac:dyDescent="0.25">
      <c r="A28" s="369"/>
      <c r="B28" s="46" t="s">
        <v>868</v>
      </c>
      <c r="C28" s="380" t="s">
        <v>77</v>
      </c>
      <c r="D28" s="381">
        <v>153.62</v>
      </c>
      <c r="E28" s="384">
        <v>80.75</v>
      </c>
      <c r="F28" s="383">
        <f>ROUND(E28*D28,2)</f>
        <v>12404.82</v>
      </c>
      <c r="G28" s="383">
        <f t="shared" ref="G28" si="9">ROUND(F28*1.2,2)</f>
        <v>14885.78</v>
      </c>
      <c r="H28" s="382"/>
      <c r="I28" s="383"/>
      <c r="J28" s="383"/>
      <c r="K28" s="384">
        <f t="shared" ref="K28:L40" si="10">F28+I28</f>
        <v>12404.82</v>
      </c>
      <c r="L28" s="383">
        <f t="shared" si="10"/>
        <v>14885.78</v>
      </c>
    </row>
    <row r="29" spans="1:13" ht="18.75" customHeight="1" x14ac:dyDescent="0.25">
      <c r="A29" s="369">
        <f>A18+1</f>
        <v>8</v>
      </c>
      <c r="B29" s="113" t="s">
        <v>665</v>
      </c>
      <c r="C29" s="369" t="s">
        <v>75</v>
      </c>
      <c r="D29" s="489">
        <v>1</v>
      </c>
      <c r="E29" s="374">
        <v>5928</v>
      </c>
      <c r="F29" s="372">
        <f>ROUND(E29*D29,2)</f>
        <v>5928</v>
      </c>
      <c r="G29" s="372">
        <f>ROUND(F29*1.2,2)</f>
        <v>7113.6</v>
      </c>
      <c r="H29" s="374"/>
      <c r="I29" s="372"/>
      <c r="J29" s="372"/>
      <c r="K29" s="374">
        <f t="shared" si="10"/>
        <v>5928</v>
      </c>
      <c r="L29" s="372">
        <f t="shared" si="10"/>
        <v>7113.6</v>
      </c>
      <c r="M29" s="394"/>
    </row>
    <row r="30" spans="1:13" ht="18.75" customHeight="1" x14ac:dyDescent="0.25">
      <c r="A30" s="359" t="s">
        <v>591</v>
      </c>
      <c r="B30" s="277" t="s">
        <v>667</v>
      </c>
      <c r="C30" s="375" t="s">
        <v>75</v>
      </c>
      <c r="D30" s="467">
        <v>1</v>
      </c>
      <c r="E30" s="379"/>
      <c r="F30" s="378"/>
      <c r="G30" s="378"/>
      <c r="H30" s="452">
        <v>16810.25</v>
      </c>
      <c r="I30" s="378">
        <f>ROUND(H30*D30,2)</f>
        <v>16810.25</v>
      </c>
      <c r="J30" s="378">
        <f>ROUND(I30*1.2,2)</f>
        <v>20172.3</v>
      </c>
      <c r="K30" s="379">
        <f t="shared" si="10"/>
        <v>16810.25</v>
      </c>
      <c r="L30" s="378">
        <f t="shared" si="10"/>
        <v>20172.3</v>
      </c>
      <c r="M30" s="394"/>
    </row>
    <row r="31" spans="1:13" ht="18.75" customHeight="1" x14ac:dyDescent="0.25">
      <c r="A31" s="369">
        <f>A29+1</f>
        <v>9</v>
      </c>
      <c r="B31" s="113" t="s">
        <v>668</v>
      </c>
      <c r="C31" s="369" t="s">
        <v>75</v>
      </c>
      <c r="D31" s="466">
        <v>1</v>
      </c>
      <c r="E31" s="374">
        <v>1482</v>
      </c>
      <c r="F31" s="372">
        <f>ROUND(E31*D31,2)</f>
        <v>1482</v>
      </c>
      <c r="G31" s="372">
        <f>ROUND(F31*1.2,2)</f>
        <v>1778.4</v>
      </c>
      <c r="H31" s="374"/>
      <c r="I31" s="372"/>
      <c r="J31" s="372"/>
      <c r="K31" s="374">
        <f t="shared" si="10"/>
        <v>1482</v>
      </c>
      <c r="L31" s="372">
        <f t="shared" si="10"/>
        <v>1778.4</v>
      </c>
      <c r="M31" s="394"/>
    </row>
    <row r="32" spans="1:13" ht="18.75" customHeight="1" x14ac:dyDescent="0.25">
      <c r="A32" s="359" t="s">
        <v>93</v>
      </c>
      <c r="B32" s="277" t="s">
        <v>669</v>
      </c>
      <c r="C32" s="375" t="s">
        <v>75</v>
      </c>
      <c r="D32" s="467">
        <v>1</v>
      </c>
      <c r="E32" s="379"/>
      <c r="F32" s="378"/>
      <c r="G32" s="378"/>
      <c r="H32" s="452">
        <v>4891.55</v>
      </c>
      <c r="I32" s="378">
        <f>ROUND(H32*D32,2)</f>
        <v>4891.55</v>
      </c>
      <c r="J32" s="378">
        <f>ROUND(I32*1.2,2)</f>
        <v>5869.86</v>
      </c>
      <c r="K32" s="379">
        <f t="shared" si="10"/>
        <v>4891.55</v>
      </c>
      <c r="L32" s="378">
        <f t="shared" si="10"/>
        <v>5869.86</v>
      </c>
      <c r="M32" s="394"/>
    </row>
    <row r="33" spans="1:15" ht="18.75" customHeight="1" x14ac:dyDescent="0.25">
      <c r="A33" s="369"/>
      <c r="B33" s="505" t="s">
        <v>665</v>
      </c>
      <c r="C33" s="380" t="s">
        <v>75</v>
      </c>
      <c r="D33" s="506">
        <f>11-1</f>
        <v>10</v>
      </c>
      <c r="E33" s="384">
        <v>5928</v>
      </c>
      <c r="F33" s="383">
        <f>ROUND(E33*D33,2)</f>
        <v>59280</v>
      </c>
      <c r="G33" s="383">
        <f>ROUND(F33*1.2,2)</f>
        <v>71136</v>
      </c>
      <c r="H33" s="384"/>
      <c r="I33" s="383"/>
      <c r="J33" s="383"/>
      <c r="K33" s="384">
        <f t="shared" si="10"/>
        <v>59280</v>
      </c>
      <c r="L33" s="383">
        <f t="shared" si="10"/>
        <v>71136</v>
      </c>
      <c r="M33" s="474" t="s">
        <v>869</v>
      </c>
    </row>
    <row r="34" spans="1:15" ht="18.75" customHeight="1" x14ac:dyDescent="0.25">
      <c r="A34" s="359"/>
      <c r="B34" s="507" t="s">
        <v>667</v>
      </c>
      <c r="C34" s="385" t="s">
        <v>75</v>
      </c>
      <c r="D34" s="508">
        <f>11-1</f>
        <v>10</v>
      </c>
      <c r="E34" s="389"/>
      <c r="F34" s="388"/>
      <c r="G34" s="388"/>
      <c r="H34" s="509">
        <v>16810.25</v>
      </c>
      <c r="I34" s="388">
        <f>ROUND(H34*D34,2)</f>
        <v>168102.5</v>
      </c>
      <c r="J34" s="388">
        <f>ROUND(I34*1.2,2)</f>
        <v>201723</v>
      </c>
      <c r="K34" s="389">
        <f t="shared" si="10"/>
        <v>168102.5</v>
      </c>
      <c r="L34" s="388">
        <f t="shared" si="10"/>
        <v>201723</v>
      </c>
      <c r="M34" s="474"/>
    </row>
    <row r="35" spans="1:15" ht="18.75" customHeight="1" x14ac:dyDescent="0.25">
      <c r="A35" s="369"/>
      <c r="B35" s="505" t="s">
        <v>668</v>
      </c>
      <c r="C35" s="380" t="s">
        <v>75</v>
      </c>
      <c r="D35" s="510">
        <f>43-1</f>
        <v>42</v>
      </c>
      <c r="E35" s="384">
        <v>1482</v>
      </c>
      <c r="F35" s="383">
        <f>ROUND(E35*D35,2)</f>
        <v>62244</v>
      </c>
      <c r="G35" s="383">
        <f>ROUND(F35*1.2,2)</f>
        <v>74692.800000000003</v>
      </c>
      <c r="H35" s="384"/>
      <c r="I35" s="383"/>
      <c r="J35" s="383"/>
      <c r="K35" s="384">
        <f t="shared" si="10"/>
        <v>62244</v>
      </c>
      <c r="L35" s="383">
        <f t="shared" si="10"/>
        <v>74692.800000000003</v>
      </c>
      <c r="M35" s="474" t="s">
        <v>870</v>
      </c>
    </row>
    <row r="36" spans="1:15" ht="18.75" customHeight="1" x14ac:dyDescent="0.25">
      <c r="A36" s="359"/>
      <c r="B36" s="507" t="s">
        <v>669</v>
      </c>
      <c r="C36" s="385" t="s">
        <v>75</v>
      </c>
      <c r="D36" s="508">
        <f>43-1</f>
        <v>42</v>
      </c>
      <c r="E36" s="389"/>
      <c r="F36" s="388"/>
      <c r="G36" s="388"/>
      <c r="H36" s="509">
        <v>4891.55</v>
      </c>
      <c r="I36" s="388">
        <f>ROUND(H36*D36,2)</f>
        <v>205445.1</v>
      </c>
      <c r="J36" s="388">
        <f>ROUND(I36*1.2,2)</f>
        <v>246534.12</v>
      </c>
      <c r="K36" s="389">
        <f t="shared" si="10"/>
        <v>205445.1</v>
      </c>
      <c r="L36" s="388">
        <f t="shared" si="10"/>
        <v>246534.12</v>
      </c>
      <c r="M36" s="394"/>
    </row>
    <row r="37" spans="1:15" ht="18.75" customHeight="1" x14ac:dyDescent="0.25">
      <c r="A37" s="359"/>
      <c r="B37" s="507" t="s">
        <v>461</v>
      </c>
      <c r="C37" s="385" t="s">
        <v>462</v>
      </c>
      <c r="D37" s="511">
        <f>120.15*20/16</f>
        <v>150.1875</v>
      </c>
      <c r="E37" s="389"/>
      <c r="F37" s="388"/>
      <c r="G37" s="388"/>
      <c r="H37" s="509">
        <v>237.5</v>
      </c>
      <c r="I37" s="388">
        <f t="shared" ref="I37:I38" si="11">ROUND(H37*D37,2)</f>
        <v>35669.53</v>
      </c>
      <c r="J37" s="388">
        <f t="shared" ref="J37:J42" si="12">ROUND(I37*1.2,2)</f>
        <v>42803.44</v>
      </c>
      <c r="K37" s="389">
        <f t="shared" si="10"/>
        <v>35669.53</v>
      </c>
      <c r="L37" s="388">
        <f t="shared" si="10"/>
        <v>42803.44</v>
      </c>
      <c r="M37" s="394"/>
    </row>
    <row r="38" spans="1:15" ht="18.75" customHeight="1" x14ac:dyDescent="0.25">
      <c r="A38" s="359"/>
      <c r="B38" s="507" t="s">
        <v>871</v>
      </c>
      <c r="C38" s="385" t="s">
        <v>171</v>
      </c>
      <c r="D38" s="511">
        <f>(120.15+43)</f>
        <v>163.15</v>
      </c>
      <c r="E38" s="389"/>
      <c r="F38" s="388"/>
      <c r="G38" s="388"/>
      <c r="H38" s="509">
        <v>296.39999999999998</v>
      </c>
      <c r="I38" s="388">
        <f t="shared" si="11"/>
        <v>48357.66</v>
      </c>
      <c r="J38" s="388">
        <f t="shared" si="12"/>
        <v>58029.19</v>
      </c>
      <c r="K38" s="389">
        <f t="shared" si="10"/>
        <v>48357.66</v>
      </c>
      <c r="L38" s="388">
        <f t="shared" si="10"/>
        <v>58029.19</v>
      </c>
      <c r="M38" s="394"/>
    </row>
    <row r="39" spans="1:15" ht="18.75" customHeight="1" x14ac:dyDescent="0.25">
      <c r="A39" s="369"/>
      <c r="B39" s="505" t="s">
        <v>872</v>
      </c>
      <c r="C39" s="380" t="s">
        <v>75</v>
      </c>
      <c r="D39" s="510">
        <v>14</v>
      </c>
      <c r="E39" s="384">
        <v>1007</v>
      </c>
      <c r="F39" s="383">
        <f>ROUND(E39*D39,2)</f>
        <v>14098</v>
      </c>
      <c r="G39" s="383">
        <f>ROUND(F39*1.2,2)</f>
        <v>16917.599999999999</v>
      </c>
      <c r="H39" s="384"/>
      <c r="I39" s="383"/>
      <c r="J39" s="383"/>
      <c r="K39" s="384">
        <f t="shared" si="10"/>
        <v>14098</v>
      </c>
      <c r="L39" s="383">
        <f t="shared" si="10"/>
        <v>16917.599999999999</v>
      </c>
      <c r="M39" s="394"/>
    </row>
    <row r="40" spans="1:15" ht="18.75" customHeight="1" x14ac:dyDescent="0.25">
      <c r="A40" s="359"/>
      <c r="B40" s="507" t="s">
        <v>873</v>
      </c>
      <c r="C40" s="385" t="s">
        <v>75</v>
      </c>
      <c r="D40" s="508">
        <v>14</v>
      </c>
      <c r="E40" s="389"/>
      <c r="F40" s="388"/>
      <c r="G40" s="388"/>
      <c r="H40" s="509">
        <v>2737.9</v>
      </c>
      <c r="I40" s="388">
        <f t="shared" ref="I40" si="13">ROUND(H40*D40,2)</f>
        <v>38330.6</v>
      </c>
      <c r="J40" s="388">
        <f t="shared" si="12"/>
        <v>45996.72</v>
      </c>
      <c r="K40" s="389">
        <f t="shared" si="10"/>
        <v>38330.6</v>
      </c>
      <c r="L40" s="388">
        <f t="shared" si="10"/>
        <v>45996.72</v>
      </c>
      <c r="M40" s="394"/>
    </row>
    <row r="41" spans="1:15" ht="30" x14ac:dyDescent="0.25">
      <c r="A41" s="369"/>
      <c r="B41" s="505" t="s">
        <v>874</v>
      </c>
      <c r="C41" s="380" t="s">
        <v>84</v>
      </c>
      <c r="D41" s="512">
        <v>0.02</v>
      </c>
      <c r="E41" s="384">
        <v>114974.89</v>
      </c>
      <c r="F41" s="383"/>
      <c r="G41" s="383"/>
      <c r="H41" s="384"/>
      <c r="I41" s="383"/>
      <c r="J41" s="383"/>
      <c r="K41" s="384"/>
      <c r="L41" s="383"/>
      <c r="M41" s="394"/>
    </row>
    <row r="42" spans="1:15" ht="18.75" customHeight="1" x14ac:dyDescent="0.25">
      <c r="A42" s="359"/>
      <c r="B42" s="507" t="s">
        <v>875</v>
      </c>
      <c r="C42" s="385" t="s">
        <v>84</v>
      </c>
      <c r="D42" s="513">
        <v>2.0799999999999999E-2</v>
      </c>
      <c r="E42" s="389"/>
      <c r="F42" s="388"/>
      <c r="G42" s="388"/>
      <c r="H42" s="509">
        <v>5415</v>
      </c>
      <c r="I42" s="388">
        <f t="shared" ref="I42" si="14">ROUND(H42*D42,2)</f>
        <v>112.63</v>
      </c>
      <c r="J42" s="388">
        <f t="shared" si="12"/>
        <v>135.16</v>
      </c>
      <c r="K42" s="389">
        <f t="shared" ref="K42:L42" si="15">F42+I42</f>
        <v>112.63</v>
      </c>
      <c r="L42" s="388">
        <f t="shared" si="15"/>
        <v>135.16</v>
      </c>
      <c r="M42" s="394"/>
    </row>
    <row r="43" spans="1:15" ht="18" customHeight="1" x14ac:dyDescent="0.25">
      <c r="A43" s="361"/>
      <c r="B43" s="479" t="s">
        <v>481</v>
      </c>
      <c r="C43" s="390"/>
      <c r="D43" s="391"/>
      <c r="E43" s="392"/>
      <c r="F43" s="393"/>
      <c r="G43" s="393"/>
      <c r="H43" s="392"/>
      <c r="I43" s="366"/>
      <c r="J43" s="366"/>
      <c r="K43" s="367"/>
      <c r="L43" s="366"/>
      <c r="M43" s="394"/>
    </row>
    <row r="44" spans="1:15" s="426" customFormat="1" ht="18" customHeight="1" x14ac:dyDescent="0.25">
      <c r="A44" s="418">
        <f>A31+1</f>
        <v>10</v>
      </c>
      <c r="B44" s="482" t="s">
        <v>752</v>
      </c>
      <c r="C44" s="418" t="s">
        <v>75</v>
      </c>
      <c r="D44" s="514">
        <v>24</v>
      </c>
      <c r="E44" s="431">
        <v>10239.1</v>
      </c>
      <c r="F44" s="430">
        <f>ROUND(E44*D44,2)</f>
        <v>245738.4</v>
      </c>
      <c r="G44" s="430">
        <f t="shared" ref="G44:G45" si="16">ROUND(F44*1.2,2)</f>
        <v>294886.08</v>
      </c>
      <c r="H44" s="431"/>
      <c r="I44" s="430"/>
      <c r="J44" s="430"/>
      <c r="K44" s="431">
        <f t="shared" ref="K44:L59" si="17">F44+I44</f>
        <v>245738.4</v>
      </c>
      <c r="L44" s="430">
        <f t="shared" si="17"/>
        <v>294886.08</v>
      </c>
      <c r="M44" s="425"/>
      <c r="N44" s="425" t="s">
        <v>1250</v>
      </c>
      <c r="O44" s="819">
        <f>L44-D44*1000</f>
        <v>270886.08</v>
      </c>
    </row>
    <row r="45" spans="1:15" ht="35.25" customHeight="1" x14ac:dyDescent="0.25">
      <c r="A45" s="380"/>
      <c r="B45" s="505" t="s">
        <v>876</v>
      </c>
      <c r="C45" s="380" t="s">
        <v>72</v>
      </c>
      <c r="D45" s="515">
        <v>66</v>
      </c>
      <c r="E45" s="384">
        <v>2175.65</v>
      </c>
      <c r="F45" s="383">
        <f>ROUND(E45*D45,2)</f>
        <v>143592.9</v>
      </c>
      <c r="G45" s="383">
        <f t="shared" si="16"/>
        <v>172311.48</v>
      </c>
      <c r="H45" s="384"/>
      <c r="I45" s="383"/>
      <c r="J45" s="383"/>
      <c r="K45" s="384">
        <f t="shared" si="17"/>
        <v>143592.9</v>
      </c>
      <c r="L45" s="383">
        <f t="shared" si="17"/>
        <v>172311.48</v>
      </c>
      <c r="M45" s="394"/>
    </row>
    <row r="46" spans="1:15" ht="18" customHeight="1" x14ac:dyDescent="0.25">
      <c r="A46" s="361"/>
      <c r="B46" s="507" t="s">
        <v>877</v>
      </c>
      <c r="C46" s="385" t="s">
        <v>72</v>
      </c>
      <c r="D46" s="508">
        <v>66</v>
      </c>
      <c r="E46" s="389"/>
      <c r="F46" s="388"/>
      <c r="G46" s="388"/>
      <c r="H46" s="509">
        <v>1382.25</v>
      </c>
      <c r="I46" s="388">
        <f t="shared" ref="I46" si="18">ROUND(H46*D46,2)</f>
        <v>91228.5</v>
      </c>
      <c r="J46" s="388">
        <f t="shared" ref="J46:J66" si="19">ROUND(I46*1.2,2)</f>
        <v>109474.2</v>
      </c>
      <c r="K46" s="389">
        <f t="shared" si="17"/>
        <v>91228.5</v>
      </c>
      <c r="L46" s="388">
        <f t="shared" si="17"/>
        <v>109474.2</v>
      </c>
      <c r="M46" s="394"/>
    </row>
    <row r="47" spans="1:15" ht="18" customHeight="1" x14ac:dyDescent="0.25">
      <c r="A47" s="369"/>
      <c r="B47" s="505" t="s">
        <v>878</v>
      </c>
      <c r="C47" s="380" t="s">
        <v>75</v>
      </c>
      <c r="D47" s="515">
        <v>12</v>
      </c>
      <c r="E47" s="384">
        <v>4446</v>
      </c>
      <c r="F47" s="383">
        <f>ROUND(E47*D47,2)</f>
        <v>53352</v>
      </c>
      <c r="G47" s="383">
        <f t="shared" ref="G47" si="20">ROUND(F47*1.2,2)</f>
        <v>64022.400000000001</v>
      </c>
      <c r="H47" s="384"/>
      <c r="I47" s="383"/>
      <c r="J47" s="383"/>
      <c r="K47" s="384">
        <f t="shared" si="17"/>
        <v>53352</v>
      </c>
      <c r="L47" s="383">
        <f t="shared" si="17"/>
        <v>64022.400000000001</v>
      </c>
      <c r="M47" s="394"/>
    </row>
    <row r="48" spans="1:15" ht="18" customHeight="1" x14ac:dyDescent="0.25">
      <c r="A48" s="361"/>
      <c r="B48" s="507" t="s">
        <v>879</v>
      </c>
      <c r="C48" s="385" t="s">
        <v>75</v>
      </c>
      <c r="D48" s="508">
        <v>12</v>
      </c>
      <c r="E48" s="389"/>
      <c r="F48" s="388"/>
      <c r="G48" s="388"/>
      <c r="H48" s="509">
        <v>3705</v>
      </c>
      <c r="I48" s="388">
        <f t="shared" ref="I48" si="21">ROUND(H48*D48,2)</f>
        <v>44460</v>
      </c>
      <c r="J48" s="388">
        <f t="shared" si="19"/>
        <v>53352</v>
      </c>
      <c r="K48" s="389">
        <f t="shared" si="17"/>
        <v>44460</v>
      </c>
      <c r="L48" s="388">
        <f t="shared" si="17"/>
        <v>53352</v>
      </c>
      <c r="M48" s="394"/>
    </row>
    <row r="49" spans="1:13" ht="35.25" customHeight="1" x14ac:dyDescent="0.25">
      <c r="A49" s="380"/>
      <c r="B49" s="505" t="s">
        <v>876</v>
      </c>
      <c r="C49" s="380" t="s">
        <v>72</v>
      </c>
      <c r="D49" s="515">
        <v>49</v>
      </c>
      <c r="E49" s="384">
        <v>2175.65</v>
      </c>
      <c r="F49" s="383">
        <f>ROUND(E49*D49,2)</f>
        <v>106606.85</v>
      </c>
      <c r="G49" s="383">
        <f t="shared" ref="G49" si="22">ROUND(F49*1.2,2)</f>
        <v>127928.22</v>
      </c>
      <c r="H49" s="384"/>
      <c r="I49" s="383"/>
      <c r="J49" s="383"/>
      <c r="K49" s="384">
        <f t="shared" si="17"/>
        <v>106606.85</v>
      </c>
      <c r="L49" s="383">
        <f t="shared" si="17"/>
        <v>127928.22</v>
      </c>
      <c r="M49" s="394"/>
    </row>
    <row r="50" spans="1:13" ht="18" customHeight="1" x14ac:dyDescent="0.25">
      <c r="A50" s="361"/>
      <c r="B50" s="507" t="s">
        <v>877</v>
      </c>
      <c r="C50" s="385" t="s">
        <v>72</v>
      </c>
      <c r="D50" s="508">
        <v>49</v>
      </c>
      <c r="E50" s="389"/>
      <c r="F50" s="388"/>
      <c r="G50" s="388"/>
      <c r="H50" s="509">
        <v>1382.25</v>
      </c>
      <c r="I50" s="388">
        <f t="shared" ref="I50" si="23">ROUND(H50*D50,2)</f>
        <v>67730.25</v>
      </c>
      <c r="J50" s="388">
        <f t="shared" si="19"/>
        <v>81276.3</v>
      </c>
      <c r="K50" s="389">
        <f t="shared" si="17"/>
        <v>67730.25</v>
      </c>
      <c r="L50" s="388">
        <f t="shared" si="17"/>
        <v>81276.3</v>
      </c>
      <c r="M50" s="394"/>
    </row>
    <row r="51" spans="1:13" ht="45" x14ac:dyDescent="0.25">
      <c r="A51" s="380"/>
      <c r="B51" s="505" t="s">
        <v>880</v>
      </c>
      <c r="C51" s="380" t="s">
        <v>72</v>
      </c>
      <c r="D51" s="381">
        <v>7.81</v>
      </c>
      <c r="E51" s="384">
        <v>932.21</v>
      </c>
      <c r="F51" s="383">
        <f>ROUND(E51*D51,2)</f>
        <v>7280.56</v>
      </c>
      <c r="G51" s="383">
        <f t="shared" ref="G51" si="24">ROUND(F51*1.2,2)</f>
        <v>8736.67</v>
      </c>
      <c r="H51" s="384"/>
      <c r="I51" s="383"/>
      <c r="J51" s="383"/>
      <c r="K51" s="384">
        <f t="shared" si="17"/>
        <v>7280.56</v>
      </c>
      <c r="L51" s="383">
        <f t="shared" si="17"/>
        <v>8736.67</v>
      </c>
      <c r="M51" s="394"/>
    </row>
    <row r="52" spans="1:13" ht="18" customHeight="1" x14ac:dyDescent="0.25">
      <c r="A52" s="361"/>
      <c r="B52" s="507" t="s">
        <v>881</v>
      </c>
      <c r="C52" s="385" t="s">
        <v>72</v>
      </c>
      <c r="D52" s="511">
        <v>7.81</v>
      </c>
      <c r="E52" s="389"/>
      <c r="F52" s="388"/>
      <c r="G52" s="388"/>
      <c r="H52" s="509">
        <v>741</v>
      </c>
      <c r="I52" s="388">
        <f t="shared" ref="I52" si="25">ROUND(H52*D52,2)</f>
        <v>5787.21</v>
      </c>
      <c r="J52" s="388">
        <f t="shared" si="19"/>
        <v>6944.65</v>
      </c>
      <c r="K52" s="389">
        <f t="shared" si="17"/>
        <v>5787.21</v>
      </c>
      <c r="L52" s="388">
        <f t="shared" si="17"/>
        <v>6944.65</v>
      </c>
      <c r="M52" s="394"/>
    </row>
    <row r="53" spans="1:13" ht="18" customHeight="1" x14ac:dyDescent="0.25">
      <c r="A53" s="369"/>
      <c r="B53" s="505" t="s">
        <v>882</v>
      </c>
      <c r="C53" s="380" t="s">
        <v>75</v>
      </c>
      <c r="D53" s="515">
        <v>6</v>
      </c>
      <c r="E53" s="384">
        <v>1279.96</v>
      </c>
      <c r="F53" s="383">
        <f>ROUND(E53*D53,2)</f>
        <v>7679.76</v>
      </c>
      <c r="G53" s="383">
        <f t="shared" ref="G53" si="26">ROUND(F53*1.2,2)</f>
        <v>9215.7099999999991</v>
      </c>
      <c r="H53" s="384"/>
      <c r="I53" s="383"/>
      <c r="J53" s="383"/>
      <c r="K53" s="384">
        <f t="shared" si="17"/>
        <v>7679.76</v>
      </c>
      <c r="L53" s="383">
        <f t="shared" si="17"/>
        <v>9215.7099999999991</v>
      </c>
      <c r="M53" s="394"/>
    </row>
    <row r="54" spans="1:13" ht="18" customHeight="1" x14ac:dyDescent="0.25">
      <c r="A54" s="361"/>
      <c r="B54" s="507" t="s">
        <v>883</v>
      </c>
      <c r="C54" s="385" t="s">
        <v>75</v>
      </c>
      <c r="D54" s="508">
        <v>6</v>
      </c>
      <c r="E54" s="389"/>
      <c r="F54" s="388"/>
      <c r="G54" s="388"/>
      <c r="H54" s="509">
        <v>570</v>
      </c>
      <c r="I54" s="388">
        <f t="shared" ref="I54" si="27">ROUND(H54*D54,2)</f>
        <v>3420</v>
      </c>
      <c r="J54" s="388">
        <f t="shared" si="19"/>
        <v>4104</v>
      </c>
      <c r="K54" s="389">
        <f t="shared" si="17"/>
        <v>3420</v>
      </c>
      <c r="L54" s="388">
        <f t="shared" si="17"/>
        <v>4104</v>
      </c>
      <c r="M54" s="394"/>
    </row>
    <row r="55" spans="1:13" ht="30" x14ac:dyDescent="0.25">
      <c r="A55" s="380"/>
      <c r="B55" s="505" t="s">
        <v>884</v>
      </c>
      <c r="C55" s="380" t="s">
        <v>72</v>
      </c>
      <c r="D55" s="516">
        <v>8.5</v>
      </c>
      <c r="E55" s="384">
        <v>872.2</v>
      </c>
      <c r="F55" s="383">
        <f>ROUND(E55*D55,2)</f>
        <v>7413.7</v>
      </c>
      <c r="G55" s="383">
        <f t="shared" ref="G55" si="28">ROUND(F55*1.2,2)</f>
        <v>8896.44</v>
      </c>
      <c r="H55" s="384"/>
      <c r="I55" s="383"/>
      <c r="J55" s="383"/>
      <c r="K55" s="384">
        <f t="shared" si="17"/>
        <v>7413.7</v>
      </c>
      <c r="L55" s="383">
        <f t="shared" si="17"/>
        <v>8896.44</v>
      </c>
      <c r="M55" s="394"/>
    </row>
    <row r="56" spans="1:13" ht="18" customHeight="1" x14ac:dyDescent="0.25">
      <c r="A56" s="361"/>
      <c r="B56" s="507" t="s">
        <v>885</v>
      </c>
      <c r="C56" s="385" t="s">
        <v>72</v>
      </c>
      <c r="D56" s="517">
        <v>8.5</v>
      </c>
      <c r="E56" s="389"/>
      <c r="F56" s="388"/>
      <c r="G56" s="388"/>
      <c r="H56" s="509">
        <v>492.1</v>
      </c>
      <c r="I56" s="388">
        <f t="shared" ref="I56" si="29">ROUND(H56*D56,2)</f>
        <v>4182.8500000000004</v>
      </c>
      <c r="J56" s="388">
        <f t="shared" si="19"/>
        <v>5019.42</v>
      </c>
      <c r="K56" s="389">
        <f t="shared" si="17"/>
        <v>4182.8500000000004</v>
      </c>
      <c r="L56" s="388">
        <f t="shared" si="17"/>
        <v>5019.42</v>
      </c>
      <c r="M56" s="394"/>
    </row>
    <row r="57" spans="1:13" ht="18" customHeight="1" x14ac:dyDescent="0.25">
      <c r="A57" s="369"/>
      <c r="B57" s="505" t="s">
        <v>886</v>
      </c>
      <c r="C57" s="380" t="s">
        <v>75</v>
      </c>
      <c r="D57" s="515">
        <v>8</v>
      </c>
      <c r="E57" s="384">
        <v>261.61</v>
      </c>
      <c r="F57" s="383">
        <f>ROUND(E57*D57,2)</f>
        <v>2092.88</v>
      </c>
      <c r="G57" s="383">
        <f t="shared" ref="G57" si="30">ROUND(F57*1.2,2)</f>
        <v>2511.46</v>
      </c>
      <c r="H57" s="384"/>
      <c r="I57" s="383"/>
      <c r="J57" s="383"/>
      <c r="K57" s="384">
        <f t="shared" si="17"/>
        <v>2092.88</v>
      </c>
      <c r="L57" s="383">
        <f t="shared" si="17"/>
        <v>2511.46</v>
      </c>
      <c r="M57" s="394"/>
    </row>
    <row r="58" spans="1:13" ht="18" customHeight="1" x14ac:dyDescent="0.25">
      <c r="A58" s="361"/>
      <c r="B58" s="507" t="s">
        <v>887</v>
      </c>
      <c r="C58" s="385" t="s">
        <v>75</v>
      </c>
      <c r="D58" s="508">
        <v>8</v>
      </c>
      <c r="E58" s="389"/>
      <c r="F58" s="388"/>
      <c r="G58" s="388"/>
      <c r="H58" s="509">
        <v>156.75</v>
      </c>
      <c r="I58" s="388">
        <f t="shared" ref="I58" si="31">ROUND(H58*D58,2)</f>
        <v>1254</v>
      </c>
      <c r="J58" s="388">
        <f t="shared" si="19"/>
        <v>1504.8</v>
      </c>
      <c r="K58" s="389">
        <f t="shared" si="17"/>
        <v>1254</v>
      </c>
      <c r="L58" s="388">
        <f t="shared" si="17"/>
        <v>1504.8</v>
      </c>
      <c r="M58" s="394"/>
    </row>
    <row r="59" spans="1:13" ht="30" x14ac:dyDescent="0.25">
      <c r="A59" s="369"/>
      <c r="B59" s="505" t="s">
        <v>888</v>
      </c>
      <c r="C59" s="380" t="s">
        <v>72</v>
      </c>
      <c r="D59" s="516">
        <v>1.4</v>
      </c>
      <c r="E59" s="384">
        <v>659.22</v>
      </c>
      <c r="F59" s="383">
        <f>ROUND(E59*D59,2)</f>
        <v>922.91</v>
      </c>
      <c r="G59" s="383">
        <f t="shared" ref="G59" si="32">ROUND(F59*1.2,2)</f>
        <v>1107.49</v>
      </c>
      <c r="H59" s="384"/>
      <c r="I59" s="383"/>
      <c r="J59" s="383"/>
      <c r="K59" s="384">
        <f t="shared" si="17"/>
        <v>922.91</v>
      </c>
      <c r="L59" s="383">
        <f t="shared" si="17"/>
        <v>1107.49</v>
      </c>
      <c r="M59" s="394"/>
    </row>
    <row r="60" spans="1:13" x14ac:dyDescent="0.25">
      <c r="A60" s="361"/>
      <c r="B60" s="507" t="s">
        <v>889</v>
      </c>
      <c r="C60" s="385" t="s">
        <v>72</v>
      </c>
      <c r="D60" s="517">
        <v>1.4</v>
      </c>
      <c r="E60" s="389"/>
      <c r="F60" s="388"/>
      <c r="G60" s="388"/>
      <c r="H60" s="509">
        <v>3135</v>
      </c>
      <c r="I60" s="388">
        <f t="shared" ref="I60" si="33">ROUND(H60*D60,2)</f>
        <v>4389</v>
      </c>
      <c r="J60" s="388">
        <f t="shared" si="19"/>
        <v>5266.8</v>
      </c>
      <c r="K60" s="389">
        <f t="shared" ref="K60:L69" si="34">F60+I60</f>
        <v>4389</v>
      </c>
      <c r="L60" s="388">
        <f t="shared" si="34"/>
        <v>5266.8</v>
      </c>
      <c r="M60" s="394"/>
    </row>
    <row r="61" spans="1:13" ht="30" x14ac:dyDescent="0.25">
      <c r="A61" s="369"/>
      <c r="B61" s="505" t="s">
        <v>890</v>
      </c>
      <c r="C61" s="380" t="s">
        <v>75</v>
      </c>
      <c r="D61" s="515">
        <v>4</v>
      </c>
      <c r="E61" s="384">
        <v>12639.75</v>
      </c>
      <c r="F61" s="383">
        <f>ROUND(E61*D61,2)</f>
        <v>50559</v>
      </c>
      <c r="G61" s="383">
        <f t="shared" ref="G61" si="35">ROUND(F61*1.2,2)</f>
        <v>60670.8</v>
      </c>
      <c r="H61" s="384"/>
      <c r="I61" s="383"/>
      <c r="J61" s="383"/>
      <c r="K61" s="384">
        <f t="shared" si="34"/>
        <v>50559</v>
      </c>
      <c r="L61" s="383">
        <f t="shared" si="34"/>
        <v>60670.8</v>
      </c>
      <c r="M61" s="394"/>
    </row>
    <row r="62" spans="1:13" ht="30" x14ac:dyDescent="0.25">
      <c r="A62" s="361"/>
      <c r="B62" s="507" t="s">
        <v>891</v>
      </c>
      <c r="C62" s="385" t="s">
        <v>75</v>
      </c>
      <c r="D62" s="508">
        <v>4</v>
      </c>
      <c r="E62" s="389"/>
      <c r="F62" s="388"/>
      <c r="G62" s="388"/>
      <c r="H62" s="518">
        <v>45970.5</v>
      </c>
      <c r="I62" s="388">
        <f t="shared" ref="I62" si="36">ROUND(H62*D62,2)</f>
        <v>183882</v>
      </c>
      <c r="J62" s="388">
        <f t="shared" si="19"/>
        <v>220658.4</v>
      </c>
      <c r="K62" s="389">
        <f t="shared" si="34"/>
        <v>183882</v>
      </c>
      <c r="L62" s="388">
        <f t="shared" si="34"/>
        <v>220658.4</v>
      </c>
      <c r="M62" s="394"/>
    </row>
    <row r="63" spans="1:13" ht="30" x14ac:dyDescent="0.25">
      <c r="A63" s="369"/>
      <c r="B63" s="505" t="s">
        <v>892</v>
      </c>
      <c r="C63" s="380" t="s">
        <v>75</v>
      </c>
      <c r="D63" s="515">
        <v>2</v>
      </c>
      <c r="E63" s="384">
        <v>7298.85</v>
      </c>
      <c r="F63" s="383">
        <f>ROUND(E63*D63,2)</f>
        <v>14597.7</v>
      </c>
      <c r="G63" s="383">
        <f t="shared" ref="G63" si="37">ROUND(F63*1.2,2)</f>
        <v>17517.240000000002</v>
      </c>
      <c r="H63" s="384"/>
      <c r="I63" s="383"/>
      <c r="J63" s="383"/>
      <c r="K63" s="384">
        <f t="shared" si="34"/>
        <v>14597.7</v>
      </c>
      <c r="L63" s="383">
        <f t="shared" si="34"/>
        <v>17517.240000000002</v>
      </c>
      <c r="M63" s="394"/>
    </row>
    <row r="64" spans="1:13" ht="30" x14ac:dyDescent="0.25">
      <c r="A64" s="361"/>
      <c r="B64" s="507" t="s">
        <v>893</v>
      </c>
      <c r="C64" s="385" t="s">
        <v>75</v>
      </c>
      <c r="D64" s="508">
        <v>2</v>
      </c>
      <c r="E64" s="389"/>
      <c r="F64" s="388"/>
      <c r="G64" s="388"/>
      <c r="H64" s="518">
        <v>8930</v>
      </c>
      <c r="I64" s="388">
        <f t="shared" ref="I64" si="38">ROUND(H64*D64,2)</f>
        <v>17860</v>
      </c>
      <c r="J64" s="388">
        <f t="shared" si="19"/>
        <v>21432</v>
      </c>
      <c r="K64" s="389">
        <f t="shared" si="34"/>
        <v>17860</v>
      </c>
      <c r="L64" s="388">
        <f t="shared" si="34"/>
        <v>21432</v>
      </c>
      <c r="M64" s="394"/>
    </row>
    <row r="65" spans="1:13" ht="30" x14ac:dyDescent="0.25">
      <c r="A65" s="369"/>
      <c r="B65" s="505" t="s">
        <v>894</v>
      </c>
      <c r="C65" s="380" t="s">
        <v>75</v>
      </c>
      <c r="D65" s="515">
        <v>4</v>
      </c>
      <c r="E65" s="384">
        <v>4557.1499999999996</v>
      </c>
      <c r="F65" s="383">
        <f>ROUND(E65*D65,2)</f>
        <v>18228.599999999999</v>
      </c>
      <c r="G65" s="383">
        <f t="shared" ref="G65" si="39">ROUND(F65*1.2,2)</f>
        <v>21874.32</v>
      </c>
      <c r="H65" s="384"/>
      <c r="I65" s="383"/>
      <c r="J65" s="383"/>
      <c r="K65" s="384">
        <f t="shared" si="34"/>
        <v>18228.599999999999</v>
      </c>
      <c r="L65" s="383">
        <f t="shared" si="34"/>
        <v>21874.32</v>
      </c>
      <c r="M65" s="394"/>
    </row>
    <row r="66" spans="1:13" ht="30" x14ac:dyDescent="0.25">
      <c r="A66" s="361"/>
      <c r="B66" s="507" t="s">
        <v>895</v>
      </c>
      <c r="C66" s="385" t="s">
        <v>75</v>
      </c>
      <c r="D66" s="508">
        <v>4</v>
      </c>
      <c r="E66" s="389"/>
      <c r="F66" s="388"/>
      <c r="G66" s="388"/>
      <c r="H66" s="518">
        <v>3895</v>
      </c>
      <c r="I66" s="388">
        <f t="shared" ref="I66" si="40">ROUND(H66*D66,2)</f>
        <v>15580</v>
      </c>
      <c r="J66" s="388">
        <f t="shared" si="19"/>
        <v>18696</v>
      </c>
      <c r="K66" s="389">
        <f t="shared" si="34"/>
        <v>15580</v>
      </c>
      <c r="L66" s="388">
        <f t="shared" si="34"/>
        <v>18696</v>
      </c>
      <c r="M66" s="394"/>
    </row>
    <row r="67" spans="1:13" ht="18" customHeight="1" x14ac:dyDescent="0.25">
      <c r="A67" s="369"/>
      <c r="B67" s="505" t="s">
        <v>896</v>
      </c>
      <c r="C67" s="380" t="s">
        <v>75</v>
      </c>
      <c r="D67" s="515">
        <v>1</v>
      </c>
      <c r="E67" s="384">
        <v>3280.35</v>
      </c>
      <c r="F67" s="383">
        <f>ROUND(E67*D67,2)</f>
        <v>3280.35</v>
      </c>
      <c r="G67" s="383">
        <f t="shared" ref="G67" si="41">ROUND(F67*1.2,2)</f>
        <v>3936.42</v>
      </c>
      <c r="H67" s="384"/>
      <c r="I67" s="383"/>
      <c r="J67" s="383"/>
      <c r="K67" s="384">
        <f t="shared" si="34"/>
        <v>3280.35</v>
      </c>
      <c r="L67" s="383">
        <f t="shared" si="34"/>
        <v>3936.42</v>
      </c>
      <c r="M67" s="394"/>
    </row>
    <row r="68" spans="1:13" x14ac:dyDescent="0.25">
      <c r="A68" s="361"/>
      <c r="B68" s="507" t="s">
        <v>897</v>
      </c>
      <c r="C68" s="385" t="s">
        <v>75</v>
      </c>
      <c r="D68" s="508">
        <v>1</v>
      </c>
      <c r="E68" s="389"/>
      <c r="F68" s="388"/>
      <c r="G68" s="388"/>
      <c r="H68" s="518">
        <v>6175</v>
      </c>
      <c r="I68" s="388">
        <f t="shared" ref="I68:I69" si="42">ROUND(H68*D68,2)</f>
        <v>6175</v>
      </c>
      <c r="J68" s="388">
        <f t="shared" ref="J68:J69" si="43">ROUND(I68*1.2,2)</f>
        <v>7410</v>
      </c>
      <c r="K68" s="389">
        <f t="shared" si="34"/>
        <v>6175</v>
      </c>
      <c r="L68" s="388">
        <f t="shared" si="34"/>
        <v>7410</v>
      </c>
      <c r="M68" s="394"/>
    </row>
    <row r="69" spans="1:13" ht="18" customHeight="1" x14ac:dyDescent="0.25">
      <c r="A69" s="361"/>
      <c r="B69" s="507" t="s">
        <v>898</v>
      </c>
      <c r="C69" s="385" t="s">
        <v>75</v>
      </c>
      <c r="D69" s="508">
        <v>1</v>
      </c>
      <c r="E69" s="389"/>
      <c r="F69" s="388"/>
      <c r="G69" s="388"/>
      <c r="H69" s="518">
        <v>8550</v>
      </c>
      <c r="I69" s="388">
        <f t="shared" si="42"/>
        <v>8550</v>
      </c>
      <c r="J69" s="388">
        <f t="shared" si="43"/>
        <v>10260</v>
      </c>
      <c r="K69" s="389">
        <f t="shared" si="34"/>
        <v>8550</v>
      </c>
      <c r="L69" s="388">
        <f t="shared" si="34"/>
        <v>10260</v>
      </c>
      <c r="M69" s="394"/>
    </row>
    <row r="70" spans="1:13" ht="18" customHeight="1" x14ac:dyDescent="0.25">
      <c r="A70" s="361"/>
      <c r="B70" s="479" t="s">
        <v>899</v>
      </c>
      <c r="C70" s="390"/>
      <c r="D70" s="391"/>
      <c r="E70" s="392"/>
      <c r="F70" s="393"/>
      <c r="G70" s="393"/>
      <c r="H70" s="392"/>
      <c r="I70" s="366"/>
      <c r="J70" s="366"/>
      <c r="K70" s="367"/>
      <c r="L70" s="366"/>
      <c r="M70" s="394"/>
    </row>
    <row r="71" spans="1:13" ht="30" customHeight="1" x14ac:dyDescent="0.25">
      <c r="A71" s="404">
        <f>A44+1</f>
        <v>11</v>
      </c>
      <c r="B71" s="209" t="s">
        <v>757</v>
      </c>
      <c r="C71" s="404" t="s">
        <v>84</v>
      </c>
      <c r="D71" s="405">
        <v>5.25</v>
      </c>
      <c r="E71" s="409">
        <v>80533.5</v>
      </c>
      <c r="F71" s="407">
        <f>ROUND(E71*D71,2)</f>
        <v>422800.88</v>
      </c>
      <c r="G71" s="407">
        <f t="shared" ref="G71" si="44">ROUND(F71*1.2,2)</f>
        <v>507361.06</v>
      </c>
      <c r="H71" s="409"/>
      <c r="I71" s="407"/>
      <c r="J71" s="407"/>
      <c r="K71" s="409">
        <f t="shared" ref="K71:L76" si="45">F71+I71</f>
        <v>422800.88</v>
      </c>
      <c r="L71" s="407">
        <f t="shared" si="45"/>
        <v>507361.06</v>
      </c>
      <c r="M71" s="394"/>
    </row>
    <row r="72" spans="1:13" ht="21" customHeight="1" x14ac:dyDescent="0.25">
      <c r="A72" s="359" t="s">
        <v>99</v>
      </c>
      <c r="B72" s="277" t="s">
        <v>698</v>
      </c>
      <c r="C72" s="375" t="s">
        <v>84</v>
      </c>
      <c r="D72" s="378">
        <v>5.25</v>
      </c>
      <c r="E72" s="377"/>
      <c r="F72" s="378"/>
      <c r="G72" s="378"/>
      <c r="H72" s="379">
        <f>ROUND(4616/1.2*1.15,2)</f>
        <v>4423.67</v>
      </c>
      <c r="I72" s="378">
        <f>ROUND(H72*D72,2)</f>
        <v>23224.27</v>
      </c>
      <c r="J72" s="378">
        <f>ROUND(I72*1.2,2)</f>
        <v>27869.119999999999</v>
      </c>
      <c r="K72" s="379">
        <f t="shared" si="45"/>
        <v>23224.27</v>
      </c>
      <c r="L72" s="378">
        <f t="shared" si="45"/>
        <v>27869.119999999999</v>
      </c>
      <c r="M72" s="394" t="s">
        <v>143</v>
      </c>
    </row>
    <row r="73" spans="1:13" ht="21" customHeight="1" x14ac:dyDescent="0.25">
      <c r="A73" s="359" t="s">
        <v>900</v>
      </c>
      <c r="B73" s="277" t="s">
        <v>716</v>
      </c>
      <c r="C73" s="375" t="s">
        <v>80</v>
      </c>
      <c r="D73" s="378">
        <f>53.37*78.5/1000</f>
        <v>4.1895449999999999</v>
      </c>
      <c r="E73" s="377"/>
      <c r="F73" s="378"/>
      <c r="G73" s="378"/>
      <c r="H73" s="379">
        <f>ROUND(105190/1.2*1.15,2)</f>
        <v>100807.08</v>
      </c>
      <c r="I73" s="378">
        <f>ROUND(H73*D73,2)</f>
        <v>422335.8</v>
      </c>
      <c r="J73" s="378">
        <f>ROUND(I73*1.2,2)</f>
        <v>506802.96</v>
      </c>
      <c r="K73" s="379">
        <f t="shared" si="45"/>
        <v>422335.8</v>
      </c>
      <c r="L73" s="378">
        <f t="shared" si="45"/>
        <v>506802.96</v>
      </c>
    </row>
    <row r="74" spans="1:13" ht="30" customHeight="1" x14ac:dyDescent="0.25">
      <c r="A74" s="404"/>
      <c r="B74" s="519" t="s">
        <v>757</v>
      </c>
      <c r="C74" s="396" t="s">
        <v>84</v>
      </c>
      <c r="D74" s="397">
        <f>6.25-5.25</f>
        <v>1</v>
      </c>
      <c r="E74" s="399">
        <v>80533.5</v>
      </c>
      <c r="F74" s="398">
        <f>ROUND(E74*D74,2)</f>
        <v>80533.5</v>
      </c>
      <c r="G74" s="398">
        <f t="shared" ref="G74" si="46">ROUND(F74*1.2,2)</f>
        <v>96640.2</v>
      </c>
      <c r="H74" s="399"/>
      <c r="I74" s="398"/>
      <c r="J74" s="398"/>
      <c r="K74" s="399">
        <f t="shared" si="45"/>
        <v>80533.5</v>
      </c>
      <c r="L74" s="398">
        <f t="shared" si="45"/>
        <v>96640.2</v>
      </c>
      <c r="M74" s="474" t="s">
        <v>901</v>
      </c>
    </row>
    <row r="75" spans="1:13" ht="21" customHeight="1" x14ac:dyDescent="0.25">
      <c r="A75" s="359"/>
      <c r="B75" s="507" t="s">
        <v>698</v>
      </c>
      <c r="C75" s="385" t="s">
        <v>84</v>
      </c>
      <c r="D75" s="388">
        <f>6.75-5.25</f>
        <v>1.5</v>
      </c>
      <c r="E75" s="387"/>
      <c r="F75" s="388"/>
      <c r="G75" s="388"/>
      <c r="H75" s="389">
        <f>ROUND(4616/1.2*1.15,2)</f>
        <v>4423.67</v>
      </c>
      <c r="I75" s="388">
        <f>ROUND(H75*D75,2)</f>
        <v>6635.51</v>
      </c>
      <c r="J75" s="388">
        <f>ROUND(I75*1.2,2)</f>
        <v>7962.61</v>
      </c>
      <c r="K75" s="389">
        <f t="shared" si="45"/>
        <v>6635.51</v>
      </c>
      <c r="L75" s="388">
        <f t="shared" si="45"/>
        <v>7962.61</v>
      </c>
      <c r="M75" s="474" t="s">
        <v>902</v>
      </c>
    </row>
    <row r="76" spans="1:13" ht="21" customHeight="1" x14ac:dyDescent="0.25">
      <c r="A76" s="359"/>
      <c r="B76" s="507" t="s">
        <v>716</v>
      </c>
      <c r="C76" s="385" t="s">
        <v>80</v>
      </c>
      <c r="D76" s="388">
        <f>134.8954*78.5/1000</f>
        <v>10.5892889</v>
      </c>
      <c r="E76" s="387"/>
      <c r="F76" s="388"/>
      <c r="G76" s="388"/>
      <c r="H76" s="389">
        <f>ROUND(105190/1.2*1.15,2)</f>
        <v>100807.08</v>
      </c>
      <c r="I76" s="388">
        <f>ROUND(H76*D76,2)</f>
        <v>1067475.29</v>
      </c>
      <c r="J76" s="388">
        <f>ROUND(I76*1.2,2)</f>
        <v>1280970.3500000001</v>
      </c>
      <c r="K76" s="389">
        <f t="shared" si="45"/>
        <v>1067475.29</v>
      </c>
      <c r="L76" s="388">
        <f t="shared" si="45"/>
        <v>1280970.3500000001</v>
      </c>
    </row>
    <row r="77" spans="1:13" ht="18" customHeight="1" x14ac:dyDescent="0.25">
      <c r="A77" s="361"/>
      <c r="B77" s="479" t="s">
        <v>903</v>
      </c>
      <c r="C77" s="390"/>
      <c r="D77" s="391"/>
      <c r="E77" s="392"/>
      <c r="F77" s="393"/>
      <c r="G77" s="393"/>
      <c r="H77" s="392"/>
      <c r="I77" s="366"/>
      <c r="J77" s="366"/>
      <c r="K77" s="367"/>
      <c r="L77" s="366"/>
      <c r="M77" s="394"/>
    </row>
    <row r="78" spans="1:13" s="401" customFormat="1" ht="22.5" customHeight="1" x14ac:dyDescent="0.25">
      <c r="A78" s="520">
        <f>A71+1</f>
        <v>12</v>
      </c>
      <c r="B78" s="18" t="s">
        <v>904</v>
      </c>
      <c r="C78" s="369" t="s">
        <v>77</v>
      </c>
      <c r="D78" s="370">
        <v>26.55</v>
      </c>
      <c r="E78" s="371">
        <v>144.4</v>
      </c>
      <c r="F78" s="521">
        <f>ROUND(E78*D78,2)</f>
        <v>3833.82</v>
      </c>
      <c r="G78" s="521">
        <f>ROUND(F78*1.2,2)</f>
        <v>4600.58</v>
      </c>
      <c r="H78" s="371"/>
      <c r="I78" s="372"/>
      <c r="J78" s="372"/>
      <c r="K78" s="374">
        <f t="shared" ref="K78:L83" si="47">F78+I78</f>
        <v>3833.82</v>
      </c>
      <c r="L78" s="372">
        <f t="shared" si="47"/>
        <v>4600.58</v>
      </c>
    </row>
    <row r="79" spans="1:13" s="401" customFormat="1" ht="20.25" customHeight="1" x14ac:dyDescent="0.25">
      <c r="A79" s="359" t="s">
        <v>102</v>
      </c>
      <c r="B79" s="26" t="s">
        <v>905</v>
      </c>
      <c r="C79" s="522" t="s">
        <v>171</v>
      </c>
      <c r="D79" s="523">
        <f>D78*0.15</f>
        <v>3.9824999999999999</v>
      </c>
      <c r="E79" s="379"/>
      <c r="F79" s="501"/>
      <c r="G79" s="501"/>
      <c r="H79" s="379">
        <v>149.15</v>
      </c>
      <c r="I79" s="501">
        <f>ROUND(H79*D79,2)</f>
        <v>593.99</v>
      </c>
      <c r="J79" s="501">
        <f>ROUND(I79*1.2,2)</f>
        <v>712.79</v>
      </c>
      <c r="K79" s="502">
        <f t="shared" si="47"/>
        <v>593.99</v>
      </c>
      <c r="L79" s="501">
        <f t="shared" si="47"/>
        <v>712.79</v>
      </c>
    </row>
    <row r="80" spans="1:13" s="401" customFormat="1" ht="20.25" customHeight="1" x14ac:dyDescent="0.25">
      <c r="A80" s="520">
        <f>A78+1</f>
        <v>13</v>
      </c>
      <c r="B80" s="18" t="s">
        <v>906</v>
      </c>
      <c r="C80" s="369" t="s">
        <v>77</v>
      </c>
      <c r="D80" s="370">
        <v>26.55</v>
      </c>
      <c r="E80" s="371">
        <v>288.8</v>
      </c>
      <c r="F80" s="521">
        <f>ROUND(E80*D80,2)</f>
        <v>7667.64</v>
      </c>
      <c r="G80" s="521">
        <f>ROUND(F80*1.2,2)</f>
        <v>9201.17</v>
      </c>
      <c r="H80" s="524"/>
      <c r="I80" s="372"/>
      <c r="J80" s="372"/>
      <c r="K80" s="374">
        <f t="shared" si="47"/>
        <v>7667.64</v>
      </c>
      <c r="L80" s="372">
        <f t="shared" si="47"/>
        <v>9201.17</v>
      </c>
    </row>
    <row r="81" spans="1:13" s="401" customFormat="1" ht="20.25" customHeight="1" x14ac:dyDescent="0.25">
      <c r="A81" s="359" t="s">
        <v>105</v>
      </c>
      <c r="B81" s="26" t="s">
        <v>907</v>
      </c>
      <c r="C81" s="522" t="s">
        <v>171</v>
      </c>
      <c r="D81" s="523">
        <f>D80*0.32</f>
        <v>8.4960000000000004</v>
      </c>
      <c r="E81" s="379"/>
      <c r="F81" s="501"/>
      <c r="G81" s="501"/>
      <c r="H81" s="379">
        <v>165.3</v>
      </c>
      <c r="I81" s="501">
        <f>ROUND(H81*D81,2)</f>
        <v>1404.39</v>
      </c>
      <c r="J81" s="501">
        <f>ROUND(I81*1.2,2)</f>
        <v>1685.27</v>
      </c>
      <c r="K81" s="502">
        <f t="shared" si="47"/>
        <v>1404.39</v>
      </c>
      <c r="L81" s="501">
        <f t="shared" si="47"/>
        <v>1685.27</v>
      </c>
    </row>
    <row r="82" spans="1:13" s="401" customFormat="1" ht="20.25" customHeight="1" x14ac:dyDescent="0.25">
      <c r="A82" s="380">
        <f>A80+1</f>
        <v>14</v>
      </c>
      <c r="B82" s="46" t="s">
        <v>908</v>
      </c>
      <c r="C82" s="380" t="s">
        <v>77</v>
      </c>
      <c r="D82" s="381">
        <v>35</v>
      </c>
      <c r="E82" s="382">
        <v>288.8</v>
      </c>
      <c r="F82" s="383">
        <f>ROUND(E82*D82,2)</f>
        <v>10108</v>
      </c>
      <c r="G82" s="383">
        <f>ROUND(F82*1.2,2)</f>
        <v>12129.6</v>
      </c>
      <c r="H82" s="503"/>
      <c r="I82" s="383"/>
      <c r="J82" s="383"/>
      <c r="K82" s="384">
        <f t="shared" si="47"/>
        <v>10108</v>
      </c>
      <c r="L82" s="383">
        <f t="shared" si="47"/>
        <v>12129.6</v>
      </c>
    </row>
    <row r="83" spans="1:13" s="401" customFormat="1" ht="20.25" customHeight="1" x14ac:dyDescent="0.25">
      <c r="A83" s="525" t="s">
        <v>105</v>
      </c>
      <c r="B83" s="58" t="s">
        <v>907</v>
      </c>
      <c r="C83" s="385" t="s">
        <v>171</v>
      </c>
      <c r="D83" s="526">
        <f>D82*0.32</f>
        <v>11.200000000000001</v>
      </c>
      <c r="E83" s="389"/>
      <c r="F83" s="388"/>
      <c r="G83" s="388"/>
      <c r="H83" s="389"/>
      <c r="I83" s="388">
        <f>ROUND(H83*D83,2)</f>
        <v>0</v>
      </c>
      <c r="J83" s="388">
        <f>ROUND(I83*1.2,2)</f>
        <v>0</v>
      </c>
      <c r="K83" s="389">
        <f t="shared" si="47"/>
        <v>0</v>
      </c>
      <c r="L83" s="388">
        <f t="shared" si="47"/>
        <v>0</v>
      </c>
    </row>
    <row r="84" spans="1:13" ht="21.75" customHeight="1" x14ac:dyDescent="0.25">
      <c r="A84" s="361"/>
      <c r="B84" s="479" t="s">
        <v>909</v>
      </c>
      <c r="C84" s="390"/>
      <c r="D84" s="391"/>
      <c r="E84" s="392"/>
      <c r="F84" s="393"/>
      <c r="G84" s="393"/>
      <c r="H84" s="392"/>
      <c r="I84" s="366"/>
      <c r="J84" s="366"/>
      <c r="K84" s="367"/>
      <c r="L84" s="366"/>
      <c r="M84" s="394"/>
    </row>
    <row r="85" spans="1:13" ht="20.25" customHeight="1" x14ac:dyDescent="0.25">
      <c r="A85" s="369">
        <f>A80+1</f>
        <v>14</v>
      </c>
      <c r="B85" s="18" t="s">
        <v>793</v>
      </c>
      <c r="C85" s="369" t="s">
        <v>77</v>
      </c>
      <c r="D85" s="453">
        <v>56.21</v>
      </c>
      <c r="E85" s="374">
        <v>144.4</v>
      </c>
      <c r="F85" s="372">
        <f>ROUND(E85*D85,2)</f>
        <v>8116.72</v>
      </c>
      <c r="G85" s="372">
        <f t="shared" ref="G85" si="48">ROUND(F85*1.2,2)</f>
        <v>9740.06</v>
      </c>
      <c r="H85" s="374"/>
      <c r="I85" s="372"/>
      <c r="J85" s="372"/>
      <c r="K85" s="374">
        <f t="shared" ref="K85:L100" si="49">F85+I85</f>
        <v>8116.72</v>
      </c>
      <c r="L85" s="372">
        <f t="shared" si="49"/>
        <v>9740.06</v>
      </c>
      <c r="M85" s="394"/>
    </row>
    <row r="86" spans="1:13" ht="17.25" customHeight="1" x14ac:dyDescent="0.25">
      <c r="A86" s="359" t="s">
        <v>109</v>
      </c>
      <c r="B86" s="277" t="s">
        <v>461</v>
      </c>
      <c r="C86" s="375" t="s">
        <v>462</v>
      </c>
      <c r="D86" s="454">
        <f>D85*0.3*20/16</f>
        <v>21.078749999999999</v>
      </c>
      <c r="E86" s="379"/>
      <c r="F86" s="378"/>
      <c r="G86" s="378"/>
      <c r="H86" s="452">
        <v>237.5</v>
      </c>
      <c r="I86" s="378">
        <f>ROUND(H86*D86,2)</f>
        <v>5006.2</v>
      </c>
      <c r="J86" s="378">
        <f t="shared" ref="J86" si="50">ROUND(I86*1.2,2)</f>
        <v>6007.44</v>
      </c>
      <c r="K86" s="379">
        <f t="shared" si="49"/>
        <v>5006.2</v>
      </c>
      <c r="L86" s="378">
        <f t="shared" si="49"/>
        <v>6007.44</v>
      </c>
      <c r="M86" s="394"/>
    </row>
    <row r="87" spans="1:13" ht="21.75" customHeight="1" x14ac:dyDescent="0.25">
      <c r="A87" s="369">
        <f>A85+1</f>
        <v>15</v>
      </c>
      <c r="B87" s="18" t="s">
        <v>663</v>
      </c>
      <c r="C87" s="369" t="s">
        <v>77</v>
      </c>
      <c r="D87" s="453">
        <v>56.21</v>
      </c>
      <c r="E87" s="374">
        <v>299.76</v>
      </c>
      <c r="F87" s="372">
        <f>ROUND(E87*D87,2)</f>
        <v>16849.509999999998</v>
      </c>
      <c r="G87" s="372">
        <f t="shared" ref="G87" si="51">ROUND(F87*1.2,2)</f>
        <v>20219.41</v>
      </c>
      <c r="H87" s="374"/>
      <c r="I87" s="372"/>
      <c r="J87" s="372"/>
      <c r="K87" s="374">
        <f t="shared" si="49"/>
        <v>16849.509999999998</v>
      </c>
      <c r="L87" s="372">
        <f t="shared" si="49"/>
        <v>20219.41</v>
      </c>
      <c r="M87" s="394"/>
    </row>
    <row r="88" spans="1:13" ht="21" customHeight="1" x14ac:dyDescent="0.25">
      <c r="A88" s="359" t="s">
        <v>155</v>
      </c>
      <c r="B88" s="277" t="s">
        <v>465</v>
      </c>
      <c r="C88" s="375" t="s">
        <v>171</v>
      </c>
      <c r="D88" s="376">
        <f>D87*2.5*2</f>
        <v>281.05</v>
      </c>
      <c r="E88" s="379"/>
      <c r="F88" s="378"/>
      <c r="G88" s="378"/>
      <c r="H88" s="452">
        <v>296.39999999999998</v>
      </c>
      <c r="I88" s="378">
        <f t="shared" ref="I88" si="52">ROUND(H88*D88,2)</f>
        <v>83303.22</v>
      </c>
      <c r="J88" s="378">
        <f t="shared" ref="J88" si="53">ROUND(I88*1.2,2)</f>
        <v>99963.86</v>
      </c>
      <c r="K88" s="379">
        <f t="shared" si="49"/>
        <v>83303.22</v>
      </c>
      <c r="L88" s="378">
        <f t="shared" si="49"/>
        <v>99963.86</v>
      </c>
      <c r="M88" s="394"/>
    </row>
    <row r="89" spans="1:13" ht="30.75" customHeight="1" x14ac:dyDescent="0.25">
      <c r="A89" s="369">
        <f>A87+1</f>
        <v>16</v>
      </c>
      <c r="B89" s="113" t="s">
        <v>910</v>
      </c>
      <c r="C89" s="369" t="s">
        <v>84</v>
      </c>
      <c r="D89" s="370">
        <v>0.56000000000000005</v>
      </c>
      <c r="E89" s="374">
        <v>28835.29</v>
      </c>
      <c r="F89" s="372">
        <f>ROUND(E89*D89,2)</f>
        <v>16147.76</v>
      </c>
      <c r="G89" s="372">
        <f t="shared" ref="G89" si="54">ROUND(F89*1.2,2)</f>
        <v>19377.310000000001</v>
      </c>
      <c r="H89" s="374"/>
      <c r="I89" s="372"/>
      <c r="J89" s="372"/>
      <c r="K89" s="374">
        <f t="shared" si="49"/>
        <v>16147.76</v>
      </c>
      <c r="L89" s="372">
        <f t="shared" si="49"/>
        <v>19377.310000000001</v>
      </c>
      <c r="M89" s="394"/>
    </row>
    <row r="90" spans="1:13" ht="18" customHeight="1" x14ac:dyDescent="0.25">
      <c r="A90" s="359" t="s">
        <v>159</v>
      </c>
      <c r="B90" s="26" t="s">
        <v>911</v>
      </c>
      <c r="C90" s="375" t="s">
        <v>84</v>
      </c>
      <c r="D90" s="454">
        <v>0.56000000000000005</v>
      </c>
      <c r="E90" s="377"/>
      <c r="F90" s="378"/>
      <c r="G90" s="378"/>
      <c r="H90" s="527">
        <v>5196.5</v>
      </c>
      <c r="I90" s="501">
        <f>ROUND(H90*D90,2)</f>
        <v>2910.04</v>
      </c>
      <c r="J90" s="501">
        <f>ROUND(I90*1.2,2)</f>
        <v>3492.05</v>
      </c>
      <c r="K90" s="502">
        <f t="shared" si="49"/>
        <v>2910.04</v>
      </c>
      <c r="L90" s="501">
        <f t="shared" si="49"/>
        <v>3492.05</v>
      </c>
      <c r="M90" s="394"/>
    </row>
    <row r="91" spans="1:13" ht="18" customHeight="1" x14ac:dyDescent="0.25">
      <c r="A91" s="359" t="s">
        <v>743</v>
      </c>
      <c r="B91" s="277" t="s">
        <v>912</v>
      </c>
      <c r="C91" s="375" t="s">
        <v>171</v>
      </c>
      <c r="D91" s="376">
        <v>41.7</v>
      </c>
      <c r="E91" s="377"/>
      <c r="F91" s="378"/>
      <c r="G91" s="378"/>
      <c r="H91" s="379">
        <v>80.75</v>
      </c>
      <c r="I91" s="501">
        <f>ROUND(H91*D91,2)</f>
        <v>3367.28</v>
      </c>
      <c r="J91" s="501">
        <f>ROUND(I91*1.2,2)</f>
        <v>4040.74</v>
      </c>
      <c r="K91" s="502">
        <f t="shared" si="49"/>
        <v>3367.28</v>
      </c>
      <c r="L91" s="501">
        <f t="shared" si="49"/>
        <v>4040.74</v>
      </c>
      <c r="M91" s="394"/>
    </row>
    <row r="92" spans="1:13" ht="30.75" customHeight="1" x14ac:dyDescent="0.25">
      <c r="A92" s="369"/>
      <c r="B92" s="505" t="s">
        <v>910</v>
      </c>
      <c r="C92" s="380" t="s">
        <v>84</v>
      </c>
      <c r="D92" s="381">
        <f>0.78-0.56</f>
        <v>0.21999999999999997</v>
      </c>
      <c r="E92" s="384">
        <v>28835.29</v>
      </c>
      <c r="F92" s="383">
        <f>ROUND(E92*D92,2)</f>
        <v>6343.76</v>
      </c>
      <c r="G92" s="383">
        <f t="shared" ref="G92" si="55">ROUND(F92*1.2,2)</f>
        <v>7612.51</v>
      </c>
      <c r="H92" s="384"/>
      <c r="I92" s="383"/>
      <c r="J92" s="383"/>
      <c r="K92" s="384">
        <f t="shared" si="49"/>
        <v>6343.76</v>
      </c>
      <c r="L92" s="383">
        <f t="shared" si="49"/>
        <v>7612.51</v>
      </c>
      <c r="M92" s="474" t="s">
        <v>913</v>
      </c>
    </row>
    <row r="93" spans="1:13" ht="18" customHeight="1" x14ac:dyDescent="0.25">
      <c r="A93" s="359"/>
      <c r="B93" s="58" t="s">
        <v>911</v>
      </c>
      <c r="C93" s="385" t="s">
        <v>84</v>
      </c>
      <c r="D93" s="528">
        <f>0.7917-0.56</f>
        <v>0.23169999999999991</v>
      </c>
      <c r="E93" s="387"/>
      <c r="F93" s="388"/>
      <c r="G93" s="388"/>
      <c r="H93" s="509">
        <v>5196.5</v>
      </c>
      <c r="I93" s="388">
        <f>ROUND(H93*D93,2)</f>
        <v>1204.03</v>
      </c>
      <c r="J93" s="388">
        <f>ROUND(I93*1.2,2)</f>
        <v>1444.84</v>
      </c>
      <c r="K93" s="389">
        <f t="shared" si="49"/>
        <v>1204.03</v>
      </c>
      <c r="L93" s="388">
        <f t="shared" si="49"/>
        <v>1444.84</v>
      </c>
      <c r="M93" s="474" t="s">
        <v>914</v>
      </c>
    </row>
    <row r="94" spans="1:13" ht="18" customHeight="1" x14ac:dyDescent="0.25">
      <c r="A94" s="359"/>
      <c r="B94" s="507" t="s">
        <v>912</v>
      </c>
      <c r="C94" s="385" t="s">
        <v>171</v>
      </c>
      <c r="D94" s="386">
        <f>53-41.7</f>
        <v>11.299999999999997</v>
      </c>
      <c r="E94" s="387"/>
      <c r="F94" s="388"/>
      <c r="G94" s="388"/>
      <c r="H94" s="389">
        <v>80.75</v>
      </c>
      <c r="I94" s="388">
        <f>ROUND(H94*D94,2)</f>
        <v>912.48</v>
      </c>
      <c r="J94" s="388">
        <f>ROUND(I94*1.2,2)</f>
        <v>1094.98</v>
      </c>
      <c r="K94" s="389">
        <f t="shared" si="49"/>
        <v>912.48</v>
      </c>
      <c r="L94" s="388">
        <f t="shared" si="49"/>
        <v>1094.98</v>
      </c>
      <c r="M94" s="474" t="s">
        <v>915</v>
      </c>
    </row>
    <row r="95" spans="1:13" ht="18" customHeight="1" x14ac:dyDescent="0.25">
      <c r="A95" s="359"/>
      <c r="B95" s="507" t="s">
        <v>916</v>
      </c>
      <c r="C95" s="385" t="s">
        <v>171</v>
      </c>
      <c r="D95" s="386">
        <v>51</v>
      </c>
      <c r="E95" s="387"/>
      <c r="F95" s="388"/>
      <c r="G95" s="388"/>
      <c r="H95" s="389">
        <v>80.75</v>
      </c>
      <c r="I95" s="388">
        <f>ROUND(H95*D95,2)</f>
        <v>4118.25</v>
      </c>
      <c r="J95" s="388">
        <f>ROUND(I95*1.2,2)</f>
        <v>4941.8999999999996</v>
      </c>
      <c r="K95" s="389">
        <f t="shared" si="49"/>
        <v>4118.25</v>
      </c>
      <c r="L95" s="388">
        <f t="shared" si="49"/>
        <v>4941.8999999999996</v>
      </c>
      <c r="M95" s="394"/>
    </row>
    <row r="96" spans="1:13" s="401" customFormat="1" ht="22.5" customHeight="1" x14ac:dyDescent="0.25">
      <c r="A96" s="520"/>
      <c r="B96" s="46" t="s">
        <v>868</v>
      </c>
      <c r="C96" s="380" t="s">
        <v>77</v>
      </c>
      <c r="D96" s="381">
        <v>3.8</v>
      </c>
      <c r="E96" s="382">
        <v>80.75</v>
      </c>
      <c r="F96" s="383">
        <f>ROUND(E96*D96,2)</f>
        <v>306.85000000000002</v>
      </c>
      <c r="G96" s="383">
        <f>ROUND(F96*1.2,2)</f>
        <v>368.22</v>
      </c>
      <c r="H96" s="382"/>
      <c r="I96" s="383"/>
      <c r="J96" s="383"/>
      <c r="K96" s="384">
        <f t="shared" si="49"/>
        <v>306.85000000000002</v>
      </c>
      <c r="L96" s="383">
        <f t="shared" si="49"/>
        <v>368.22</v>
      </c>
    </row>
    <row r="97" spans="1:13" ht="18" customHeight="1" x14ac:dyDescent="0.25">
      <c r="A97" s="520"/>
      <c r="B97" s="46" t="s">
        <v>917</v>
      </c>
      <c r="C97" s="380" t="s">
        <v>77</v>
      </c>
      <c r="D97" s="381">
        <v>3.8</v>
      </c>
      <c r="E97" s="382">
        <v>144.4</v>
      </c>
      <c r="F97" s="383">
        <f>ROUND(E97*D97,2)</f>
        <v>548.72</v>
      </c>
      <c r="G97" s="383">
        <f>ROUND(F97*1.2,2)</f>
        <v>658.46</v>
      </c>
      <c r="H97" s="503"/>
      <c r="I97" s="383"/>
      <c r="J97" s="383"/>
      <c r="K97" s="384">
        <f t="shared" si="49"/>
        <v>548.72</v>
      </c>
      <c r="L97" s="383">
        <f t="shared" si="49"/>
        <v>658.46</v>
      </c>
      <c r="M97" s="394"/>
    </row>
    <row r="98" spans="1:13" s="401" customFormat="1" ht="20.25" customHeight="1" x14ac:dyDescent="0.25">
      <c r="A98" s="359"/>
      <c r="B98" s="58" t="s">
        <v>461</v>
      </c>
      <c r="C98" s="385" t="s">
        <v>171</v>
      </c>
      <c r="D98" s="526">
        <v>6</v>
      </c>
      <c r="E98" s="389"/>
      <c r="F98" s="388"/>
      <c r="G98" s="388"/>
      <c r="H98" s="389">
        <v>237.5</v>
      </c>
      <c r="I98" s="388">
        <f>ROUND(H98*D98,2)</f>
        <v>1425</v>
      </c>
      <c r="J98" s="388">
        <f>ROUND(I98*1.2,2)</f>
        <v>1710</v>
      </c>
      <c r="K98" s="389">
        <f t="shared" si="49"/>
        <v>1425</v>
      </c>
      <c r="L98" s="388">
        <f t="shared" si="49"/>
        <v>1710</v>
      </c>
    </row>
    <row r="99" spans="1:13" ht="18" customHeight="1" x14ac:dyDescent="0.25">
      <c r="A99" s="520"/>
      <c r="B99" s="46" t="s">
        <v>918</v>
      </c>
      <c r="C99" s="380" t="s">
        <v>77</v>
      </c>
      <c r="D99" s="381">
        <v>3.8</v>
      </c>
      <c r="E99" s="382">
        <v>299.76</v>
      </c>
      <c r="F99" s="383">
        <f>ROUND(E99*D99,2)</f>
        <v>1139.0899999999999</v>
      </c>
      <c r="G99" s="383">
        <f>ROUND(F99*1.2,2)</f>
        <v>1366.91</v>
      </c>
      <c r="H99" s="503"/>
      <c r="I99" s="383"/>
      <c r="J99" s="383"/>
      <c r="K99" s="384">
        <f t="shared" si="49"/>
        <v>1139.0899999999999</v>
      </c>
      <c r="L99" s="383">
        <f t="shared" si="49"/>
        <v>1366.91</v>
      </c>
      <c r="M99" s="394"/>
    </row>
    <row r="100" spans="1:13" s="401" customFormat="1" ht="20.25" customHeight="1" x14ac:dyDescent="0.25">
      <c r="A100" s="359"/>
      <c r="B100" s="58" t="s">
        <v>871</v>
      </c>
      <c r="C100" s="385" t="s">
        <v>171</v>
      </c>
      <c r="D100" s="526">
        <v>2.08</v>
      </c>
      <c r="E100" s="389"/>
      <c r="F100" s="388"/>
      <c r="G100" s="388"/>
      <c r="H100" s="389">
        <v>296.39999999999998</v>
      </c>
      <c r="I100" s="388">
        <f>ROUND(H100*D100,2)</f>
        <v>616.51</v>
      </c>
      <c r="J100" s="388">
        <f>ROUND(I100*1.2,2)</f>
        <v>739.81</v>
      </c>
      <c r="K100" s="389">
        <f t="shared" si="49"/>
        <v>616.51</v>
      </c>
      <c r="L100" s="388">
        <f t="shared" si="49"/>
        <v>739.81</v>
      </c>
    </row>
    <row r="101" spans="1:13" ht="29.25" customHeight="1" x14ac:dyDescent="0.25">
      <c r="A101" s="520"/>
      <c r="B101" s="46" t="s">
        <v>919</v>
      </c>
      <c r="C101" s="380" t="s">
        <v>75</v>
      </c>
      <c r="D101" s="515">
        <v>2</v>
      </c>
      <c r="E101" s="382">
        <v>2390.1999999999998</v>
      </c>
      <c r="F101" s="383">
        <f>ROUND(E101*D101,2)</f>
        <v>4780.3999999999996</v>
      </c>
      <c r="G101" s="383">
        <f>ROUND(F101*1.2,2)</f>
        <v>5736.48</v>
      </c>
      <c r="H101" s="503"/>
      <c r="I101" s="383"/>
      <c r="J101" s="383"/>
      <c r="K101" s="384">
        <f t="shared" ref="K101:L116" si="56">F101+I101</f>
        <v>4780.3999999999996</v>
      </c>
      <c r="L101" s="383">
        <f t="shared" si="56"/>
        <v>5736.48</v>
      </c>
      <c r="M101" s="394"/>
    </row>
    <row r="102" spans="1:13" ht="18" customHeight="1" x14ac:dyDescent="0.25">
      <c r="A102" s="380"/>
      <c r="B102" s="505" t="s">
        <v>920</v>
      </c>
      <c r="C102" s="380" t="s">
        <v>75</v>
      </c>
      <c r="D102" s="506">
        <v>4</v>
      </c>
      <c r="E102" s="384">
        <v>2888.95</v>
      </c>
      <c r="F102" s="383">
        <f>ROUND(E102*D102,2)</f>
        <v>11555.8</v>
      </c>
      <c r="G102" s="383">
        <f>ROUND(F102*1.2,2)</f>
        <v>13866.96</v>
      </c>
      <c r="H102" s="384"/>
      <c r="I102" s="383"/>
      <c r="J102" s="383"/>
      <c r="K102" s="384">
        <f t="shared" si="56"/>
        <v>11555.8</v>
      </c>
      <c r="L102" s="383">
        <f t="shared" si="56"/>
        <v>13866.96</v>
      </c>
      <c r="M102" s="394"/>
    </row>
    <row r="103" spans="1:13" ht="18" customHeight="1" x14ac:dyDescent="0.25">
      <c r="A103" s="359"/>
      <c r="B103" s="507" t="s">
        <v>921</v>
      </c>
      <c r="C103" s="385" t="s">
        <v>171</v>
      </c>
      <c r="D103" s="386">
        <f>10.4*4</f>
        <v>41.6</v>
      </c>
      <c r="E103" s="387"/>
      <c r="F103" s="388"/>
      <c r="G103" s="388"/>
      <c r="H103" s="389">
        <v>85.5</v>
      </c>
      <c r="I103" s="388">
        <f>ROUND(H103*D103,2)</f>
        <v>3556.8</v>
      </c>
      <c r="J103" s="388">
        <f>ROUND(I103*1.2,2)</f>
        <v>4268.16</v>
      </c>
      <c r="K103" s="389">
        <f t="shared" si="56"/>
        <v>3556.8</v>
      </c>
      <c r="L103" s="388">
        <f t="shared" si="56"/>
        <v>4268.16</v>
      </c>
      <c r="M103" s="394"/>
    </row>
    <row r="104" spans="1:13" ht="19.5" customHeight="1" x14ac:dyDescent="0.25">
      <c r="A104" s="520"/>
      <c r="B104" s="505" t="s">
        <v>922</v>
      </c>
      <c r="C104" s="380" t="s">
        <v>84</v>
      </c>
      <c r="D104" s="529">
        <v>2.1999999999999999E-2</v>
      </c>
      <c r="E104" s="382">
        <v>76523.570000000007</v>
      </c>
      <c r="F104" s="383">
        <f>ROUND(E104*D104,2)</f>
        <v>1683.52</v>
      </c>
      <c r="G104" s="383">
        <f>ROUND(F104*1.2,2)</f>
        <v>2020.22</v>
      </c>
      <c r="H104" s="503"/>
      <c r="I104" s="383"/>
      <c r="J104" s="383"/>
      <c r="K104" s="384">
        <f t="shared" si="56"/>
        <v>1683.52</v>
      </c>
      <c r="L104" s="383">
        <f t="shared" si="56"/>
        <v>2020.22</v>
      </c>
      <c r="M104" s="394"/>
    </row>
    <row r="105" spans="1:13" ht="18" customHeight="1" x14ac:dyDescent="0.25">
      <c r="A105" s="359"/>
      <c r="B105" s="58" t="s">
        <v>923</v>
      </c>
      <c r="C105" s="385" t="s">
        <v>84</v>
      </c>
      <c r="D105" s="528">
        <v>2.23E-2</v>
      </c>
      <c r="E105" s="387"/>
      <c r="F105" s="388"/>
      <c r="G105" s="388"/>
      <c r="H105" s="509">
        <v>4807</v>
      </c>
      <c r="I105" s="388">
        <f>ROUND(H105*D105,2)</f>
        <v>107.2</v>
      </c>
      <c r="J105" s="388">
        <f>ROUND(I105*1.2,2)</f>
        <v>128.63999999999999</v>
      </c>
      <c r="K105" s="389">
        <f t="shared" si="56"/>
        <v>107.2</v>
      </c>
      <c r="L105" s="388">
        <f t="shared" si="56"/>
        <v>128.63999999999999</v>
      </c>
      <c r="M105" s="394"/>
    </row>
    <row r="106" spans="1:13" ht="19.5" customHeight="1" x14ac:dyDescent="0.25">
      <c r="A106" s="520"/>
      <c r="B106" s="505" t="s">
        <v>790</v>
      </c>
      <c r="C106" s="380" t="s">
        <v>72</v>
      </c>
      <c r="D106" s="515">
        <v>10</v>
      </c>
      <c r="E106" s="382">
        <v>565.03</v>
      </c>
      <c r="F106" s="383">
        <f>ROUND(E106*D106,2)</f>
        <v>5650.3</v>
      </c>
      <c r="G106" s="383">
        <f>ROUND(F106*1.2,2)</f>
        <v>6780.36</v>
      </c>
      <c r="H106" s="503"/>
      <c r="I106" s="383"/>
      <c r="J106" s="383"/>
      <c r="K106" s="384">
        <f t="shared" si="56"/>
        <v>5650.3</v>
      </c>
      <c r="L106" s="383">
        <f t="shared" si="56"/>
        <v>6780.36</v>
      </c>
      <c r="M106" s="394"/>
    </row>
    <row r="107" spans="1:13" ht="18" customHeight="1" x14ac:dyDescent="0.25">
      <c r="A107" s="359"/>
      <c r="B107" s="58" t="s">
        <v>924</v>
      </c>
      <c r="C107" s="385" t="s">
        <v>72</v>
      </c>
      <c r="D107" s="530">
        <v>10</v>
      </c>
      <c r="E107" s="387"/>
      <c r="F107" s="388"/>
      <c r="G107" s="388"/>
      <c r="H107" s="509">
        <v>24.7</v>
      </c>
      <c r="I107" s="388">
        <f>ROUND(H107*D107,2)</f>
        <v>247</v>
      </c>
      <c r="J107" s="388">
        <f>ROUND(I107*1.2,2)</f>
        <v>296.39999999999998</v>
      </c>
      <c r="K107" s="389">
        <f t="shared" si="56"/>
        <v>247</v>
      </c>
      <c r="L107" s="388">
        <f t="shared" si="56"/>
        <v>296.39999999999998</v>
      </c>
      <c r="M107" s="394"/>
    </row>
    <row r="108" spans="1:13" ht="18" customHeight="1" x14ac:dyDescent="0.25">
      <c r="A108" s="359"/>
      <c r="B108" s="58" t="s">
        <v>925</v>
      </c>
      <c r="C108" s="385" t="s">
        <v>171</v>
      </c>
      <c r="D108" s="530">
        <v>0.6</v>
      </c>
      <c r="E108" s="387"/>
      <c r="F108" s="388"/>
      <c r="G108" s="388"/>
      <c r="H108" s="509">
        <v>57</v>
      </c>
      <c r="I108" s="388">
        <f>ROUND(H108*D108,2)</f>
        <v>34.200000000000003</v>
      </c>
      <c r="J108" s="388">
        <f>ROUND(I108*1.2,2)</f>
        <v>41.04</v>
      </c>
      <c r="K108" s="389">
        <f t="shared" si="56"/>
        <v>34.200000000000003</v>
      </c>
      <c r="L108" s="388">
        <f t="shared" si="56"/>
        <v>41.04</v>
      </c>
      <c r="M108" s="394"/>
    </row>
    <row r="109" spans="1:13" ht="18" customHeight="1" x14ac:dyDescent="0.25">
      <c r="A109" s="380"/>
      <c r="B109" s="505" t="s">
        <v>926</v>
      </c>
      <c r="C109" s="380" t="s">
        <v>84</v>
      </c>
      <c r="D109" s="384">
        <v>9.5399999999999991</v>
      </c>
      <c r="E109" s="384">
        <v>12960.4</v>
      </c>
      <c r="F109" s="383">
        <f>ROUND(E109*D109,2)</f>
        <v>123642.22</v>
      </c>
      <c r="G109" s="383">
        <f>ROUND(F109*1.2,2)</f>
        <v>148370.66</v>
      </c>
      <c r="H109" s="384"/>
      <c r="I109" s="383"/>
      <c r="J109" s="383"/>
      <c r="K109" s="384">
        <f t="shared" si="56"/>
        <v>123642.22</v>
      </c>
      <c r="L109" s="383">
        <f t="shared" si="56"/>
        <v>148370.66</v>
      </c>
      <c r="M109" s="394"/>
    </row>
    <row r="110" spans="1:13" ht="18" customHeight="1" x14ac:dyDescent="0.25">
      <c r="A110" s="359"/>
      <c r="B110" s="58" t="s">
        <v>911</v>
      </c>
      <c r="C110" s="385" t="s">
        <v>84</v>
      </c>
      <c r="D110" s="530">
        <v>9.68</v>
      </c>
      <c r="E110" s="387"/>
      <c r="F110" s="388"/>
      <c r="G110" s="388"/>
      <c r="H110" s="509">
        <v>5196.5</v>
      </c>
      <c r="I110" s="388">
        <f>ROUND(H110*D110,2)</f>
        <v>50302.12</v>
      </c>
      <c r="J110" s="388">
        <f>ROUND(I110*1.2,2)</f>
        <v>60362.54</v>
      </c>
      <c r="K110" s="389">
        <f t="shared" si="56"/>
        <v>50302.12</v>
      </c>
      <c r="L110" s="388">
        <f t="shared" si="56"/>
        <v>60362.54</v>
      </c>
      <c r="M110" s="394"/>
    </row>
    <row r="111" spans="1:13" ht="18" customHeight="1" x14ac:dyDescent="0.25">
      <c r="A111" s="359"/>
      <c r="B111" s="507" t="s">
        <v>927</v>
      </c>
      <c r="C111" s="385" t="s">
        <v>171</v>
      </c>
      <c r="D111" s="386">
        <v>156.9</v>
      </c>
      <c r="E111" s="387"/>
      <c r="F111" s="388"/>
      <c r="G111" s="388"/>
      <c r="H111" s="389">
        <v>80.75</v>
      </c>
      <c r="I111" s="388">
        <f>ROUND(H111*D111,2)</f>
        <v>12669.68</v>
      </c>
      <c r="J111" s="388">
        <f>ROUND(I111*1.2,2)</f>
        <v>15203.62</v>
      </c>
      <c r="K111" s="389">
        <f t="shared" si="56"/>
        <v>12669.68</v>
      </c>
      <c r="L111" s="388">
        <f t="shared" si="56"/>
        <v>15203.62</v>
      </c>
      <c r="M111" s="394"/>
    </row>
    <row r="112" spans="1:13" ht="18" customHeight="1" x14ac:dyDescent="0.25">
      <c r="A112" s="359"/>
      <c r="B112" s="507" t="s">
        <v>928</v>
      </c>
      <c r="C112" s="385" t="s">
        <v>171</v>
      </c>
      <c r="D112" s="386">
        <f>15+13.02</f>
        <v>28.02</v>
      </c>
      <c r="E112" s="387"/>
      <c r="F112" s="388"/>
      <c r="G112" s="388"/>
      <c r="H112" s="389">
        <v>80.75</v>
      </c>
      <c r="I112" s="388">
        <f>ROUND(H112*D112,2)</f>
        <v>2262.62</v>
      </c>
      <c r="J112" s="388">
        <f>ROUND(I112*1.2,2)</f>
        <v>2715.14</v>
      </c>
      <c r="K112" s="389">
        <f t="shared" si="56"/>
        <v>2262.62</v>
      </c>
      <c r="L112" s="388">
        <f t="shared" si="56"/>
        <v>2715.14</v>
      </c>
      <c r="M112" s="394"/>
    </row>
    <row r="113" spans="1:13" ht="18" customHeight="1" x14ac:dyDescent="0.25">
      <c r="A113" s="359"/>
      <c r="B113" s="507" t="s">
        <v>916</v>
      </c>
      <c r="C113" s="385" t="s">
        <v>171</v>
      </c>
      <c r="D113" s="386">
        <f>17</f>
        <v>17</v>
      </c>
      <c r="E113" s="387"/>
      <c r="F113" s="388"/>
      <c r="G113" s="388"/>
      <c r="H113" s="389">
        <v>80.75</v>
      </c>
      <c r="I113" s="388">
        <f>ROUND(H113*D113,2)</f>
        <v>1372.75</v>
      </c>
      <c r="J113" s="388">
        <f>ROUND(I113*1.2,2)</f>
        <v>1647.3</v>
      </c>
      <c r="K113" s="389">
        <f t="shared" si="56"/>
        <v>1372.75</v>
      </c>
      <c r="L113" s="388">
        <f t="shared" si="56"/>
        <v>1647.3</v>
      </c>
      <c r="M113" s="394"/>
    </row>
    <row r="114" spans="1:13" ht="18" customHeight="1" x14ac:dyDescent="0.25">
      <c r="A114" s="380"/>
      <c r="B114" s="505" t="s">
        <v>929</v>
      </c>
      <c r="C114" s="380" t="s">
        <v>75</v>
      </c>
      <c r="D114" s="506">
        <v>3</v>
      </c>
      <c r="E114" s="384">
        <v>2888.95</v>
      </c>
      <c r="F114" s="383">
        <f>ROUND(E114*D114,2)</f>
        <v>8666.85</v>
      </c>
      <c r="G114" s="383">
        <f>ROUND(F114*1.2,2)</f>
        <v>10400.219999999999</v>
      </c>
      <c r="H114" s="384"/>
      <c r="I114" s="383"/>
      <c r="J114" s="383"/>
      <c r="K114" s="384">
        <f t="shared" si="56"/>
        <v>8666.85</v>
      </c>
      <c r="L114" s="383">
        <f t="shared" si="56"/>
        <v>10400.219999999999</v>
      </c>
      <c r="M114" s="394"/>
    </row>
    <row r="115" spans="1:13" ht="18" customHeight="1" x14ac:dyDescent="0.25">
      <c r="A115" s="359"/>
      <c r="B115" s="507" t="s">
        <v>930</v>
      </c>
      <c r="C115" s="385" t="s">
        <v>171</v>
      </c>
      <c r="D115" s="386">
        <f>10.4*3</f>
        <v>31.200000000000003</v>
      </c>
      <c r="E115" s="387"/>
      <c r="F115" s="388"/>
      <c r="G115" s="388"/>
      <c r="H115" s="389">
        <v>85.5</v>
      </c>
      <c r="I115" s="388">
        <f>ROUND(H115*D115,2)</f>
        <v>2667.6</v>
      </c>
      <c r="J115" s="388">
        <f>ROUND(I115*1.2,2)</f>
        <v>3201.12</v>
      </c>
      <c r="K115" s="389">
        <f t="shared" si="56"/>
        <v>2667.6</v>
      </c>
      <c r="L115" s="388">
        <f t="shared" si="56"/>
        <v>3201.12</v>
      </c>
      <c r="M115" s="394"/>
    </row>
    <row r="116" spans="1:13" ht="18" customHeight="1" x14ac:dyDescent="0.25">
      <c r="A116" s="380"/>
      <c r="B116" s="505" t="s">
        <v>931</v>
      </c>
      <c r="C116" s="380" t="s">
        <v>75</v>
      </c>
      <c r="D116" s="506">
        <v>2</v>
      </c>
      <c r="E116" s="384">
        <v>1345.2</v>
      </c>
      <c r="F116" s="383">
        <f>ROUND(E116*D116,2)</f>
        <v>2690.4</v>
      </c>
      <c r="G116" s="383">
        <f>ROUND(F116*1.2,2)</f>
        <v>3228.48</v>
      </c>
      <c r="H116" s="384"/>
      <c r="I116" s="383"/>
      <c r="J116" s="383"/>
      <c r="K116" s="384">
        <f t="shared" si="56"/>
        <v>2690.4</v>
      </c>
      <c r="L116" s="383">
        <f t="shared" si="56"/>
        <v>3228.48</v>
      </c>
      <c r="M116" s="394"/>
    </row>
    <row r="117" spans="1:13" ht="18" customHeight="1" x14ac:dyDescent="0.25">
      <c r="A117" s="359"/>
      <c r="B117" s="507" t="s">
        <v>932</v>
      </c>
      <c r="C117" s="385" t="s">
        <v>171</v>
      </c>
      <c r="D117" s="386">
        <f>2.9*2</f>
        <v>5.8</v>
      </c>
      <c r="E117" s="387"/>
      <c r="F117" s="388"/>
      <c r="G117" s="388"/>
      <c r="H117" s="389">
        <v>85.5</v>
      </c>
      <c r="I117" s="388">
        <f>ROUND(H117*D117,2)</f>
        <v>495.9</v>
      </c>
      <c r="J117" s="388">
        <f>ROUND(I117*1.2,2)</f>
        <v>595.08000000000004</v>
      </c>
      <c r="K117" s="389">
        <f t="shared" ref="K117:L129" si="57">F117+I117</f>
        <v>495.9</v>
      </c>
      <c r="L117" s="388">
        <f t="shared" si="57"/>
        <v>595.08000000000004</v>
      </c>
      <c r="M117" s="394"/>
    </row>
    <row r="118" spans="1:13" ht="18" customHeight="1" x14ac:dyDescent="0.25">
      <c r="A118" s="380"/>
      <c r="B118" s="505" t="s">
        <v>933</v>
      </c>
      <c r="C118" s="380" t="s">
        <v>75</v>
      </c>
      <c r="D118" s="506">
        <v>1</v>
      </c>
      <c r="E118" s="384">
        <v>1229.3</v>
      </c>
      <c r="F118" s="383">
        <f>ROUND(E118*D118,2)</f>
        <v>1229.3</v>
      </c>
      <c r="G118" s="383">
        <f>ROUND(F118*1.2,2)</f>
        <v>1475.16</v>
      </c>
      <c r="H118" s="384"/>
      <c r="I118" s="383"/>
      <c r="J118" s="383"/>
      <c r="K118" s="384">
        <f t="shared" si="57"/>
        <v>1229.3</v>
      </c>
      <c r="L118" s="383">
        <f t="shared" si="57"/>
        <v>1475.16</v>
      </c>
      <c r="M118" s="394"/>
    </row>
    <row r="119" spans="1:13" ht="18" customHeight="1" x14ac:dyDescent="0.25">
      <c r="A119" s="359"/>
      <c r="B119" s="507" t="s">
        <v>934</v>
      </c>
      <c r="C119" s="385" t="s">
        <v>171</v>
      </c>
      <c r="D119" s="386">
        <v>1.6</v>
      </c>
      <c r="E119" s="387"/>
      <c r="F119" s="388"/>
      <c r="G119" s="388"/>
      <c r="H119" s="389">
        <v>85.5</v>
      </c>
      <c r="I119" s="388">
        <f>ROUND(H119*D119,2)</f>
        <v>136.80000000000001</v>
      </c>
      <c r="J119" s="388">
        <f>ROUND(I119*1.2,2)</f>
        <v>164.16</v>
      </c>
      <c r="K119" s="389">
        <f t="shared" si="57"/>
        <v>136.80000000000001</v>
      </c>
      <c r="L119" s="388">
        <f t="shared" si="57"/>
        <v>164.16</v>
      </c>
      <c r="M119" s="394"/>
    </row>
    <row r="120" spans="1:13" ht="18" customHeight="1" x14ac:dyDescent="0.25">
      <c r="A120" s="380"/>
      <c r="B120" s="505" t="s">
        <v>935</v>
      </c>
      <c r="C120" s="380" t="s">
        <v>75</v>
      </c>
      <c r="D120" s="506">
        <v>2</v>
      </c>
      <c r="E120" s="384">
        <v>4074.55</v>
      </c>
      <c r="F120" s="383">
        <f>ROUND(E120*D120,2)</f>
        <v>8149.1</v>
      </c>
      <c r="G120" s="383">
        <f>ROUND(F120*1.2,2)</f>
        <v>9778.92</v>
      </c>
      <c r="H120" s="384"/>
      <c r="I120" s="383"/>
      <c r="J120" s="383"/>
      <c r="K120" s="384">
        <f t="shared" si="57"/>
        <v>8149.1</v>
      </c>
      <c r="L120" s="383">
        <f t="shared" si="57"/>
        <v>9778.92</v>
      </c>
      <c r="M120" s="394"/>
    </row>
    <row r="121" spans="1:13" ht="18" customHeight="1" x14ac:dyDescent="0.25">
      <c r="A121" s="359"/>
      <c r="B121" s="507" t="s">
        <v>936</v>
      </c>
      <c r="C121" s="385" t="s">
        <v>75</v>
      </c>
      <c r="D121" s="531">
        <v>2</v>
      </c>
      <c r="E121" s="387"/>
      <c r="F121" s="388"/>
      <c r="G121" s="388"/>
      <c r="H121" s="389">
        <v>2707.5</v>
      </c>
      <c r="I121" s="388">
        <f>ROUND(H121*D121,2)</f>
        <v>5415</v>
      </c>
      <c r="J121" s="388">
        <f>ROUND(I121*1.2,2)</f>
        <v>6498</v>
      </c>
      <c r="K121" s="389">
        <f t="shared" si="57"/>
        <v>5415</v>
      </c>
      <c r="L121" s="388">
        <f t="shared" si="57"/>
        <v>6498</v>
      </c>
      <c r="M121" s="394"/>
    </row>
    <row r="122" spans="1:13" ht="18" customHeight="1" x14ac:dyDescent="0.25">
      <c r="A122" s="380"/>
      <c r="B122" s="505" t="s">
        <v>937</v>
      </c>
      <c r="C122" s="380" t="s">
        <v>75</v>
      </c>
      <c r="D122" s="506">
        <v>2</v>
      </c>
      <c r="E122" s="384">
        <v>1974.1</v>
      </c>
      <c r="F122" s="383">
        <f t="shared" ref="F122:F128" si="58">ROUND(E122*D122,2)</f>
        <v>3948.2</v>
      </c>
      <c r="G122" s="383">
        <f t="shared" ref="G122:G128" si="59">ROUND(F122*1.2,2)</f>
        <v>4737.84</v>
      </c>
      <c r="H122" s="384"/>
      <c r="I122" s="383"/>
      <c r="J122" s="383"/>
      <c r="K122" s="384">
        <f t="shared" si="57"/>
        <v>3948.2</v>
      </c>
      <c r="L122" s="383">
        <f t="shared" si="57"/>
        <v>4737.84</v>
      </c>
      <c r="M122" s="394"/>
    </row>
    <row r="123" spans="1:13" ht="18" customHeight="1" x14ac:dyDescent="0.25">
      <c r="A123" s="359"/>
      <c r="B123" s="507" t="s">
        <v>938</v>
      </c>
      <c r="C123" s="385" t="s">
        <v>75</v>
      </c>
      <c r="D123" s="531">
        <v>2</v>
      </c>
      <c r="E123" s="387"/>
      <c r="F123" s="388"/>
      <c r="G123" s="388"/>
      <c r="H123" s="389">
        <v>14421</v>
      </c>
      <c r="I123" s="388">
        <f>ROUND(H123*D123,2)</f>
        <v>28842</v>
      </c>
      <c r="J123" s="388">
        <f>ROUND(I123*1.2,2)</f>
        <v>34610.400000000001</v>
      </c>
      <c r="K123" s="389">
        <f t="shared" si="57"/>
        <v>28842</v>
      </c>
      <c r="L123" s="388">
        <f t="shared" si="57"/>
        <v>34610.400000000001</v>
      </c>
      <c r="M123" s="394"/>
    </row>
    <row r="124" spans="1:13" ht="30" x14ac:dyDescent="0.25">
      <c r="A124" s="380"/>
      <c r="B124" s="505" t="s">
        <v>939</v>
      </c>
      <c r="C124" s="380" t="s">
        <v>75</v>
      </c>
      <c r="D124" s="506">
        <v>2</v>
      </c>
      <c r="E124" s="384">
        <v>5383.65</v>
      </c>
      <c r="F124" s="383">
        <f t="shared" si="58"/>
        <v>10767.3</v>
      </c>
      <c r="G124" s="383">
        <f t="shared" si="59"/>
        <v>12920.76</v>
      </c>
      <c r="H124" s="384"/>
      <c r="I124" s="383"/>
      <c r="J124" s="383"/>
      <c r="K124" s="384">
        <f t="shared" si="57"/>
        <v>10767.3</v>
      </c>
      <c r="L124" s="383">
        <f t="shared" si="57"/>
        <v>12920.76</v>
      </c>
      <c r="M124" s="394"/>
    </row>
    <row r="125" spans="1:13" ht="18" customHeight="1" x14ac:dyDescent="0.25">
      <c r="A125" s="359"/>
      <c r="B125" s="507" t="s">
        <v>940</v>
      </c>
      <c r="C125" s="385" t="s">
        <v>75</v>
      </c>
      <c r="D125" s="531">
        <v>2</v>
      </c>
      <c r="E125" s="387"/>
      <c r="F125" s="388"/>
      <c r="G125" s="388"/>
      <c r="H125" s="389">
        <v>5538.5</v>
      </c>
      <c r="I125" s="388">
        <f>ROUND(H125*D125,2)</f>
        <v>11077</v>
      </c>
      <c r="J125" s="388">
        <f>ROUND(I125*1.2,2)</f>
        <v>13292.4</v>
      </c>
      <c r="K125" s="389">
        <f t="shared" si="57"/>
        <v>11077</v>
      </c>
      <c r="L125" s="388">
        <f t="shared" si="57"/>
        <v>13292.4</v>
      </c>
      <c r="M125" s="394"/>
    </row>
    <row r="126" spans="1:13" ht="30" x14ac:dyDescent="0.25">
      <c r="A126" s="380"/>
      <c r="B126" s="505" t="s">
        <v>941</v>
      </c>
      <c r="C126" s="380" t="s">
        <v>75</v>
      </c>
      <c r="D126" s="506">
        <v>2</v>
      </c>
      <c r="E126" s="384">
        <v>17767.849999999999</v>
      </c>
      <c r="F126" s="383">
        <f t="shared" si="58"/>
        <v>35535.699999999997</v>
      </c>
      <c r="G126" s="383">
        <f t="shared" si="59"/>
        <v>42642.84</v>
      </c>
      <c r="H126" s="384"/>
      <c r="I126" s="383"/>
      <c r="J126" s="383"/>
      <c r="K126" s="384">
        <f t="shared" si="57"/>
        <v>35535.699999999997</v>
      </c>
      <c r="L126" s="383">
        <f t="shared" si="57"/>
        <v>42642.84</v>
      </c>
      <c r="M126" s="394"/>
    </row>
    <row r="127" spans="1:13" ht="18" customHeight="1" x14ac:dyDescent="0.25">
      <c r="A127" s="359"/>
      <c r="B127" s="507" t="s">
        <v>942</v>
      </c>
      <c r="C127" s="385" t="s">
        <v>75</v>
      </c>
      <c r="D127" s="531">
        <v>2</v>
      </c>
      <c r="E127" s="387"/>
      <c r="F127" s="388"/>
      <c r="G127" s="388"/>
      <c r="H127" s="389">
        <v>19950</v>
      </c>
      <c r="I127" s="388">
        <f>ROUND(H127*D127,2)</f>
        <v>39900</v>
      </c>
      <c r="J127" s="388">
        <f>ROUND(I127*1.2,2)</f>
        <v>47880</v>
      </c>
      <c r="K127" s="389">
        <f t="shared" si="57"/>
        <v>39900</v>
      </c>
      <c r="L127" s="388">
        <f t="shared" si="57"/>
        <v>47880</v>
      </c>
      <c r="M127" s="394"/>
    </row>
    <row r="128" spans="1:13" ht="30" x14ac:dyDescent="0.25">
      <c r="A128" s="380"/>
      <c r="B128" s="505" t="s">
        <v>943</v>
      </c>
      <c r="C128" s="380" t="s">
        <v>75</v>
      </c>
      <c r="D128" s="506">
        <v>2</v>
      </c>
      <c r="E128" s="384">
        <v>6612</v>
      </c>
      <c r="F128" s="383">
        <f t="shared" si="58"/>
        <v>13224</v>
      </c>
      <c r="G128" s="383">
        <f t="shared" si="59"/>
        <v>15868.8</v>
      </c>
      <c r="H128" s="384"/>
      <c r="I128" s="383"/>
      <c r="J128" s="383"/>
      <c r="K128" s="384">
        <f t="shared" si="57"/>
        <v>13224</v>
      </c>
      <c r="L128" s="383">
        <f t="shared" si="57"/>
        <v>15868.8</v>
      </c>
      <c r="M128" s="394"/>
    </row>
    <row r="129" spans="1:13" ht="18" customHeight="1" x14ac:dyDescent="0.25">
      <c r="A129" s="359"/>
      <c r="B129" s="507" t="s">
        <v>944</v>
      </c>
      <c r="C129" s="385" t="s">
        <v>75</v>
      </c>
      <c r="D129" s="531">
        <v>2</v>
      </c>
      <c r="E129" s="387"/>
      <c r="F129" s="388"/>
      <c r="G129" s="388"/>
      <c r="H129" s="389">
        <v>11970</v>
      </c>
      <c r="I129" s="388">
        <f>ROUND(H129*D129,2)</f>
        <v>23940</v>
      </c>
      <c r="J129" s="388">
        <f>ROUND(I129*1.2,2)</f>
        <v>28728</v>
      </c>
      <c r="K129" s="389">
        <f t="shared" si="57"/>
        <v>23940</v>
      </c>
      <c r="L129" s="388">
        <f t="shared" si="57"/>
        <v>28728</v>
      </c>
      <c r="M129" s="394"/>
    </row>
    <row r="130" spans="1:13" ht="22.5" customHeight="1" x14ac:dyDescent="0.25">
      <c r="A130" s="532"/>
      <c r="B130" s="533" t="s">
        <v>945</v>
      </c>
      <c r="C130" s="534"/>
      <c r="D130" s="535"/>
      <c r="E130" s="536"/>
      <c r="F130" s="537"/>
      <c r="G130" s="537"/>
      <c r="H130" s="536"/>
      <c r="I130" s="538"/>
      <c r="J130" s="538"/>
      <c r="K130" s="539"/>
      <c r="L130" s="538"/>
      <c r="M130" s="394"/>
    </row>
    <row r="131" spans="1:13" ht="18.75" customHeight="1" x14ac:dyDescent="0.25">
      <c r="A131" s="380"/>
      <c r="B131" s="505" t="s">
        <v>946</v>
      </c>
      <c r="C131" s="380" t="s">
        <v>75</v>
      </c>
      <c r="D131" s="506">
        <v>4</v>
      </c>
      <c r="E131" s="384">
        <v>403.75</v>
      </c>
      <c r="F131" s="383">
        <f>ROUND(E131*D131,2)</f>
        <v>1615</v>
      </c>
      <c r="G131" s="383">
        <f>ROUND(F131*1.2,2)</f>
        <v>1938</v>
      </c>
      <c r="H131" s="384"/>
      <c r="I131" s="383"/>
      <c r="J131" s="383"/>
      <c r="K131" s="384">
        <f t="shared" ref="K131:L139" si="60">F131+I131</f>
        <v>1615</v>
      </c>
      <c r="L131" s="383">
        <f t="shared" si="60"/>
        <v>1938</v>
      </c>
      <c r="M131" s="394"/>
    </row>
    <row r="132" spans="1:13" ht="18.75" customHeight="1" x14ac:dyDescent="0.25">
      <c r="A132" s="525"/>
      <c r="B132" s="507" t="s">
        <v>947</v>
      </c>
      <c r="C132" s="385" t="s">
        <v>75</v>
      </c>
      <c r="D132" s="508">
        <v>4</v>
      </c>
      <c r="E132" s="389"/>
      <c r="F132" s="388"/>
      <c r="G132" s="388"/>
      <c r="H132" s="509">
        <v>1520</v>
      </c>
      <c r="I132" s="388">
        <f>ROUND(H132*D132,2)</f>
        <v>6080</v>
      </c>
      <c r="J132" s="388">
        <f>ROUND(I132*1.2,2)</f>
        <v>7296</v>
      </c>
      <c r="K132" s="389">
        <f t="shared" si="60"/>
        <v>6080</v>
      </c>
      <c r="L132" s="388">
        <f t="shared" si="60"/>
        <v>7296</v>
      </c>
      <c r="M132" s="394"/>
    </row>
    <row r="133" spans="1:13" ht="18.75" customHeight="1" x14ac:dyDescent="0.25">
      <c r="A133" s="525"/>
      <c r="B133" s="507" t="s">
        <v>948</v>
      </c>
      <c r="C133" s="385" t="s">
        <v>171</v>
      </c>
      <c r="D133" s="511">
        <v>2.64</v>
      </c>
      <c r="E133" s="389"/>
      <c r="F133" s="388"/>
      <c r="G133" s="388"/>
      <c r="H133" s="509">
        <v>119.69999999999999</v>
      </c>
      <c r="I133" s="388">
        <f t="shared" ref="I133:I139" si="61">ROUND(H133*D133,2)</f>
        <v>316.01</v>
      </c>
      <c r="J133" s="388">
        <f t="shared" ref="J133:J139" si="62">ROUND(I133*1.2,2)</f>
        <v>379.21</v>
      </c>
      <c r="K133" s="389">
        <f t="shared" si="60"/>
        <v>316.01</v>
      </c>
      <c r="L133" s="388">
        <f t="shared" si="60"/>
        <v>379.21</v>
      </c>
      <c r="M133" s="394"/>
    </row>
    <row r="134" spans="1:13" ht="18.75" customHeight="1" x14ac:dyDescent="0.25">
      <c r="A134" s="525"/>
      <c r="B134" s="507" t="s">
        <v>949</v>
      </c>
      <c r="C134" s="385" t="s">
        <v>75</v>
      </c>
      <c r="D134" s="508">
        <v>4</v>
      </c>
      <c r="E134" s="389"/>
      <c r="F134" s="388"/>
      <c r="G134" s="388"/>
      <c r="H134" s="509">
        <v>1533.3</v>
      </c>
      <c r="I134" s="388">
        <f t="shared" si="61"/>
        <v>6133.2</v>
      </c>
      <c r="J134" s="388">
        <f t="shared" si="62"/>
        <v>7359.84</v>
      </c>
      <c r="K134" s="389">
        <f t="shared" si="60"/>
        <v>6133.2</v>
      </c>
      <c r="L134" s="388">
        <f t="shared" si="60"/>
        <v>7359.84</v>
      </c>
      <c r="M134" s="394"/>
    </row>
    <row r="135" spans="1:13" ht="18.75" customHeight="1" x14ac:dyDescent="0.25">
      <c r="A135" s="525"/>
      <c r="B135" s="507" t="s">
        <v>950</v>
      </c>
      <c r="C135" s="385" t="s">
        <v>72</v>
      </c>
      <c r="D135" s="517">
        <v>0.8</v>
      </c>
      <c r="E135" s="389"/>
      <c r="F135" s="388"/>
      <c r="G135" s="388"/>
      <c r="H135" s="509">
        <v>456</v>
      </c>
      <c r="I135" s="388">
        <f t="shared" si="61"/>
        <v>364.8</v>
      </c>
      <c r="J135" s="388">
        <f t="shared" si="62"/>
        <v>437.76</v>
      </c>
      <c r="K135" s="389">
        <f t="shared" si="60"/>
        <v>364.8</v>
      </c>
      <c r="L135" s="388">
        <f t="shared" si="60"/>
        <v>437.76</v>
      </c>
      <c r="M135" s="394"/>
    </row>
    <row r="136" spans="1:13" ht="18.75" customHeight="1" x14ac:dyDescent="0.25">
      <c r="A136" s="525"/>
      <c r="B136" s="507" t="s">
        <v>951</v>
      </c>
      <c r="C136" s="385" t="s">
        <v>171</v>
      </c>
      <c r="D136" s="540">
        <v>0.25600000000000001</v>
      </c>
      <c r="E136" s="389"/>
      <c r="F136" s="388"/>
      <c r="G136" s="388"/>
      <c r="H136" s="509">
        <v>120.64999999999999</v>
      </c>
      <c r="I136" s="388">
        <f t="shared" si="61"/>
        <v>30.89</v>
      </c>
      <c r="J136" s="388">
        <f t="shared" si="62"/>
        <v>37.07</v>
      </c>
      <c r="K136" s="389">
        <f t="shared" si="60"/>
        <v>30.89</v>
      </c>
      <c r="L136" s="388">
        <f t="shared" si="60"/>
        <v>37.07</v>
      </c>
      <c r="M136" s="394"/>
    </row>
    <row r="137" spans="1:13" ht="18.75" customHeight="1" x14ac:dyDescent="0.25">
      <c r="A137" s="525"/>
      <c r="B137" s="507" t="s">
        <v>952</v>
      </c>
      <c r="C137" s="385" t="s">
        <v>171</v>
      </c>
      <c r="D137" s="540">
        <v>9.6000000000000002E-2</v>
      </c>
      <c r="E137" s="389"/>
      <c r="F137" s="388"/>
      <c r="G137" s="388"/>
      <c r="H137" s="509">
        <v>139.65</v>
      </c>
      <c r="I137" s="388">
        <f t="shared" si="61"/>
        <v>13.41</v>
      </c>
      <c r="J137" s="388">
        <f t="shared" si="62"/>
        <v>16.09</v>
      </c>
      <c r="K137" s="389">
        <f t="shared" si="60"/>
        <v>13.41</v>
      </c>
      <c r="L137" s="388">
        <f t="shared" si="60"/>
        <v>16.09</v>
      </c>
      <c r="M137" s="394"/>
    </row>
    <row r="138" spans="1:13" ht="18.75" customHeight="1" x14ac:dyDescent="0.25">
      <c r="A138" s="525"/>
      <c r="B138" s="507" t="s">
        <v>953</v>
      </c>
      <c r="C138" s="385" t="s">
        <v>171</v>
      </c>
      <c r="D138" s="540">
        <v>1.6E-2</v>
      </c>
      <c r="E138" s="389"/>
      <c r="F138" s="388"/>
      <c r="G138" s="388"/>
      <c r="H138" s="509">
        <v>187.14999999999998</v>
      </c>
      <c r="I138" s="388">
        <f t="shared" si="61"/>
        <v>2.99</v>
      </c>
      <c r="J138" s="388">
        <f t="shared" si="62"/>
        <v>3.59</v>
      </c>
      <c r="K138" s="389">
        <f t="shared" si="60"/>
        <v>2.99</v>
      </c>
      <c r="L138" s="388">
        <f t="shared" si="60"/>
        <v>3.59</v>
      </c>
      <c r="M138" s="394"/>
    </row>
    <row r="139" spans="1:13" ht="18.75" customHeight="1" x14ac:dyDescent="0.25">
      <c r="A139" s="525"/>
      <c r="B139" s="507" t="s">
        <v>954</v>
      </c>
      <c r="C139" s="385" t="s">
        <v>171</v>
      </c>
      <c r="D139" s="540">
        <v>3.2000000000000001E-2</v>
      </c>
      <c r="E139" s="389"/>
      <c r="F139" s="388"/>
      <c r="G139" s="388"/>
      <c r="H139" s="509">
        <v>187.14999999999998</v>
      </c>
      <c r="I139" s="388">
        <f t="shared" si="61"/>
        <v>5.99</v>
      </c>
      <c r="J139" s="388">
        <f t="shared" si="62"/>
        <v>7.19</v>
      </c>
      <c r="K139" s="389">
        <f t="shared" si="60"/>
        <v>5.99</v>
      </c>
      <c r="L139" s="388">
        <f t="shared" si="60"/>
        <v>7.19</v>
      </c>
      <c r="M139" s="394"/>
    </row>
    <row r="140" spans="1:13" ht="22.5" customHeight="1" x14ac:dyDescent="0.25">
      <c r="A140" s="361"/>
      <c r="B140" s="533" t="s">
        <v>955</v>
      </c>
      <c r="C140" s="390"/>
      <c r="D140" s="391"/>
      <c r="E140" s="392"/>
      <c r="F140" s="393"/>
      <c r="G140" s="393"/>
      <c r="H140" s="392"/>
      <c r="I140" s="366"/>
      <c r="J140" s="366"/>
      <c r="K140" s="367"/>
      <c r="L140" s="366"/>
      <c r="M140" s="394"/>
    </row>
    <row r="141" spans="1:13" ht="24" customHeight="1" x14ac:dyDescent="0.25">
      <c r="A141" s="369"/>
      <c r="B141" s="505" t="s">
        <v>956</v>
      </c>
      <c r="C141" s="380" t="s">
        <v>84</v>
      </c>
      <c r="D141" s="529">
        <v>2.153</v>
      </c>
      <c r="E141" s="384">
        <v>17265.3</v>
      </c>
      <c r="F141" s="383">
        <f>ROUND(E141*D141,2)</f>
        <v>37172.19</v>
      </c>
      <c r="G141" s="383">
        <f t="shared" ref="G141" si="63">ROUND(F141*1.2,2)</f>
        <v>44606.63</v>
      </c>
      <c r="H141" s="384"/>
      <c r="I141" s="383"/>
      <c r="J141" s="383"/>
      <c r="K141" s="384">
        <f t="shared" ref="K141:L160" si="64">F141+I141</f>
        <v>37172.19</v>
      </c>
      <c r="L141" s="383">
        <f t="shared" si="64"/>
        <v>44606.63</v>
      </c>
      <c r="M141" s="394"/>
    </row>
    <row r="142" spans="1:13" ht="18" customHeight="1" x14ac:dyDescent="0.25">
      <c r="A142" s="359"/>
      <c r="B142" s="58" t="s">
        <v>936</v>
      </c>
      <c r="C142" s="385" t="s">
        <v>75</v>
      </c>
      <c r="D142" s="541">
        <v>1</v>
      </c>
      <c r="E142" s="387"/>
      <c r="F142" s="388"/>
      <c r="G142" s="388"/>
      <c r="H142" s="509">
        <v>2707.5</v>
      </c>
      <c r="I142" s="388">
        <f>ROUND(H142*D142,2)</f>
        <v>2707.5</v>
      </c>
      <c r="J142" s="388">
        <f>ROUND(I142*1.2,2)</f>
        <v>3249</v>
      </c>
      <c r="K142" s="389">
        <f t="shared" si="64"/>
        <v>2707.5</v>
      </c>
      <c r="L142" s="388">
        <f t="shared" si="64"/>
        <v>3249</v>
      </c>
      <c r="M142" s="394"/>
    </row>
    <row r="143" spans="1:13" ht="18" customHeight="1" x14ac:dyDescent="0.25">
      <c r="A143" s="359"/>
      <c r="B143" s="507" t="s">
        <v>957</v>
      </c>
      <c r="C143" s="385" t="s">
        <v>75</v>
      </c>
      <c r="D143" s="541">
        <v>1</v>
      </c>
      <c r="E143" s="387"/>
      <c r="F143" s="388"/>
      <c r="G143" s="388"/>
      <c r="H143" s="509">
        <v>2831</v>
      </c>
      <c r="I143" s="388">
        <f t="shared" ref="I143:I148" si="65">ROUND(H143*D143,2)</f>
        <v>2831</v>
      </c>
      <c r="J143" s="388">
        <f t="shared" ref="J143:J148" si="66">ROUND(I143*1.2,2)</f>
        <v>3397.2</v>
      </c>
      <c r="K143" s="389">
        <f t="shared" si="64"/>
        <v>2831</v>
      </c>
      <c r="L143" s="388">
        <f t="shared" si="64"/>
        <v>3397.2</v>
      </c>
      <c r="M143" s="394"/>
    </row>
    <row r="144" spans="1:13" ht="18" customHeight="1" x14ac:dyDescent="0.25">
      <c r="A144" s="359"/>
      <c r="B144" s="507" t="s">
        <v>958</v>
      </c>
      <c r="C144" s="385" t="s">
        <v>75</v>
      </c>
      <c r="D144" s="541">
        <v>1</v>
      </c>
      <c r="E144" s="387"/>
      <c r="F144" s="388"/>
      <c r="G144" s="388"/>
      <c r="H144" s="509">
        <v>5177.5</v>
      </c>
      <c r="I144" s="388">
        <f t="shared" si="65"/>
        <v>5177.5</v>
      </c>
      <c r="J144" s="388">
        <f t="shared" si="66"/>
        <v>6213</v>
      </c>
      <c r="K144" s="389">
        <f t="shared" si="64"/>
        <v>5177.5</v>
      </c>
      <c r="L144" s="388">
        <f t="shared" si="64"/>
        <v>6213</v>
      </c>
      <c r="M144" s="394"/>
    </row>
    <row r="145" spans="1:15" ht="18" customHeight="1" x14ac:dyDescent="0.25">
      <c r="A145" s="359"/>
      <c r="B145" s="507" t="s">
        <v>940</v>
      </c>
      <c r="C145" s="385" t="s">
        <v>75</v>
      </c>
      <c r="D145" s="541">
        <v>1</v>
      </c>
      <c r="E145" s="387"/>
      <c r="F145" s="388"/>
      <c r="G145" s="388"/>
      <c r="H145" s="509">
        <v>5538.5</v>
      </c>
      <c r="I145" s="388">
        <f t="shared" si="65"/>
        <v>5538.5</v>
      </c>
      <c r="J145" s="388">
        <f t="shared" si="66"/>
        <v>6646.2</v>
      </c>
      <c r="K145" s="389">
        <f t="shared" si="64"/>
        <v>5538.5</v>
      </c>
      <c r="L145" s="388">
        <f t="shared" si="64"/>
        <v>6646.2</v>
      </c>
      <c r="M145" s="394"/>
    </row>
    <row r="146" spans="1:15" ht="18" customHeight="1" x14ac:dyDescent="0.25">
      <c r="A146" s="359"/>
      <c r="B146" s="507" t="s">
        <v>938</v>
      </c>
      <c r="C146" s="385" t="s">
        <v>75</v>
      </c>
      <c r="D146" s="541">
        <v>1</v>
      </c>
      <c r="E146" s="387"/>
      <c r="F146" s="388"/>
      <c r="G146" s="388"/>
      <c r="H146" s="509">
        <v>14421.000000000002</v>
      </c>
      <c r="I146" s="388">
        <f t="shared" si="65"/>
        <v>14421</v>
      </c>
      <c r="J146" s="388">
        <f t="shared" si="66"/>
        <v>17305.2</v>
      </c>
      <c r="K146" s="389">
        <f t="shared" si="64"/>
        <v>14421</v>
      </c>
      <c r="L146" s="388">
        <f t="shared" si="64"/>
        <v>17305.2</v>
      </c>
      <c r="M146" s="394"/>
    </row>
    <row r="147" spans="1:15" s="426" customFormat="1" ht="18" customHeight="1" x14ac:dyDescent="0.25">
      <c r="A147" s="432"/>
      <c r="B147" s="543" t="s">
        <v>959</v>
      </c>
      <c r="C147" s="420" t="s">
        <v>171</v>
      </c>
      <c r="D147" s="544">
        <v>29.2</v>
      </c>
      <c r="E147" s="422"/>
      <c r="F147" s="423"/>
      <c r="G147" s="423"/>
      <c r="H147" s="436">
        <v>5206</v>
      </c>
      <c r="I147" s="423">
        <f t="shared" si="65"/>
        <v>152015.20000000001</v>
      </c>
      <c r="J147" s="423">
        <f t="shared" si="66"/>
        <v>182418.24</v>
      </c>
      <c r="K147" s="424">
        <f t="shared" si="64"/>
        <v>152015.20000000001</v>
      </c>
      <c r="L147" s="423">
        <f t="shared" si="64"/>
        <v>182418.24</v>
      </c>
      <c r="M147" s="545"/>
      <c r="N147" s="822" t="s">
        <v>971</v>
      </c>
      <c r="O147" s="821">
        <f>L147-3500</f>
        <v>178918.24</v>
      </c>
    </row>
    <row r="148" spans="1:15" ht="18" customHeight="1" x14ac:dyDescent="0.25">
      <c r="A148" s="359"/>
      <c r="B148" s="507" t="s">
        <v>960</v>
      </c>
      <c r="C148" s="385" t="s">
        <v>75</v>
      </c>
      <c r="D148" s="541">
        <v>1</v>
      </c>
      <c r="E148" s="387"/>
      <c r="F148" s="388"/>
      <c r="G148" s="388"/>
      <c r="H148" s="509">
        <v>14212</v>
      </c>
      <c r="I148" s="388">
        <f t="shared" si="65"/>
        <v>14212</v>
      </c>
      <c r="J148" s="388">
        <f t="shared" si="66"/>
        <v>17054.400000000001</v>
      </c>
      <c r="K148" s="389">
        <f t="shared" si="64"/>
        <v>14212</v>
      </c>
      <c r="L148" s="388">
        <f t="shared" si="64"/>
        <v>17054.400000000001</v>
      </c>
      <c r="M148" s="394"/>
    </row>
    <row r="149" spans="1:15" s="401" customFormat="1" ht="22.5" customHeight="1" x14ac:dyDescent="0.25">
      <c r="A149" s="520"/>
      <c r="B149" s="46" t="s">
        <v>868</v>
      </c>
      <c r="C149" s="380" t="s">
        <v>77</v>
      </c>
      <c r="D149" s="381">
        <v>0.91</v>
      </c>
      <c r="E149" s="382">
        <v>80.75</v>
      </c>
      <c r="F149" s="383">
        <f>ROUND(E149*D149,2)</f>
        <v>73.48</v>
      </c>
      <c r="G149" s="383">
        <f>ROUND(F149*1.2,2)</f>
        <v>88.18</v>
      </c>
      <c r="H149" s="382"/>
      <c r="I149" s="383"/>
      <c r="J149" s="383"/>
      <c r="K149" s="384">
        <f t="shared" si="64"/>
        <v>73.48</v>
      </c>
      <c r="L149" s="383">
        <f t="shared" si="64"/>
        <v>88.18</v>
      </c>
    </row>
    <row r="150" spans="1:15" s="401" customFormat="1" ht="22.5" customHeight="1" x14ac:dyDescent="0.25">
      <c r="A150" s="520"/>
      <c r="B150" s="46" t="s">
        <v>904</v>
      </c>
      <c r="C150" s="380" t="s">
        <v>77</v>
      </c>
      <c r="D150" s="381">
        <v>0.91</v>
      </c>
      <c r="E150" s="382">
        <v>144.4</v>
      </c>
      <c r="F150" s="383">
        <f>ROUND(E150*D150,2)</f>
        <v>131.4</v>
      </c>
      <c r="G150" s="383">
        <f>ROUND(F150*1.2,2)</f>
        <v>157.68</v>
      </c>
      <c r="H150" s="382"/>
      <c r="I150" s="383"/>
      <c r="J150" s="383"/>
      <c r="K150" s="384">
        <f t="shared" si="64"/>
        <v>131.4</v>
      </c>
      <c r="L150" s="383">
        <f t="shared" si="64"/>
        <v>157.68</v>
      </c>
    </row>
    <row r="151" spans="1:15" s="401" customFormat="1" ht="20.25" customHeight="1" x14ac:dyDescent="0.25">
      <c r="A151" s="359"/>
      <c r="B151" s="58" t="s">
        <v>905</v>
      </c>
      <c r="C151" s="385" t="s">
        <v>171</v>
      </c>
      <c r="D151" s="526">
        <f>D150*0.15</f>
        <v>0.13650000000000001</v>
      </c>
      <c r="E151" s="389"/>
      <c r="F151" s="388"/>
      <c r="G151" s="388"/>
      <c r="H151" s="389">
        <v>149.15</v>
      </c>
      <c r="I151" s="388">
        <f>ROUND(H151*D151,2)</f>
        <v>20.36</v>
      </c>
      <c r="J151" s="388">
        <f>ROUND(I151*1.2,2)</f>
        <v>24.43</v>
      </c>
      <c r="K151" s="389">
        <f t="shared" si="64"/>
        <v>20.36</v>
      </c>
      <c r="L151" s="388">
        <f t="shared" si="64"/>
        <v>24.43</v>
      </c>
    </row>
    <row r="152" spans="1:15" s="401" customFormat="1" ht="20.25" customHeight="1" x14ac:dyDescent="0.25">
      <c r="A152" s="520"/>
      <c r="B152" s="46" t="s">
        <v>906</v>
      </c>
      <c r="C152" s="380" t="s">
        <v>77</v>
      </c>
      <c r="D152" s="381">
        <v>0.91</v>
      </c>
      <c r="E152" s="382">
        <v>288.8</v>
      </c>
      <c r="F152" s="383">
        <f>ROUND(E152*D152,2)</f>
        <v>262.81</v>
      </c>
      <c r="G152" s="383">
        <f>ROUND(F152*1.2,2)</f>
        <v>315.37</v>
      </c>
      <c r="H152" s="503"/>
      <c r="I152" s="383"/>
      <c r="J152" s="383"/>
      <c r="K152" s="384">
        <f t="shared" si="64"/>
        <v>262.81</v>
      </c>
      <c r="L152" s="383">
        <f t="shared" si="64"/>
        <v>315.37</v>
      </c>
    </row>
    <row r="153" spans="1:15" s="401" customFormat="1" ht="20.25" customHeight="1" x14ac:dyDescent="0.25">
      <c r="A153" s="359"/>
      <c r="B153" s="58" t="s">
        <v>907</v>
      </c>
      <c r="C153" s="385" t="s">
        <v>171</v>
      </c>
      <c r="D153" s="526">
        <f>D152*0.32</f>
        <v>0.29120000000000001</v>
      </c>
      <c r="E153" s="389"/>
      <c r="F153" s="388"/>
      <c r="G153" s="388"/>
      <c r="H153" s="389">
        <v>165.3</v>
      </c>
      <c r="I153" s="388">
        <f>ROUND(H153*D153,2)</f>
        <v>48.14</v>
      </c>
      <c r="J153" s="388">
        <f>ROUND(I153*1.2,2)</f>
        <v>57.77</v>
      </c>
      <c r="K153" s="389">
        <f t="shared" si="64"/>
        <v>48.14</v>
      </c>
      <c r="L153" s="388">
        <f t="shared" si="64"/>
        <v>57.77</v>
      </c>
    </row>
    <row r="154" spans="1:15" ht="18" customHeight="1" x14ac:dyDescent="0.25">
      <c r="A154" s="520"/>
      <c r="B154" s="46" t="s">
        <v>917</v>
      </c>
      <c r="C154" s="380" t="s">
        <v>77</v>
      </c>
      <c r="D154" s="381">
        <v>41.6</v>
      </c>
      <c r="E154" s="382">
        <v>144.4</v>
      </c>
      <c r="F154" s="383">
        <f>ROUND(E154*D154,2)</f>
        <v>6007.04</v>
      </c>
      <c r="G154" s="383">
        <f>ROUND(F154*1.2,2)</f>
        <v>7208.45</v>
      </c>
      <c r="H154" s="503"/>
      <c r="I154" s="383"/>
      <c r="J154" s="383"/>
      <c r="K154" s="384">
        <f t="shared" si="64"/>
        <v>6007.04</v>
      </c>
      <c r="L154" s="383">
        <f t="shared" si="64"/>
        <v>7208.45</v>
      </c>
      <c r="M154" s="394"/>
    </row>
    <row r="155" spans="1:15" s="401" customFormat="1" ht="20.25" customHeight="1" x14ac:dyDescent="0.25">
      <c r="A155" s="359"/>
      <c r="B155" s="58" t="s">
        <v>461</v>
      </c>
      <c r="C155" s="385" t="s">
        <v>171</v>
      </c>
      <c r="D155" s="526">
        <v>12.48</v>
      </c>
      <c r="E155" s="389"/>
      <c r="F155" s="388"/>
      <c r="G155" s="388"/>
      <c r="H155" s="389">
        <v>237.5</v>
      </c>
      <c r="I155" s="388">
        <f>ROUND(H155*D155,2)</f>
        <v>2964</v>
      </c>
      <c r="J155" s="388">
        <f>ROUND(I155*1.2,2)</f>
        <v>3556.8</v>
      </c>
      <c r="K155" s="389">
        <f t="shared" si="64"/>
        <v>2964</v>
      </c>
      <c r="L155" s="388">
        <f t="shared" si="64"/>
        <v>3556.8</v>
      </c>
    </row>
    <row r="156" spans="1:15" ht="18" customHeight="1" x14ac:dyDescent="0.25">
      <c r="A156" s="520"/>
      <c r="B156" s="46" t="s">
        <v>918</v>
      </c>
      <c r="C156" s="380" t="s">
        <v>77</v>
      </c>
      <c r="D156" s="381">
        <v>41.6</v>
      </c>
      <c r="E156" s="382">
        <v>299.76</v>
      </c>
      <c r="F156" s="383">
        <f>ROUND(E156*D156,2)</f>
        <v>12470.02</v>
      </c>
      <c r="G156" s="383">
        <f>ROUND(F156*1.2,2)</f>
        <v>14964.02</v>
      </c>
      <c r="H156" s="503"/>
      <c r="I156" s="383"/>
      <c r="J156" s="383"/>
      <c r="K156" s="384">
        <f t="shared" si="64"/>
        <v>12470.02</v>
      </c>
      <c r="L156" s="383">
        <f t="shared" si="64"/>
        <v>14964.02</v>
      </c>
      <c r="M156" s="394"/>
    </row>
    <row r="157" spans="1:15" s="401" customFormat="1" ht="20.25" customHeight="1" x14ac:dyDescent="0.25">
      <c r="A157" s="359"/>
      <c r="B157" s="58" t="s">
        <v>871</v>
      </c>
      <c r="C157" s="385" t="s">
        <v>171</v>
      </c>
      <c r="D157" s="526">
        <v>99.84</v>
      </c>
      <c r="E157" s="389"/>
      <c r="F157" s="388"/>
      <c r="G157" s="388"/>
      <c r="H157" s="389">
        <v>296.39999999999998</v>
      </c>
      <c r="I157" s="388">
        <f>ROUND(H157*D157,2)</f>
        <v>29592.58</v>
      </c>
      <c r="J157" s="388">
        <f>ROUND(I157*1.2,2)</f>
        <v>35511.1</v>
      </c>
      <c r="K157" s="389">
        <f t="shared" si="64"/>
        <v>29592.58</v>
      </c>
      <c r="L157" s="388">
        <f t="shared" si="64"/>
        <v>35511.1</v>
      </c>
    </row>
    <row r="158" spans="1:15" ht="18" customHeight="1" x14ac:dyDescent="0.25">
      <c r="A158" s="520"/>
      <c r="B158" s="46" t="s">
        <v>961</v>
      </c>
      <c r="C158" s="380" t="s">
        <v>75</v>
      </c>
      <c r="D158" s="381">
        <v>3</v>
      </c>
      <c r="E158" s="382">
        <v>830.3</v>
      </c>
      <c r="F158" s="383">
        <f>ROUND(E158*D158,2)</f>
        <v>2490.9</v>
      </c>
      <c r="G158" s="383">
        <f>ROUND(F158*1.2,2)</f>
        <v>2989.08</v>
      </c>
      <c r="H158" s="503"/>
      <c r="I158" s="383"/>
      <c r="J158" s="383"/>
      <c r="K158" s="384">
        <f t="shared" si="64"/>
        <v>2490.9</v>
      </c>
      <c r="L158" s="383">
        <f t="shared" si="64"/>
        <v>2989.08</v>
      </c>
      <c r="M158" s="394"/>
    </row>
    <row r="159" spans="1:15" ht="18" customHeight="1" x14ac:dyDescent="0.25">
      <c r="A159" s="520"/>
      <c r="B159" s="46" t="s">
        <v>962</v>
      </c>
      <c r="C159" s="380" t="s">
        <v>84</v>
      </c>
      <c r="D159" s="381">
        <v>0.02</v>
      </c>
      <c r="E159" s="382">
        <v>62768.88</v>
      </c>
      <c r="F159" s="383">
        <f>ROUND(E159*D159,2)</f>
        <v>1255.3800000000001</v>
      </c>
      <c r="G159" s="383">
        <f>ROUND(F159*1.2,2)</f>
        <v>1506.46</v>
      </c>
      <c r="H159" s="503"/>
      <c r="I159" s="383"/>
      <c r="J159" s="383"/>
      <c r="K159" s="384">
        <f t="shared" si="64"/>
        <v>1255.3800000000001</v>
      </c>
      <c r="L159" s="383">
        <f t="shared" si="64"/>
        <v>1506.46</v>
      </c>
      <c r="M159" s="394"/>
    </row>
    <row r="160" spans="1:15" ht="18" customHeight="1" x14ac:dyDescent="0.25">
      <c r="A160" s="359"/>
      <c r="B160" s="507" t="s">
        <v>963</v>
      </c>
      <c r="C160" s="385" t="s">
        <v>84</v>
      </c>
      <c r="D160" s="386">
        <v>2.0799999999999999E-2</v>
      </c>
      <c r="E160" s="387"/>
      <c r="F160" s="388"/>
      <c r="G160" s="388"/>
      <c r="H160" s="389">
        <v>5307.65</v>
      </c>
      <c r="I160" s="388">
        <f>ROUND(H160*D160,2)</f>
        <v>110.4</v>
      </c>
      <c r="J160" s="388">
        <f>ROUND(I160*1.2,2)</f>
        <v>132.47999999999999</v>
      </c>
      <c r="K160" s="389">
        <f t="shared" si="64"/>
        <v>110.4</v>
      </c>
      <c r="L160" s="388">
        <f t="shared" si="64"/>
        <v>132.47999999999999</v>
      </c>
      <c r="M160" s="394"/>
    </row>
    <row r="161" spans="1:15" ht="22.5" customHeight="1" x14ac:dyDescent="0.25">
      <c r="A161" s="361"/>
      <c r="B161" s="479" t="s">
        <v>964</v>
      </c>
      <c r="C161" s="390"/>
      <c r="D161" s="391"/>
      <c r="E161" s="392"/>
      <c r="F161" s="393"/>
      <c r="G161" s="393"/>
      <c r="H161" s="392"/>
      <c r="I161" s="366"/>
      <c r="J161" s="366"/>
      <c r="K161" s="367"/>
      <c r="L161" s="366"/>
      <c r="M161" s="394"/>
    </row>
    <row r="162" spans="1:15" ht="18.75" customHeight="1" x14ac:dyDescent="0.25">
      <c r="A162" s="369">
        <f>A89+1</f>
        <v>17</v>
      </c>
      <c r="B162" s="113" t="s">
        <v>965</v>
      </c>
      <c r="C162" s="369" t="s">
        <v>75</v>
      </c>
      <c r="D162" s="489">
        <v>2</v>
      </c>
      <c r="E162" s="374">
        <v>1452.55</v>
      </c>
      <c r="F162" s="372">
        <f>ROUND(E162*D162,2)</f>
        <v>2905.1</v>
      </c>
      <c r="G162" s="372">
        <f>ROUND(F162*1.2,2)</f>
        <v>3486.12</v>
      </c>
      <c r="H162" s="374"/>
      <c r="I162" s="372"/>
      <c r="J162" s="372"/>
      <c r="K162" s="374">
        <f t="shared" ref="K162:L163" si="67">F162+I162</f>
        <v>2905.1</v>
      </c>
      <c r="L162" s="372">
        <f t="shared" si="67"/>
        <v>3486.12</v>
      </c>
      <c r="M162" s="394"/>
    </row>
    <row r="163" spans="1:15" ht="18.75" customHeight="1" x14ac:dyDescent="0.25">
      <c r="A163" s="359" t="s">
        <v>299</v>
      </c>
      <c r="B163" s="277" t="s">
        <v>966</v>
      </c>
      <c r="C163" s="375" t="s">
        <v>75</v>
      </c>
      <c r="D163" s="467">
        <v>2</v>
      </c>
      <c r="E163" s="379"/>
      <c r="F163" s="378"/>
      <c r="G163" s="378"/>
      <c r="H163" s="452">
        <v>3737.5</v>
      </c>
      <c r="I163" s="378">
        <f>ROUND(H163*D163,2)</f>
        <v>7475</v>
      </c>
      <c r="J163" s="378">
        <f>ROUND(I163*1.2,2)</f>
        <v>8970</v>
      </c>
      <c r="K163" s="379">
        <f t="shared" si="67"/>
        <v>7475</v>
      </c>
      <c r="L163" s="378">
        <f t="shared" si="67"/>
        <v>8970</v>
      </c>
      <c r="M163" s="394"/>
    </row>
    <row r="164" spans="1:15" ht="22.5" customHeight="1" x14ac:dyDescent="0.25">
      <c r="A164" s="361"/>
      <c r="B164" s="479" t="s">
        <v>967</v>
      </c>
      <c r="C164" s="390"/>
      <c r="D164" s="391"/>
      <c r="E164" s="392"/>
      <c r="F164" s="393"/>
      <c r="G164" s="393"/>
      <c r="H164" s="392"/>
      <c r="I164" s="366"/>
      <c r="J164" s="366"/>
      <c r="K164" s="367"/>
      <c r="L164" s="366"/>
      <c r="M164" s="394"/>
    </row>
    <row r="165" spans="1:15" ht="31.5" customHeight="1" x14ac:dyDescent="0.25">
      <c r="A165" s="404">
        <f>A162+1</f>
        <v>18</v>
      </c>
      <c r="B165" s="209" t="s">
        <v>968</v>
      </c>
      <c r="C165" s="404" t="s">
        <v>171</v>
      </c>
      <c r="D165" s="405">
        <v>446.4</v>
      </c>
      <c r="E165" s="409">
        <v>169.73</v>
      </c>
      <c r="F165" s="407">
        <f>ROUND(E165*D165,2)</f>
        <v>75767.47</v>
      </c>
      <c r="G165" s="407">
        <f>ROUND(F165*1.2,2)</f>
        <v>90920.960000000006</v>
      </c>
      <c r="H165" s="409"/>
      <c r="I165" s="407"/>
      <c r="J165" s="407"/>
      <c r="K165" s="409">
        <f t="shared" ref="K165:L171" si="68">F165+I165</f>
        <v>75767.47</v>
      </c>
      <c r="L165" s="407">
        <f t="shared" si="68"/>
        <v>90920.960000000006</v>
      </c>
      <c r="M165" s="394" t="s">
        <v>525</v>
      </c>
    </row>
    <row r="166" spans="1:15" s="401" customFormat="1" ht="20.25" customHeight="1" x14ac:dyDescent="0.25">
      <c r="A166" s="359" t="s">
        <v>164</v>
      </c>
      <c r="B166" s="26" t="s">
        <v>969</v>
      </c>
      <c r="C166" s="522" t="s">
        <v>171</v>
      </c>
      <c r="D166" s="523">
        <f>1.06*446.4</f>
        <v>473.18400000000003</v>
      </c>
      <c r="E166" s="379"/>
      <c r="F166" s="378"/>
      <c r="G166" s="378"/>
      <c r="H166" s="379">
        <v>81.94</v>
      </c>
      <c r="I166" s="378">
        <f>ROUND(H166*D166,2)</f>
        <v>38772.699999999997</v>
      </c>
      <c r="J166" s="378">
        <f>ROUND(I166*1.2,2)</f>
        <v>46527.24</v>
      </c>
      <c r="K166" s="379">
        <f t="shared" si="68"/>
        <v>38772.699999999997</v>
      </c>
      <c r="L166" s="378">
        <f t="shared" si="68"/>
        <v>46527.24</v>
      </c>
      <c r="M166" s="352"/>
    </row>
    <row r="167" spans="1:15" ht="22.5" customHeight="1" x14ac:dyDescent="0.25">
      <c r="A167" s="404">
        <f>A165+1</f>
        <v>19</v>
      </c>
      <c r="B167" s="209" t="s">
        <v>970</v>
      </c>
      <c r="C167" s="404" t="s">
        <v>171</v>
      </c>
      <c r="D167" s="405">
        <v>446.4</v>
      </c>
      <c r="E167" s="409">
        <v>68.040000000000006</v>
      </c>
      <c r="F167" s="407">
        <f>ROUND(E167*D167,2)</f>
        <v>30373.06</v>
      </c>
      <c r="G167" s="407">
        <f>ROUND(F167*1.2,2)</f>
        <v>36447.67</v>
      </c>
      <c r="H167" s="409"/>
      <c r="I167" s="407"/>
      <c r="J167" s="407"/>
      <c r="K167" s="409">
        <f t="shared" si="68"/>
        <v>30373.06</v>
      </c>
      <c r="L167" s="407">
        <f t="shared" si="68"/>
        <v>36447.67</v>
      </c>
      <c r="M167" s="394" t="s">
        <v>525</v>
      </c>
    </row>
    <row r="168" spans="1:15" s="401" customFormat="1" ht="22.5" customHeight="1" x14ac:dyDescent="0.25">
      <c r="A168" s="369">
        <f>A167+1</f>
        <v>20</v>
      </c>
      <c r="B168" s="18" t="s">
        <v>904</v>
      </c>
      <c r="C168" s="369" t="s">
        <v>77</v>
      </c>
      <c r="D168" s="542">
        <v>16</v>
      </c>
      <c r="E168" s="371">
        <v>144.4</v>
      </c>
      <c r="F168" s="521">
        <f>ROUND(E168*D168,2)</f>
        <v>2310.4</v>
      </c>
      <c r="G168" s="521">
        <f>ROUND(F168*1.2,2)</f>
        <v>2772.48</v>
      </c>
      <c r="H168" s="371"/>
      <c r="I168" s="372"/>
      <c r="J168" s="372"/>
      <c r="K168" s="374">
        <f t="shared" si="68"/>
        <v>2310.4</v>
      </c>
      <c r="L168" s="372">
        <f t="shared" si="68"/>
        <v>2772.48</v>
      </c>
    </row>
    <row r="169" spans="1:15" s="401" customFormat="1" ht="20.25" customHeight="1" x14ac:dyDescent="0.25">
      <c r="A169" s="359" t="s">
        <v>169</v>
      </c>
      <c r="B169" s="26" t="s">
        <v>905</v>
      </c>
      <c r="C169" s="522" t="s">
        <v>171</v>
      </c>
      <c r="D169" s="523">
        <f>D168*0.15</f>
        <v>2.4</v>
      </c>
      <c r="E169" s="379"/>
      <c r="F169" s="501"/>
      <c r="G169" s="501"/>
      <c r="H169" s="379">
        <v>149.15</v>
      </c>
      <c r="I169" s="501">
        <f>ROUND(H169*D169,2)</f>
        <v>357.96</v>
      </c>
      <c r="J169" s="501">
        <f>ROUND(I169*1.2,2)</f>
        <v>429.55</v>
      </c>
      <c r="K169" s="502">
        <f t="shared" si="68"/>
        <v>357.96</v>
      </c>
      <c r="L169" s="501">
        <f t="shared" si="68"/>
        <v>429.55</v>
      </c>
    </row>
    <row r="170" spans="1:15" s="401" customFormat="1" ht="20.25" customHeight="1" x14ac:dyDescent="0.25">
      <c r="A170" s="520">
        <f>A168+1</f>
        <v>21</v>
      </c>
      <c r="B170" s="18" t="s">
        <v>906</v>
      </c>
      <c r="C170" s="369" t="s">
        <v>77</v>
      </c>
      <c r="D170" s="542">
        <v>16</v>
      </c>
      <c r="E170" s="371">
        <f>144.4*2</f>
        <v>288.8</v>
      </c>
      <c r="F170" s="521">
        <f>ROUND(E170*D170,2)</f>
        <v>4620.8</v>
      </c>
      <c r="G170" s="521">
        <f>ROUND(F170*1.2,2)</f>
        <v>5544.96</v>
      </c>
      <c r="H170" s="524"/>
      <c r="I170" s="372"/>
      <c r="J170" s="372"/>
      <c r="K170" s="374">
        <f t="shared" si="68"/>
        <v>4620.8</v>
      </c>
      <c r="L170" s="372">
        <f t="shared" si="68"/>
        <v>5544.96</v>
      </c>
    </row>
    <row r="171" spans="1:15" s="401" customFormat="1" ht="20.25" customHeight="1" x14ac:dyDescent="0.25">
      <c r="A171" s="359" t="s">
        <v>208</v>
      </c>
      <c r="B171" s="26" t="s">
        <v>907</v>
      </c>
      <c r="C171" s="522" t="s">
        <v>171</v>
      </c>
      <c r="D171" s="523">
        <f>D170*0.32</f>
        <v>5.12</v>
      </c>
      <c r="E171" s="379"/>
      <c r="F171" s="501"/>
      <c r="G171" s="501"/>
      <c r="H171" s="379">
        <v>165.3</v>
      </c>
      <c r="I171" s="501">
        <f>ROUND(H171*D171,2)</f>
        <v>846.34</v>
      </c>
      <c r="J171" s="501">
        <f>ROUND(I171*1.2,2)</f>
        <v>1015.61</v>
      </c>
      <c r="K171" s="502">
        <f t="shared" si="68"/>
        <v>846.34</v>
      </c>
      <c r="L171" s="501">
        <f t="shared" si="68"/>
        <v>1015.61</v>
      </c>
    </row>
    <row r="172" spans="1:15" ht="15.75" x14ac:dyDescent="0.25">
      <c r="A172" s="862" t="s">
        <v>121</v>
      </c>
      <c r="B172" s="863"/>
      <c r="C172" s="863"/>
      <c r="D172" s="863"/>
      <c r="E172" s="864"/>
      <c r="F172" s="481">
        <f>SUM(F7:F171)</f>
        <v>2213670.4400000004</v>
      </c>
      <c r="G172" s="414">
        <f>ROUND(F172*1.2,2)</f>
        <v>2656404.5299999998</v>
      </c>
      <c r="I172" s="481">
        <f>SUM(I7:I171)</f>
        <v>3175840.2600000012</v>
      </c>
      <c r="J172" s="414">
        <f>ROUND(I172*1.2,2)</f>
        <v>3811008.31</v>
      </c>
      <c r="K172" s="481">
        <f>SUM(K7:K171)</f>
        <v>5389510.6999999983</v>
      </c>
      <c r="L172" s="414">
        <f>ROUND(K172*1.2,2)</f>
        <v>6467412.8399999999</v>
      </c>
      <c r="O172" s="820">
        <f>SUM(O44:O171)</f>
        <v>449804.32</v>
      </c>
    </row>
    <row r="175" spans="1:15" x14ac:dyDescent="0.25">
      <c r="B175" s="459" t="s">
        <v>122</v>
      </c>
    </row>
    <row r="176" spans="1:15" x14ac:dyDescent="0.25">
      <c r="B176" s="460" t="s">
        <v>123</v>
      </c>
    </row>
  </sheetData>
  <mergeCells count="10">
    <mergeCell ref="B6:D6"/>
    <mergeCell ref="A172:E172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AFD22-E924-46E8-BD6D-741E9B29E60B}">
  <sheetPr>
    <tabColor rgb="FFFFFF00"/>
  </sheetPr>
  <dimension ref="A1:O183"/>
  <sheetViews>
    <sheetView view="pageBreakPreview" topLeftCell="A136" zoomScale="70" zoomScaleNormal="100" zoomScaleSheetLayoutView="70" workbookViewId="0">
      <selection activeCell="O182" sqref="O182"/>
    </sheetView>
  </sheetViews>
  <sheetFormatPr defaultColWidth="8.85546875" defaultRowHeight="15" x14ac:dyDescent="0.25"/>
  <cols>
    <col min="1" max="1" width="8.85546875" style="352"/>
    <col min="2" max="2" width="65.140625" style="352" customWidth="1"/>
    <col min="3" max="3" width="9.28515625" style="352" customWidth="1"/>
    <col min="4" max="4" width="11" style="352" bestFit="1" customWidth="1"/>
    <col min="5" max="5" width="15.140625" style="352" customWidth="1"/>
    <col min="6" max="6" width="16" style="352" customWidth="1"/>
    <col min="7" max="7" width="17.140625" style="417" customWidth="1"/>
    <col min="8" max="8" width="16.140625" style="417" customWidth="1"/>
    <col min="9" max="12" width="16.140625" style="352" customWidth="1"/>
    <col min="13" max="13" width="25.85546875" style="352" customWidth="1"/>
    <col min="14" max="14" width="35.85546875" style="352" customWidth="1"/>
    <col min="15" max="15" width="27.28515625" style="352" customWidth="1"/>
    <col min="16" max="16384" width="8.85546875" style="352"/>
  </cols>
  <sheetData>
    <row r="1" spans="1:15" ht="14.45" customHeight="1" x14ac:dyDescent="0.25">
      <c r="A1" s="865" t="s">
        <v>26</v>
      </c>
      <c r="B1" s="868" t="s">
        <v>57</v>
      </c>
      <c r="C1" s="871" t="s">
        <v>58</v>
      </c>
      <c r="D1" s="871" t="s">
        <v>59</v>
      </c>
      <c r="E1" s="872" t="s">
        <v>60</v>
      </c>
      <c r="F1" s="873"/>
      <c r="G1" s="873"/>
      <c r="H1" s="873"/>
      <c r="I1" s="873"/>
      <c r="J1" s="873"/>
      <c r="K1" s="873"/>
      <c r="L1" s="873"/>
    </row>
    <row r="2" spans="1:15" ht="14.45" customHeight="1" x14ac:dyDescent="0.25">
      <c r="A2" s="866"/>
      <c r="B2" s="869"/>
      <c r="C2" s="871"/>
      <c r="D2" s="871"/>
      <c r="E2" s="874"/>
      <c r="F2" s="875"/>
      <c r="G2" s="875"/>
      <c r="H2" s="875"/>
      <c r="I2" s="875"/>
      <c r="J2" s="875"/>
      <c r="K2" s="875"/>
      <c r="L2" s="875"/>
    </row>
    <row r="3" spans="1:15" ht="27.75" customHeight="1" x14ac:dyDescent="0.25">
      <c r="A3" s="866"/>
      <c r="B3" s="869"/>
      <c r="C3" s="871"/>
      <c r="D3" s="871"/>
      <c r="E3" s="871" t="s">
        <v>61</v>
      </c>
      <c r="F3" s="871"/>
      <c r="G3" s="871"/>
      <c r="H3" s="871" t="s">
        <v>62</v>
      </c>
      <c r="I3" s="871"/>
      <c r="J3" s="871"/>
      <c r="K3" s="876" t="s">
        <v>63</v>
      </c>
      <c r="L3" s="876"/>
    </row>
    <row r="4" spans="1:15" ht="56.1" customHeight="1" x14ac:dyDescent="0.25">
      <c r="A4" s="867"/>
      <c r="B4" s="870"/>
      <c r="C4" s="871"/>
      <c r="D4" s="871"/>
      <c r="E4" s="353" t="s">
        <v>64</v>
      </c>
      <c r="F4" s="353" t="s">
        <v>65</v>
      </c>
      <c r="G4" s="354" t="s">
        <v>66</v>
      </c>
      <c r="H4" s="353" t="s">
        <v>64</v>
      </c>
      <c r="I4" s="353" t="s">
        <v>65</v>
      </c>
      <c r="J4" s="354" t="s">
        <v>66</v>
      </c>
      <c r="K4" s="353" t="s">
        <v>67</v>
      </c>
      <c r="L4" s="353" t="s">
        <v>68</v>
      </c>
    </row>
    <row r="5" spans="1: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52"/>
    </row>
    <row r="6" spans="1:15" ht="20.25" customHeight="1" x14ac:dyDescent="0.25">
      <c r="A6" s="355"/>
      <c r="B6" s="860" t="s">
        <v>643</v>
      </c>
      <c r="C6" s="861"/>
      <c r="D6" s="861"/>
      <c r="E6" s="356"/>
      <c r="F6" s="357"/>
      <c r="G6" s="358"/>
      <c r="H6" s="358"/>
      <c r="I6" s="358"/>
      <c r="J6" s="358"/>
      <c r="K6" s="358"/>
      <c r="L6" s="358"/>
    </row>
    <row r="7" spans="1:15" ht="17.25" customHeight="1" x14ac:dyDescent="0.25">
      <c r="A7" s="361"/>
      <c r="B7" s="441" t="s">
        <v>128</v>
      </c>
      <c r="C7" s="442"/>
      <c r="D7" s="442"/>
      <c r="E7" s="367"/>
      <c r="F7" s="393"/>
      <c r="G7" s="393"/>
      <c r="H7" s="392"/>
      <c r="I7" s="366"/>
      <c r="J7" s="366"/>
      <c r="K7" s="367"/>
      <c r="L7" s="393"/>
    </row>
    <row r="8" spans="1:15" ht="17.25" customHeight="1" x14ac:dyDescent="0.25">
      <c r="A8" s="369">
        <v>1</v>
      </c>
      <c r="B8" s="18" t="s">
        <v>129</v>
      </c>
      <c r="C8" s="487" t="s">
        <v>75</v>
      </c>
      <c r="D8" s="450">
        <v>2</v>
      </c>
      <c r="E8" s="372">
        <v>1055.02</v>
      </c>
      <c r="F8" s="372">
        <f t="shared" ref="F8:F11" si="0">ROUND(E8*D8,2)</f>
        <v>2110.04</v>
      </c>
      <c r="G8" s="372">
        <f t="shared" ref="G8:G11" si="1">ROUND(F8*1.2,2)</f>
        <v>2532.0500000000002</v>
      </c>
      <c r="H8" s="371"/>
      <c r="I8" s="372"/>
      <c r="J8" s="372"/>
      <c r="K8" s="374">
        <f t="shared" ref="K8:L11" si="2">F8+I8</f>
        <v>2110.04</v>
      </c>
      <c r="L8" s="372">
        <f t="shared" si="2"/>
        <v>2532.0500000000002</v>
      </c>
      <c r="M8" s="394" t="s">
        <v>258</v>
      </c>
    </row>
    <row r="9" spans="1:15" ht="17.25" customHeight="1" x14ac:dyDescent="0.25">
      <c r="A9" s="404">
        <f>A8+1</f>
        <v>2</v>
      </c>
      <c r="B9" s="99" t="s">
        <v>130</v>
      </c>
      <c r="C9" s="404" t="s">
        <v>72</v>
      </c>
      <c r="D9" s="405">
        <v>45.24</v>
      </c>
      <c r="E9" s="407">
        <v>3500</v>
      </c>
      <c r="F9" s="407">
        <f t="shared" si="0"/>
        <v>158340</v>
      </c>
      <c r="G9" s="407">
        <f t="shared" si="1"/>
        <v>190008</v>
      </c>
      <c r="H9" s="406"/>
      <c r="I9" s="407"/>
      <c r="J9" s="407"/>
      <c r="K9" s="409">
        <f t="shared" si="2"/>
        <v>158340</v>
      </c>
      <c r="L9" s="407">
        <f t="shared" si="2"/>
        <v>190008</v>
      </c>
      <c r="M9" s="443" t="s">
        <v>131</v>
      </c>
    </row>
    <row r="10" spans="1:15" ht="17.25" customHeight="1" x14ac:dyDescent="0.25">
      <c r="A10" s="369">
        <f>A9+1</f>
        <v>3</v>
      </c>
      <c r="B10" s="18" t="s">
        <v>132</v>
      </c>
      <c r="C10" s="369" t="s">
        <v>84</v>
      </c>
      <c r="D10" s="370">
        <v>11.74</v>
      </c>
      <c r="E10" s="372">
        <f>ROUND(65055.24/(297.03*0.05),2)</f>
        <v>4380.38</v>
      </c>
      <c r="F10" s="372">
        <f t="shared" si="0"/>
        <v>51425.66</v>
      </c>
      <c r="G10" s="372">
        <f t="shared" si="1"/>
        <v>61710.79</v>
      </c>
      <c r="H10" s="371"/>
      <c r="I10" s="372"/>
      <c r="J10" s="372"/>
      <c r="K10" s="374">
        <f t="shared" si="2"/>
        <v>51425.66</v>
      </c>
      <c r="L10" s="372">
        <f t="shared" si="2"/>
        <v>61710.79</v>
      </c>
      <c r="M10" s="352" t="s">
        <v>258</v>
      </c>
    </row>
    <row r="11" spans="1:15" ht="17.25" customHeight="1" x14ac:dyDescent="0.25">
      <c r="A11" s="369">
        <f t="shared" ref="A11" si="3">A10+1</f>
        <v>4</v>
      </c>
      <c r="B11" s="18" t="s">
        <v>133</v>
      </c>
      <c r="C11" s="369" t="s">
        <v>84</v>
      </c>
      <c r="D11" s="370">
        <v>18.55</v>
      </c>
      <c r="E11" s="374">
        <v>304</v>
      </c>
      <c r="F11" s="372">
        <f t="shared" si="0"/>
        <v>5639.2</v>
      </c>
      <c r="G11" s="372">
        <f t="shared" si="1"/>
        <v>6767.04</v>
      </c>
      <c r="H11" s="372"/>
      <c r="I11" s="372"/>
      <c r="J11" s="372"/>
      <c r="K11" s="374">
        <f t="shared" si="2"/>
        <v>5639.2</v>
      </c>
      <c r="L11" s="372">
        <f t="shared" si="2"/>
        <v>6767.04</v>
      </c>
      <c r="M11" s="352" t="s">
        <v>258</v>
      </c>
    </row>
    <row r="12" spans="1:15" ht="17.25" customHeight="1" x14ac:dyDescent="0.25">
      <c r="A12" s="361"/>
      <c r="B12" s="107" t="s">
        <v>134</v>
      </c>
      <c r="C12" s="361"/>
      <c r="D12" s="444"/>
      <c r="E12" s="392"/>
      <c r="F12" s="366"/>
      <c r="G12" s="366"/>
      <c r="H12" s="366"/>
      <c r="I12" s="366"/>
      <c r="J12" s="366"/>
      <c r="K12" s="367"/>
      <c r="L12" s="366"/>
      <c r="M12" s="394"/>
    </row>
    <row r="13" spans="1:15" s="426" customFormat="1" ht="17.25" customHeight="1" x14ac:dyDescent="0.25">
      <c r="A13" s="418">
        <f>A11+1</f>
        <v>5</v>
      </c>
      <c r="B13" s="113" t="s">
        <v>135</v>
      </c>
      <c r="C13" s="369" t="s">
        <v>80</v>
      </c>
      <c r="D13" s="458">
        <v>47.264000000000003</v>
      </c>
      <c r="E13" s="372">
        <v>431.37</v>
      </c>
      <c r="F13" s="372">
        <f t="shared" ref="F13" si="4">ROUND(E13*D13,2)</f>
        <v>20388.27</v>
      </c>
      <c r="G13" s="372">
        <f t="shared" ref="G13" si="5">ROUND(F13*1.2,2)</f>
        <v>24465.919999999998</v>
      </c>
      <c r="H13" s="371"/>
      <c r="I13" s="372"/>
      <c r="J13" s="372"/>
      <c r="K13" s="374">
        <f t="shared" ref="K13:L13" si="6">F13+I13</f>
        <v>20388.27</v>
      </c>
      <c r="L13" s="372">
        <f t="shared" si="6"/>
        <v>24465.919999999998</v>
      </c>
      <c r="M13" s="461" t="s">
        <v>136</v>
      </c>
      <c r="N13" s="782"/>
      <c r="O13" s="827">
        <f>L13-D13*СВОД!$P$2*1.2</f>
        <v>6954.6080000000002</v>
      </c>
    </row>
    <row r="14" spans="1:15" ht="17.25" customHeight="1" x14ac:dyDescent="0.25">
      <c r="A14" s="359"/>
      <c r="B14" s="360" t="s">
        <v>644</v>
      </c>
      <c r="C14" s="361"/>
      <c r="D14" s="362"/>
      <c r="E14" s="363"/>
      <c r="F14" s="363"/>
      <c r="G14" s="364"/>
      <c r="H14" s="365"/>
      <c r="I14" s="366"/>
      <c r="J14" s="366"/>
      <c r="K14" s="367"/>
      <c r="L14" s="366"/>
    </row>
    <row r="15" spans="1:15" ht="17.25" customHeight="1" x14ac:dyDescent="0.25">
      <c r="A15" s="369">
        <f>A13+1</f>
        <v>6</v>
      </c>
      <c r="B15" s="18" t="s">
        <v>83</v>
      </c>
      <c r="C15" s="369" t="s">
        <v>84</v>
      </c>
      <c r="D15" s="370">
        <v>137.46</v>
      </c>
      <c r="E15" s="374">
        <v>308.75</v>
      </c>
      <c r="F15" s="372">
        <f>ROUND(E15*D15,2)</f>
        <v>42440.78</v>
      </c>
      <c r="G15" s="372">
        <f>ROUND(F15*1.2,2)</f>
        <v>50928.94</v>
      </c>
      <c r="H15" s="373"/>
      <c r="I15" s="372"/>
      <c r="J15" s="372"/>
      <c r="K15" s="374">
        <f t="shared" ref="K15:L24" si="7">F15+I15</f>
        <v>42440.78</v>
      </c>
      <c r="L15" s="372">
        <f t="shared" si="7"/>
        <v>50928.94</v>
      </c>
    </row>
    <row r="16" spans="1:15" ht="17.25" customHeight="1" x14ac:dyDescent="0.25">
      <c r="A16" s="369">
        <f>A15+1</f>
        <v>7</v>
      </c>
      <c r="B16" s="18" t="s">
        <v>138</v>
      </c>
      <c r="C16" s="369" t="s">
        <v>84</v>
      </c>
      <c r="D16" s="370">
        <v>4.25</v>
      </c>
      <c r="E16" s="374">
        <v>1688.1499999999999</v>
      </c>
      <c r="F16" s="372">
        <f>ROUND(E16*D16,2)</f>
        <v>7174.64</v>
      </c>
      <c r="G16" s="372">
        <f>ROUND(F16*1.2,2)</f>
        <v>8609.57</v>
      </c>
      <c r="H16" s="373"/>
      <c r="I16" s="372"/>
      <c r="J16" s="372"/>
      <c r="K16" s="374">
        <f t="shared" si="7"/>
        <v>7174.64</v>
      </c>
      <c r="L16" s="372">
        <f t="shared" si="7"/>
        <v>8609.57</v>
      </c>
    </row>
    <row r="17" spans="1:13" ht="17.25" customHeight="1" x14ac:dyDescent="0.25">
      <c r="A17" s="369">
        <f>A16+1</f>
        <v>8</v>
      </c>
      <c r="B17" s="18" t="s">
        <v>606</v>
      </c>
      <c r="C17" s="369" t="s">
        <v>84</v>
      </c>
      <c r="D17" s="370">
        <v>6.25</v>
      </c>
      <c r="E17" s="374">
        <v>1310.05</v>
      </c>
      <c r="F17" s="372">
        <f>ROUND(E17*D17,2)</f>
        <v>8187.81</v>
      </c>
      <c r="G17" s="372">
        <f>ROUND(F17*1.2,2)</f>
        <v>9825.3700000000008</v>
      </c>
      <c r="H17" s="372"/>
      <c r="I17" s="372"/>
      <c r="J17" s="372"/>
      <c r="K17" s="374">
        <f t="shared" si="7"/>
        <v>8187.81</v>
      </c>
      <c r="L17" s="372">
        <f t="shared" si="7"/>
        <v>9825.3700000000008</v>
      </c>
    </row>
    <row r="18" spans="1:13" ht="17.25" customHeight="1" x14ac:dyDescent="0.25">
      <c r="A18" s="488" t="s">
        <v>591</v>
      </c>
      <c r="B18" s="26" t="s">
        <v>160</v>
      </c>
      <c r="C18" s="375" t="s">
        <v>84</v>
      </c>
      <c r="D18" s="376">
        <f>ROUND(D17*1.1,2)</f>
        <v>6.88</v>
      </c>
      <c r="E18" s="379"/>
      <c r="F18" s="378"/>
      <c r="G18" s="378"/>
      <c r="H18" s="378">
        <v>1191.3</v>
      </c>
      <c r="I18" s="378">
        <f>ROUND(H18*D18,2)</f>
        <v>8196.14</v>
      </c>
      <c r="J18" s="378">
        <f>ROUND(I18*1.2,2)</f>
        <v>9835.3700000000008</v>
      </c>
      <c r="K18" s="379">
        <f t="shared" si="7"/>
        <v>8196.14</v>
      </c>
      <c r="L18" s="378">
        <f t="shared" si="7"/>
        <v>9835.3700000000008</v>
      </c>
    </row>
    <row r="19" spans="1:13" ht="17.25" customHeight="1" x14ac:dyDescent="0.25">
      <c r="A19" s="369">
        <f>A17+1</f>
        <v>9</v>
      </c>
      <c r="B19" s="18" t="s">
        <v>158</v>
      </c>
      <c r="C19" s="369" t="s">
        <v>84</v>
      </c>
      <c r="D19" s="370">
        <v>51.14</v>
      </c>
      <c r="E19" s="374">
        <v>1310.05</v>
      </c>
      <c r="F19" s="372">
        <f>ROUND(E19*D19,2)</f>
        <v>66995.960000000006</v>
      </c>
      <c r="G19" s="372">
        <f>ROUND(F19*1.2,2)</f>
        <v>80395.149999999994</v>
      </c>
      <c r="H19" s="372"/>
      <c r="I19" s="372"/>
      <c r="J19" s="372"/>
      <c r="K19" s="374">
        <f t="shared" si="7"/>
        <v>66995.960000000006</v>
      </c>
      <c r="L19" s="372">
        <f t="shared" si="7"/>
        <v>80395.149999999994</v>
      </c>
    </row>
    <row r="20" spans="1:13" ht="17.25" customHeight="1" x14ac:dyDescent="0.25">
      <c r="A20" s="488" t="s">
        <v>93</v>
      </c>
      <c r="B20" s="26" t="s">
        <v>160</v>
      </c>
      <c r="C20" s="375" t="s">
        <v>84</v>
      </c>
      <c r="D20" s="376">
        <f>ROUND(D19*1.1,2)</f>
        <v>56.25</v>
      </c>
      <c r="E20" s="379"/>
      <c r="F20" s="378"/>
      <c r="G20" s="378"/>
      <c r="H20" s="378">
        <v>1191.3</v>
      </c>
      <c r="I20" s="378">
        <f>ROUND(H20*D20,2)</f>
        <v>67010.63</v>
      </c>
      <c r="J20" s="378">
        <f>ROUND(I20*1.2,2)</f>
        <v>80412.759999999995</v>
      </c>
      <c r="K20" s="379">
        <f t="shared" si="7"/>
        <v>67010.63</v>
      </c>
      <c r="L20" s="378">
        <f t="shared" si="7"/>
        <v>80412.759999999995</v>
      </c>
    </row>
    <row r="21" spans="1:13" s="395" customFormat="1" ht="17.25" customHeight="1" x14ac:dyDescent="0.25">
      <c r="A21" s="369">
        <f>A19+1</f>
        <v>10</v>
      </c>
      <c r="B21" s="18" t="s">
        <v>87</v>
      </c>
      <c r="C21" s="369" t="s">
        <v>84</v>
      </c>
      <c r="D21" s="370">
        <v>35.159999999999997</v>
      </c>
      <c r="E21" s="374">
        <v>118.75</v>
      </c>
      <c r="F21" s="372">
        <f>ROUND(E21*D21,2)</f>
        <v>4175.25</v>
      </c>
      <c r="G21" s="372">
        <f>ROUND(F21*1.2,2)</f>
        <v>5010.3</v>
      </c>
      <c r="H21" s="373"/>
      <c r="I21" s="372"/>
      <c r="J21" s="372"/>
      <c r="K21" s="374">
        <f t="shared" si="7"/>
        <v>4175.25</v>
      </c>
      <c r="L21" s="372">
        <f t="shared" si="7"/>
        <v>5010.3</v>
      </c>
    </row>
    <row r="22" spans="1:13" ht="17.25" customHeight="1" x14ac:dyDescent="0.25">
      <c r="A22" s="369">
        <f>A21+1</f>
        <v>11</v>
      </c>
      <c r="B22" s="18" t="s">
        <v>88</v>
      </c>
      <c r="C22" s="369" t="s">
        <v>84</v>
      </c>
      <c r="D22" s="370">
        <v>86.3</v>
      </c>
      <c r="E22" s="374">
        <v>188.1</v>
      </c>
      <c r="F22" s="372">
        <f>ROUND(E22*D22,2)</f>
        <v>16233.03</v>
      </c>
      <c r="G22" s="372">
        <f>ROUND(F22*1.2,2)</f>
        <v>19479.64</v>
      </c>
      <c r="H22" s="374"/>
      <c r="I22" s="372"/>
      <c r="J22" s="372"/>
      <c r="K22" s="374">
        <f t="shared" si="7"/>
        <v>16233.03</v>
      </c>
      <c r="L22" s="372">
        <f t="shared" si="7"/>
        <v>19479.64</v>
      </c>
    </row>
    <row r="23" spans="1:13" ht="17.25" customHeight="1" x14ac:dyDescent="0.25">
      <c r="A23" s="369">
        <f>A22+1</f>
        <v>12</v>
      </c>
      <c r="B23" s="18" t="s">
        <v>735</v>
      </c>
      <c r="C23" s="369" t="s">
        <v>533</v>
      </c>
      <c r="D23" s="370">
        <v>17.97</v>
      </c>
      <c r="E23" s="374">
        <v>1350.9</v>
      </c>
      <c r="F23" s="372">
        <f>ROUND(E23*D23,2)</f>
        <v>24275.67</v>
      </c>
      <c r="G23" s="372">
        <f t="shared" ref="G23" si="8">ROUND(F23*1.2,2)</f>
        <v>29130.799999999999</v>
      </c>
      <c r="H23" s="371"/>
      <c r="I23" s="372"/>
      <c r="J23" s="372"/>
      <c r="K23" s="374">
        <f t="shared" si="7"/>
        <v>24275.67</v>
      </c>
      <c r="L23" s="372">
        <f t="shared" si="7"/>
        <v>29130.799999999999</v>
      </c>
      <c r="M23" s="394"/>
    </row>
    <row r="24" spans="1:13" ht="17.25" customHeight="1" x14ac:dyDescent="0.25">
      <c r="A24" s="488" t="s">
        <v>102</v>
      </c>
      <c r="B24" s="26" t="s">
        <v>534</v>
      </c>
      <c r="C24" s="375" t="s">
        <v>84</v>
      </c>
      <c r="D24" s="376">
        <f>D23*1.26</f>
        <v>22.642199999999999</v>
      </c>
      <c r="E24" s="379"/>
      <c r="F24" s="378"/>
      <c r="G24" s="378"/>
      <c r="H24" s="379">
        <v>1299.5999999999999</v>
      </c>
      <c r="I24" s="378">
        <f>ROUND(H24*D24,2)</f>
        <v>29425.8</v>
      </c>
      <c r="J24" s="378">
        <f>ROUND(I24*1.2,2)</f>
        <v>35310.959999999999</v>
      </c>
      <c r="K24" s="379">
        <f t="shared" si="7"/>
        <v>29425.8</v>
      </c>
      <c r="L24" s="378">
        <f t="shared" si="7"/>
        <v>35310.959999999999</v>
      </c>
      <c r="M24" s="394"/>
    </row>
    <row r="25" spans="1:13" ht="17.25" customHeight="1" x14ac:dyDescent="0.25">
      <c r="A25" s="369">
        <f>A23+1</f>
        <v>13</v>
      </c>
      <c r="B25" s="18" t="s">
        <v>89</v>
      </c>
      <c r="C25" s="369" t="s">
        <v>80</v>
      </c>
      <c r="D25" s="370">
        <v>202.45</v>
      </c>
      <c r="E25" s="374">
        <v>308.75</v>
      </c>
      <c r="F25" s="372">
        <f>ROUND(E25*D25,2)</f>
        <v>62506.44</v>
      </c>
      <c r="G25" s="372">
        <f>ROUND(F25*1.2,2)</f>
        <v>75007.73</v>
      </c>
      <c r="H25" s="371"/>
      <c r="I25" s="372"/>
      <c r="J25" s="372"/>
      <c r="K25" s="374">
        <f>F25+I25</f>
        <v>62506.44</v>
      </c>
      <c r="L25" s="372">
        <f>G25+J25</f>
        <v>75007.73</v>
      </c>
      <c r="M25" s="394"/>
    </row>
    <row r="26" spans="1:13" ht="17.25" customHeight="1" x14ac:dyDescent="0.25">
      <c r="A26" s="361"/>
      <c r="B26" s="455" t="s">
        <v>736</v>
      </c>
      <c r="C26" s="361"/>
      <c r="D26" s="444"/>
      <c r="E26" s="367"/>
      <c r="F26" s="366"/>
      <c r="G26" s="366"/>
      <c r="H26" s="392"/>
      <c r="I26" s="366"/>
      <c r="J26" s="366"/>
      <c r="K26" s="367"/>
      <c r="L26" s="366"/>
      <c r="M26" s="394"/>
    </row>
    <row r="27" spans="1:13" ht="17.25" customHeight="1" x14ac:dyDescent="0.25">
      <c r="A27" s="404">
        <f>A25+1</f>
        <v>14</v>
      </c>
      <c r="B27" s="209" t="s">
        <v>737</v>
      </c>
      <c r="C27" s="404" t="s">
        <v>75</v>
      </c>
      <c r="D27" s="456">
        <v>6</v>
      </c>
      <c r="E27" s="409">
        <v>4797.75</v>
      </c>
      <c r="F27" s="407">
        <f>ROUND(E27*D27,2)</f>
        <v>28786.5</v>
      </c>
      <c r="G27" s="407">
        <f>ROUND(F27*1.2,2)</f>
        <v>34543.800000000003</v>
      </c>
      <c r="H27" s="409"/>
      <c r="I27" s="407"/>
      <c r="J27" s="407"/>
      <c r="K27" s="409">
        <f>F27+I27</f>
        <v>28786.5</v>
      </c>
      <c r="L27" s="407">
        <f>G27+J27</f>
        <v>34543.800000000003</v>
      </c>
      <c r="M27" s="394" t="s">
        <v>610</v>
      </c>
    </row>
    <row r="28" spans="1:13" ht="17.25" customHeight="1" x14ac:dyDescent="0.25">
      <c r="A28" s="488" t="s">
        <v>109</v>
      </c>
      <c r="B28" s="277" t="s">
        <v>738</v>
      </c>
      <c r="C28" s="375" t="s">
        <v>75</v>
      </c>
      <c r="D28" s="467">
        <v>6</v>
      </c>
      <c r="E28" s="379"/>
      <c r="F28" s="378"/>
      <c r="G28" s="378"/>
      <c r="H28" s="452">
        <f>ROUND(19300/1.2*1.15,2)</f>
        <v>18495.830000000002</v>
      </c>
      <c r="I28" s="378">
        <f>ROUND(H28*D28,2)</f>
        <v>110974.98</v>
      </c>
      <c r="J28" s="378">
        <f>ROUND(I28*1.2,2)</f>
        <v>133169.98000000001</v>
      </c>
      <c r="K28" s="379">
        <f>F28+I28</f>
        <v>110974.98</v>
      </c>
      <c r="L28" s="378">
        <f>G28+J28</f>
        <v>133169.98000000001</v>
      </c>
      <c r="M28" s="352" t="s">
        <v>143</v>
      </c>
    </row>
    <row r="29" spans="1:13" ht="17.25" customHeight="1" x14ac:dyDescent="0.25">
      <c r="A29" s="359"/>
      <c r="B29" s="360" t="s">
        <v>739</v>
      </c>
      <c r="C29" s="361"/>
      <c r="D29" s="465"/>
      <c r="E29" s="367"/>
      <c r="F29" s="366"/>
      <c r="G29" s="366"/>
      <c r="H29" s="365"/>
      <c r="I29" s="366"/>
      <c r="J29" s="366"/>
      <c r="K29" s="367"/>
      <c r="L29" s="366"/>
    </row>
    <row r="30" spans="1:13" ht="17.25" customHeight="1" x14ac:dyDescent="0.25">
      <c r="A30" s="369">
        <f>A27+1</f>
        <v>15</v>
      </c>
      <c r="B30" s="113" t="s">
        <v>740</v>
      </c>
      <c r="C30" s="369" t="s">
        <v>75</v>
      </c>
      <c r="D30" s="489">
        <v>8</v>
      </c>
      <c r="E30" s="374">
        <v>1004</v>
      </c>
      <c r="F30" s="372">
        <f>ROUND(E30*D30,2)</f>
        <v>8032</v>
      </c>
      <c r="G30" s="372">
        <f>ROUND(F30*1.2,2)</f>
        <v>9638.4</v>
      </c>
      <c r="H30" s="374"/>
      <c r="I30" s="372"/>
      <c r="J30" s="372"/>
      <c r="K30" s="374">
        <f t="shared" ref="K30:L43" si="9">F30+I30</f>
        <v>8032</v>
      </c>
      <c r="L30" s="372">
        <f t="shared" si="9"/>
        <v>9638.4</v>
      </c>
      <c r="M30" s="394" t="s">
        <v>666</v>
      </c>
    </row>
    <row r="31" spans="1:13" ht="17.25" customHeight="1" x14ac:dyDescent="0.25">
      <c r="A31" s="488" t="s">
        <v>155</v>
      </c>
      <c r="B31" s="277" t="s">
        <v>741</v>
      </c>
      <c r="C31" s="375" t="s">
        <v>75</v>
      </c>
      <c r="D31" s="467">
        <v>8</v>
      </c>
      <c r="E31" s="379"/>
      <c r="F31" s="378"/>
      <c r="G31" s="378"/>
      <c r="H31" s="452">
        <v>2737.9</v>
      </c>
      <c r="I31" s="378">
        <f>ROUND(H31*D31,2)</f>
        <v>21903.200000000001</v>
      </c>
      <c r="J31" s="378">
        <f>ROUND(I31*1.2,2)</f>
        <v>26283.84</v>
      </c>
      <c r="K31" s="379">
        <f t="shared" si="9"/>
        <v>21903.200000000001</v>
      </c>
      <c r="L31" s="378">
        <f t="shared" si="9"/>
        <v>26283.84</v>
      </c>
      <c r="M31" s="394" t="s">
        <v>666</v>
      </c>
    </row>
    <row r="32" spans="1:13" ht="17.25" customHeight="1" x14ac:dyDescent="0.25">
      <c r="A32" s="369">
        <f>A30+1</f>
        <v>16</v>
      </c>
      <c r="B32" s="113" t="s">
        <v>742</v>
      </c>
      <c r="C32" s="369" t="s">
        <v>75</v>
      </c>
      <c r="D32" s="489">
        <v>6</v>
      </c>
      <c r="E32" s="374">
        <v>5928</v>
      </c>
      <c r="F32" s="372">
        <f>ROUND(E32*D32,2)</f>
        <v>35568</v>
      </c>
      <c r="G32" s="372">
        <f>ROUND(F32*1.2,2)</f>
        <v>42681.599999999999</v>
      </c>
      <c r="H32" s="374"/>
      <c r="I32" s="372"/>
      <c r="J32" s="372"/>
      <c r="K32" s="374">
        <f t="shared" si="9"/>
        <v>35568</v>
      </c>
      <c r="L32" s="372">
        <f t="shared" si="9"/>
        <v>42681.599999999999</v>
      </c>
      <c r="M32" s="394" t="s">
        <v>666</v>
      </c>
    </row>
    <row r="33" spans="1:13" ht="17.25" customHeight="1" x14ac:dyDescent="0.25">
      <c r="A33" s="488" t="s">
        <v>159</v>
      </c>
      <c r="B33" s="277" t="s">
        <v>667</v>
      </c>
      <c r="C33" s="375" t="s">
        <v>75</v>
      </c>
      <c r="D33" s="467">
        <v>5</v>
      </c>
      <c r="E33" s="379"/>
      <c r="F33" s="378"/>
      <c r="G33" s="378"/>
      <c r="H33" s="452">
        <v>16810.25</v>
      </c>
      <c r="I33" s="378">
        <f>ROUND(H33*D33,2)</f>
        <v>84051.25</v>
      </c>
      <c r="J33" s="378">
        <f>ROUND(I33*1.2,2)</f>
        <v>100861.5</v>
      </c>
      <c r="K33" s="379">
        <f t="shared" si="9"/>
        <v>84051.25</v>
      </c>
      <c r="L33" s="378">
        <f t="shared" si="9"/>
        <v>100861.5</v>
      </c>
      <c r="M33" s="394" t="s">
        <v>666</v>
      </c>
    </row>
    <row r="34" spans="1:13" ht="17.25" customHeight="1" x14ac:dyDescent="0.25">
      <c r="A34" s="488" t="s">
        <v>743</v>
      </c>
      <c r="B34" s="277" t="s">
        <v>744</v>
      </c>
      <c r="C34" s="375" t="s">
        <v>75</v>
      </c>
      <c r="D34" s="467">
        <v>1</v>
      </c>
      <c r="E34" s="379"/>
      <c r="F34" s="378"/>
      <c r="G34" s="378"/>
      <c r="H34" s="452">
        <f>ROUND(5375*1.15,2)</f>
        <v>6181.25</v>
      </c>
      <c r="I34" s="378">
        <f>ROUND(H34*D34,2)</f>
        <v>6181.25</v>
      </c>
      <c r="J34" s="378">
        <f>ROUND(I34*1.2,2)</f>
        <v>7417.5</v>
      </c>
      <c r="K34" s="379">
        <f t="shared" si="9"/>
        <v>6181.25</v>
      </c>
      <c r="L34" s="378">
        <f t="shared" si="9"/>
        <v>7417.5</v>
      </c>
      <c r="M34" s="352" t="s">
        <v>143</v>
      </c>
    </row>
    <row r="35" spans="1:13" ht="17.25" customHeight="1" x14ac:dyDescent="0.25">
      <c r="A35" s="369">
        <f>A32+1</f>
        <v>17</v>
      </c>
      <c r="B35" s="113" t="s">
        <v>668</v>
      </c>
      <c r="C35" s="369" t="s">
        <v>75</v>
      </c>
      <c r="D35" s="466">
        <v>23</v>
      </c>
      <c r="E35" s="374">
        <v>1482</v>
      </c>
      <c r="F35" s="372">
        <f>ROUND(E35*D35,2)</f>
        <v>34086</v>
      </c>
      <c r="G35" s="372">
        <f>ROUND(F35*1.2,2)</f>
        <v>40903.199999999997</v>
      </c>
      <c r="H35" s="374"/>
      <c r="I35" s="372"/>
      <c r="J35" s="372"/>
      <c r="K35" s="374">
        <f t="shared" si="9"/>
        <v>34086</v>
      </c>
      <c r="L35" s="372">
        <f t="shared" si="9"/>
        <v>40903.199999999997</v>
      </c>
      <c r="M35" s="394" t="s">
        <v>666</v>
      </c>
    </row>
    <row r="36" spans="1:13" ht="17.25" customHeight="1" x14ac:dyDescent="0.25">
      <c r="A36" s="488" t="s">
        <v>299</v>
      </c>
      <c r="B36" s="277" t="s">
        <v>669</v>
      </c>
      <c r="C36" s="375" t="s">
        <v>75</v>
      </c>
      <c r="D36" s="467">
        <v>23</v>
      </c>
      <c r="E36" s="379"/>
      <c r="F36" s="378"/>
      <c r="G36" s="378"/>
      <c r="H36" s="452">
        <v>4891.55</v>
      </c>
      <c r="I36" s="378">
        <f>ROUND(H36*D36,2)</f>
        <v>112505.65</v>
      </c>
      <c r="J36" s="378">
        <f>ROUND(I36*1.2,2)</f>
        <v>135006.78</v>
      </c>
      <c r="K36" s="379">
        <f t="shared" si="9"/>
        <v>112505.65</v>
      </c>
      <c r="L36" s="378">
        <f t="shared" si="9"/>
        <v>135006.78</v>
      </c>
      <c r="M36" s="394" t="s">
        <v>666</v>
      </c>
    </row>
    <row r="37" spans="1:13" ht="17.25" customHeight="1" x14ac:dyDescent="0.25">
      <c r="A37" s="369">
        <f>A35+1</f>
        <v>18</v>
      </c>
      <c r="B37" s="113" t="s">
        <v>670</v>
      </c>
      <c r="C37" s="369" t="s">
        <v>84</v>
      </c>
      <c r="D37" s="463">
        <v>0.12</v>
      </c>
      <c r="E37" s="374">
        <v>6266.06</v>
      </c>
      <c r="F37" s="372">
        <f>ROUND(E37*D37,2)</f>
        <v>751.93</v>
      </c>
      <c r="G37" s="372">
        <f>ROUND(F37*1.2,2)</f>
        <v>902.32</v>
      </c>
      <c r="H37" s="374"/>
      <c r="I37" s="372"/>
      <c r="J37" s="372"/>
      <c r="K37" s="374">
        <f t="shared" si="9"/>
        <v>751.93</v>
      </c>
      <c r="L37" s="372">
        <f t="shared" si="9"/>
        <v>902.32</v>
      </c>
      <c r="M37" s="394"/>
    </row>
    <row r="38" spans="1:13" ht="17.25" customHeight="1" x14ac:dyDescent="0.25">
      <c r="A38" s="488" t="s">
        <v>164</v>
      </c>
      <c r="B38" s="277" t="s">
        <v>671</v>
      </c>
      <c r="C38" s="375" t="s">
        <v>84</v>
      </c>
      <c r="D38" s="469">
        <f>D37*1.02</f>
        <v>0.12239999999999999</v>
      </c>
      <c r="E38" s="379"/>
      <c r="F38" s="378"/>
      <c r="G38" s="378"/>
      <c r="H38" s="378">
        <v>3895</v>
      </c>
      <c r="I38" s="378">
        <f>ROUND(H38*D38,2)</f>
        <v>476.75</v>
      </c>
      <c r="J38" s="378">
        <f>ROUND(I38*1.2,2)</f>
        <v>572.1</v>
      </c>
      <c r="K38" s="379">
        <f t="shared" si="9"/>
        <v>476.75</v>
      </c>
      <c r="L38" s="378">
        <f t="shared" si="9"/>
        <v>572.1</v>
      </c>
      <c r="M38" s="394"/>
    </row>
    <row r="39" spans="1:13" ht="31.5" customHeight="1" x14ac:dyDescent="0.25">
      <c r="A39" s="369">
        <f>A35+1</f>
        <v>18</v>
      </c>
      <c r="B39" s="113" t="s">
        <v>745</v>
      </c>
      <c r="C39" s="369" t="s">
        <v>77</v>
      </c>
      <c r="D39" s="463">
        <v>21.8</v>
      </c>
      <c r="E39" s="374">
        <v>909.45</v>
      </c>
      <c r="F39" s="372">
        <f>ROUND(E39*D39,2)</f>
        <v>19826.009999999998</v>
      </c>
      <c r="G39" s="372">
        <f>ROUND(F39*1.2,2)</f>
        <v>23791.21</v>
      </c>
      <c r="H39" s="374"/>
      <c r="I39" s="372"/>
      <c r="J39" s="372"/>
      <c r="K39" s="374">
        <f t="shared" si="9"/>
        <v>19826.009999999998</v>
      </c>
      <c r="L39" s="372">
        <f t="shared" si="9"/>
        <v>23791.21</v>
      </c>
      <c r="M39" s="394" t="s">
        <v>746</v>
      </c>
    </row>
    <row r="40" spans="1:13" ht="27" customHeight="1" x14ac:dyDescent="0.25">
      <c r="A40" s="369">
        <f>A39+1</f>
        <v>19</v>
      </c>
      <c r="B40" s="113" t="s">
        <v>672</v>
      </c>
      <c r="C40" s="369" t="s">
        <v>77</v>
      </c>
      <c r="D40" s="463">
        <v>21.8</v>
      </c>
      <c r="E40" s="374">
        <v>144.4</v>
      </c>
      <c r="F40" s="372">
        <f>ROUND(E40*D40,2)</f>
        <v>3147.92</v>
      </c>
      <c r="G40" s="372">
        <f>ROUND(F40*1.2,2)</f>
        <v>3777.5</v>
      </c>
      <c r="H40" s="374"/>
      <c r="I40" s="372"/>
      <c r="J40" s="372"/>
      <c r="K40" s="374">
        <f t="shared" si="9"/>
        <v>3147.92</v>
      </c>
      <c r="L40" s="372">
        <f t="shared" si="9"/>
        <v>3777.5</v>
      </c>
      <c r="M40" s="394"/>
    </row>
    <row r="41" spans="1:13" ht="17.25" customHeight="1" x14ac:dyDescent="0.25">
      <c r="A41" s="488" t="s">
        <v>167</v>
      </c>
      <c r="B41" s="277" t="s">
        <v>662</v>
      </c>
      <c r="C41" s="375" t="s">
        <v>462</v>
      </c>
      <c r="D41" s="464">
        <f>ROUND(D40*0.3*20/16,2)</f>
        <v>8.18</v>
      </c>
      <c r="E41" s="379"/>
      <c r="F41" s="378"/>
      <c r="G41" s="378"/>
      <c r="H41" s="452">
        <v>237.5</v>
      </c>
      <c r="I41" s="378">
        <f>ROUND(H41*D41,2)</f>
        <v>1942.75</v>
      </c>
      <c r="J41" s="378">
        <f>ROUND(I41*1.2,2)</f>
        <v>2331.3000000000002</v>
      </c>
      <c r="K41" s="379">
        <f t="shared" si="9"/>
        <v>1942.75</v>
      </c>
      <c r="L41" s="378">
        <f t="shared" si="9"/>
        <v>2331.3000000000002</v>
      </c>
    </row>
    <row r="42" spans="1:13" ht="32.25" customHeight="1" x14ac:dyDescent="0.25">
      <c r="A42" s="369">
        <f>A40+1</f>
        <v>20</v>
      </c>
      <c r="B42" s="18" t="s">
        <v>673</v>
      </c>
      <c r="C42" s="369" t="s">
        <v>77</v>
      </c>
      <c r="D42" s="463">
        <v>21.8</v>
      </c>
      <c r="E42" s="374">
        <v>299.76</v>
      </c>
      <c r="F42" s="372">
        <f>ROUND(E42*D42,2)</f>
        <v>6534.77</v>
      </c>
      <c r="G42" s="372">
        <f>ROUND(F42*1.2,2)</f>
        <v>7841.72</v>
      </c>
      <c r="H42" s="374"/>
      <c r="I42" s="372"/>
      <c r="J42" s="372"/>
      <c r="K42" s="374">
        <f t="shared" si="9"/>
        <v>6534.77</v>
      </c>
      <c r="L42" s="372">
        <f t="shared" si="9"/>
        <v>7841.72</v>
      </c>
    </row>
    <row r="43" spans="1:13" ht="17.25" customHeight="1" x14ac:dyDescent="0.25">
      <c r="A43" s="488" t="s">
        <v>169</v>
      </c>
      <c r="B43" s="277" t="s">
        <v>674</v>
      </c>
      <c r="C43" s="375" t="s">
        <v>171</v>
      </c>
      <c r="D43" s="464">
        <f>D42*2.5*2</f>
        <v>109</v>
      </c>
      <c r="E43" s="379"/>
      <c r="F43" s="378"/>
      <c r="G43" s="378"/>
      <c r="H43" s="452">
        <v>296.39999999999998</v>
      </c>
      <c r="I43" s="378">
        <f>ROUND(H43*D43,2)</f>
        <v>32307.599999999999</v>
      </c>
      <c r="J43" s="378">
        <f>ROUND(I43*1.2,2)</f>
        <v>38769.120000000003</v>
      </c>
      <c r="K43" s="379">
        <f t="shared" si="9"/>
        <v>32307.599999999999</v>
      </c>
      <c r="L43" s="378">
        <f t="shared" si="9"/>
        <v>38769.120000000003</v>
      </c>
    </row>
    <row r="44" spans="1:13" ht="17.25" customHeight="1" x14ac:dyDescent="0.25">
      <c r="A44" s="359"/>
      <c r="B44" s="360" t="s">
        <v>481</v>
      </c>
      <c r="C44" s="361"/>
      <c r="D44" s="473"/>
      <c r="E44" s="367"/>
      <c r="F44" s="366"/>
      <c r="G44" s="366"/>
      <c r="H44" s="366"/>
      <c r="I44" s="366"/>
      <c r="J44" s="366"/>
      <c r="K44" s="367"/>
      <c r="L44" s="366"/>
    </row>
    <row r="45" spans="1:13" ht="17.25" customHeight="1" x14ac:dyDescent="0.25">
      <c r="A45" s="369">
        <f>A42+1</f>
        <v>21</v>
      </c>
      <c r="B45" s="113" t="s">
        <v>747</v>
      </c>
      <c r="C45" s="369" t="s">
        <v>72</v>
      </c>
      <c r="D45" s="372">
        <v>40.65</v>
      </c>
      <c r="E45" s="374">
        <v>1009.85</v>
      </c>
      <c r="F45" s="372">
        <f>ROUND(E45*D45,2)</f>
        <v>41050.400000000001</v>
      </c>
      <c r="G45" s="372">
        <f>ROUND(F45*1.2,2)</f>
        <v>49260.480000000003</v>
      </c>
      <c r="H45" s="374"/>
      <c r="I45" s="372"/>
      <c r="J45" s="372"/>
      <c r="K45" s="374">
        <f t="shared" ref="K45:L56" si="10">F45+I45</f>
        <v>41050.400000000001</v>
      </c>
      <c r="L45" s="372">
        <f t="shared" si="10"/>
        <v>49260.480000000003</v>
      </c>
    </row>
    <row r="46" spans="1:13" ht="17.25" customHeight="1" x14ac:dyDescent="0.25">
      <c r="A46" s="488" t="s">
        <v>208</v>
      </c>
      <c r="B46" s="277" t="s">
        <v>748</v>
      </c>
      <c r="C46" s="375" t="s">
        <v>72</v>
      </c>
      <c r="D46" s="378">
        <f>ROUND(1.02*D45,2)</f>
        <v>41.46</v>
      </c>
      <c r="E46" s="379"/>
      <c r="F46" s="378"/>
      <c r="G46" s="378"/>
      <c r="H46" s="379">
        <v>2924.1</v>
      </c>
      <c r="I46" s="378">
        <f>ROUND(H46*D46,2)</f>
        <v>121233.19</v>
      </c>
      <c r="J46" s="378">
        <f>ROUND(I46*1.2,2)</f>
        <v>145479.82999999999</v>
      </c>
      <c r="K46" s="379">
        <f t="shared" si="10"/>
        <v>121233.19</v>
      </c>
      <c r="L46" s="378">
        <f t="shared" si="10"/>
        <v>145479.82999999999</v>
      </c>
    </row>
    <row r="47" spans="1:13" ht="17.25" customHeight="1" x14ac:dyDescent="0.25">
      <c r="A47" s="488" t="s">
        <v>617</v>
      </c>
      <c r="B47" s="277" t="s">
        <v>749</v>
      </c>
      <c r="C47" s="375" t="s">
        <v>75</v>
      </c>
      <c r="D47" s="467">
        <v>8</v>
      </c>
      <c r="E47" s="379"/>
      <c r="F47" s="378"/>
      <c r="G47" s="378"/>
      <c r="H47" s="379">
        <v>6384</v>
      </c>
      <c r="I47" s="378">
        <f>ROUND(H47*D47,2)</f>
        <v>51072</v>
      </c>
      <c r="J47" s="378">
        <f>ROUND(I47*1.2,2)</f>
        <v>61286.400000000001</v>
      </c>
      <c r="K47" s="379">
        <f t="shared" si="10"/>
        <v>51072</v>
      </c>
      <c r="L47" s="378">
        <f t="shared" si="10"/>
        <v>61286.400000000001</v>
      </c>
    </row>
    <row r="48" spans="1:13" ht="17.25" customHeight="1" x14ac:dyDescent="0.25">
      <c r="A48" s="369">
        <f>A45+1</f>
        <v>22</v>
      </c>
      <c r="B48" s="113" t="s">
        <v>750</v>
      </c>
      <c r="C48" s="369" t="s">
        <v>72</v>
      </c>
      <c r="D48" s="372">
        <v>2.36</v>
      </c>
      <c r="E48" s="374">
        <v>872.2</v>
      </c>
      <c r="F48" s="372">
        <f>ROUND(E48*D48,2)</f>
        <v>2058.39</v>
      </c>
      <c r="G48" s="372">
        <f>ROUND(F48*1.2,2)</f>
        <v>2470.0700000000002</v>
      </c>
      <c r="H48" s="374"/>
      <c r="I48" s="372"/>
      <c r="J48" s="372"/>
      <c r="K48" s="374">
        <f t="shared" si="10"/>
        <v>2058.39</v>
      </c>
      <c r="L48" s="372">
        <f t="shared" si="10"/>
        <v>2470.0700000000002</v>
      </c>
    </row>
    <row r="49" spans="1:15" ht="17.25" customHeight="1" x14ac:dyDescent="0.25">
      <c r="A49" s="488" t="s">
        <v>502</v>
      </c>
      <c r="B49" s="277" t="s">
        <v>751</v>
      </c>
      <c r="C49" s="375" t="s">
        <v>72</v>
      </c>
      <c r="D49" s="378">
        <f>ROUND(1.02*D48,2)</f>
        <v>2.41</v>
      </c>
      <c r="E49" s="379"/>
      <c r="F49" s="378"/>
      <c r="G49" s="378"/>
      <c r="H49" s="379">
        <v>1596</v>
      </c>
      <c r="I49" s="378">
        <f>ROUND(H49*D49,2)</f>
        <v>3846.36</v>
      </c>
      <c r="J49" s="378">
        <f>ROUND(I49*1.2,2)</f>
        <v>4615.63</v>
      </c>
      <c r="K49" s="379">
        <f t="shared" si="10"/>
        <v>3846.36</v>
      </c>
      <c r="L49" s="378">
        <f t="shared" si="10"/>
        <v>4615.63</v>
      </c>
    </row>
    <row r="50" spans="1:15" s="426" customFormat="1" ht="17.25" customHeight="1" x14ac:dyDescent="0.25">
      <c r="A50" s="418">
        <f>A48+1</f>
        <v>23</v>
      </c>
      <c r="B50" s="482" t="s">
        <v>752</v>
      </c>
      <c r="C50" s="418" t="s">
        <v>75</v>
      </c>
      <c r="D50" s="486">
        <v>14</v>
      </c>
      <c r="E50" s="431">
        <v>10239.1</v>
      </c>
      <c r="F50" s="430">
        <f>ROUND(E50*D50,2)</f>
        <v>143347.4</v>
      </c>
      <c r="G50" s="430">
        <f>ROUND(F50*1.2,2)</f>
        <v>172016.88</v>
      </c>
      <c r="H50" s="431"/>
      <c r="I50" s="430"/>
      <c r="J50" s="430"/>
      <c r="K50" s="431">
        <f t="shared" si="10"/>
        <v>143347.4</v>
      </c>
      <c r="L50" s="430">
        <f t="shared" si="10"/>
        <v>172016.88</v>
      </c>
      <c r="N50" s="425" t="s">
        <v>1250</v>
      </c>
      <c r="O50" s="819">
        <f>L50-D50*1000</f>
        <v>158016.88</v>
      </c>
    </row>
    <row r="51" spans="1:15" ht="17.25" customHeight="1" x14ac:dyDescent="0.25">
      <c r="A51" s="369">
        <f>A50+1</f>
        <v>24</v>
      </c>
      <c r="B51" s="113" t="s">
        <v>753</v>
      </c>
      <c r="C51" s="369" t="s">
        <v>75</v>
      </c>
      <c r="D51" s="477">
        <v>4</v>
      </c>
      <c r="E51" s="374">
        <v>4129.6499999999996</v>
      </c>
      <c r="F51" s="372">
        <f>ROUND(E51*D51,2)</f>
        <v>16518.599999999999</v>
      </c>
      <c r="G51" s="372">
        <f>ROUND(F51*1.2,2)</f>
        <v>19822.32</v>
      </c>
      <c r="H51" s="374"/>
      <c r="I51" s="372"/>
      <c r="J51" s="372"/>
      <c r="K51" s="374">
        <f t="shared" si="10"/>
        <v>16518.599999999999</v>
      </c>
      <c r="L51" s="372">
        <f t="shared" si="10"/>
        <v>19822.32</v>
      </c>
    </row>
    <row r="52" spans="1:15" ht="17.25" customHeight="1" x14ac:dyDescent="0.25">
      <c r="A52" s="488" t="s">
        <v>310</v>
      </c>
      <c r="B52" s="277" t="s">
        <v>754</v>
      </c>
      <c r="C52" s="375" t="s">
        <v>75</v>
      </c>
      <c r="D52" s="478">
        <v>4</v>
      </c>
      <c r="E52" s="379"/>
      <c r="F52" s="378"/>
      <c r="G52" s="378"/>
      <c r="H52" s="378">
        <v>7210.5</v>
      </c>
      <c r="I52" s="378">
        <f>ROUND(H52*D52,2)</f>
        <v>28842</v>
      </c>
      <c r="J52" s="378">
        <f>ROUND(I52*1.2,2)</f>
        <v>34610.400000000001</v>
      </c>
      <c r="K52" s="379">
        <f t="shared" si="10"/>
        <v>28842</v>
      </c>
      <c r="L52" s="378">
        <f t="shared" si="10"/>
        <v>34610.400000000001</v>
      </c>
    </row>
    <row r="53" spans="1:15" ht="17.25" customHeight="1" x14ac:dyDescent="0.25">
      <c r="A53" s="404">
        <f>A51+1</f>
        <v>25</v>
      </c>
      <c r="B53" s="209" t="s">
        <v>755</v>
      </c>
      <c r="C53" s="404" t="s">
        <v>72</v>
      </c>
      <c r="D53" s="490">
        <v>2.1</v>
      </c>
      <c r="E53" s="407">
        <v>3500</v>
      </c>
      <c r="F53" s="407">
        <f>ROUND(E53*D53,2)</f>
        <v>7350</v>
      </c>
      <c r="G53" s="407">
        <f>ROUND(F53*1.2,2)</f>
        <v>8820</v>
      </c>
      <c r="H53" s="409"/>
      <c r="I53" s="407"/>
      <c r="J53" s="407"/>
      <c r="K53" s="409">
        <f t="shared" si="10"/>
        <v>7350</v>
      </c>
      <c r="L53" s="407">
        <f t="shared" si="10"/>
        <v>8820</v>
      </c>
      <c r="M53" s="352" t="s">
        <v>756</v>
      </c>
    </row>
    <row r="54" spans="1:15" ht="32.25" customHeight="1" x14ac:dyDescent="0.25">
      <c r="A54" s="404">
        <f>A53+1</f>
        <v>26</v>
      </c>
      <c r="B54" s="209" t="s">
        <v>757</v>
      </c>
      <c r="C54" s="404" t="s">
        <v>84</v>
      </c>
      <c r="D54" s="475">
        <v>0.04</v>
      </c>
      <c r="E54" s="409">
        <v>80533.5</v>
      </c>
      <c r="F54" s="407">
        <f>ROUND(E54*D54,2)</f>
        <v>3221.34</v>
      </c>
      <c r="G54" s="407">
        <f t="shared" ref="G54" si="11">ROUND(F54*1.2,2)</f>
        <v>3865.61</v>
      </c>
      <c r="H54" s="409"/>
      <c r="I54" s="407"/>
      <c r="J54" s="407"/>
      <c r="K54" s="409">
        <f t="shared" si="10"/>
        <v>3221.34</v>
      </c>
      <c r="L54" s="407">
        <f t="shared" si="10"/>
        <v>3865.61</v>
      </c>
      <c r="M54" s="394"/>
    </row>
    <row r="55" spans="1:15" ht="17.25" customHeight="1" x14ac:dyDescent="0.25">
      <c r="A55" s="488" t="s">
        <v>348</v>
      </c>
      <c r="B55" s="277" t="s">
        <v>698</v>
      </c>
      <c r="C55" s="375" t="s">
        <v>84</v>
      </c>
      <c r="D55" s="476">
        <v>0.04</v>
      </c>
      <c r="E55" s="379"/>
      <c r="F55" s="378"/>
      <c r="G55" s="378"/>
      <c r="H55" s="379">
        <f>ROUND(4616/1.2*1.15,2)</f>
        <v>4423.67</v>
      </c>
      <c r="I55" s="378">
        <f>ROUND(H55*D55,2)</f>
        <v>176.95</v>
      </c>
      <c r="J55" s="378">
        <f>ROUND(I55*1.2,2)</f>
        <v>212.34</v>
      </c>
      <c r="K55" s="379">
        <f t="shared" si="10"/>
        <v>176.95</v>
      </c>
      <c r="L55" s="378">
        <f t="shared" si="10"/>
        <v>212.34</v>
      </c>
      <c r="M55" s="394" t="s">
        <v>143</v>
      </c>
    </row>
    <row r="56" spans="1:15" ht="17.25" customHeight="1" x14ac:dyDescent="0.25">
      <c r="A56" s="488" t="s">
        <v>349</v>
      </c>
      <c r="B56" s="277" t="s">
        <v>716</v>
      </c>
      <c r="C56" s="375" t="s">
        <v>80</v>
      </c>
      <c r="D56" s="476">
        <f>1.49*78.5/1000</f>
        <v>0.116965</v>
      </c>
      <c r="E56" s="379"/>
      <c r="F56" s="378"/>
      <c r="G56" s="378"/>
      <c r="H56" s="379">
        <f>ROUND(105190/1.2*1.15,2)</f>
        <v>100807.08</v>
      </c>
      <c r="I56" s="378">
        <f>ROUND(H56*D56,2)</f>
        <v>11790.9</v>
      </c>
      <c r="J56" s="378">
        <f>ROUND(I56*1.2,2)</f>
        <v>14149.08</v>
      </c>
      <c r="K56" s="379">
        <f t="shared" si="10"/>
        <v>11790.9</v>
      </c>
      <c r="L56" s="378">
        <f t="shared" si="10"/>
        <v>14149.08</v>
      </c>
    </row>
    <row r="57" spans="1:15" ht="17.25" customHeight="1" x14ac:dyDescent="0.25">
      <c r="A57" s="369">
        <f>A54+1</f>
        <v>27</v>
      </c>
      <c r="B57" s="113" t="s">
        <v>758</v>
      </c>
      <c r="C57" s="369" t="s">
        <v>75</v>
      </c>
      <c r="D57" s="477">
        <v>2</v>
      </c>
      <c r="E57" s="374">
        <v>261.61</v>
      </c>
      <c r="F57" s="372">
        <f>ROUND(E57*D57,2)</f>
        <v>523.22</v>
      </c>
      <c r="G57" s="372">
        <f>ROUND(F57*1.2,2)</f>
        <v>627.86</v>
      </c>
      <c r="H57" s="374"/>
      <c r="I57" s="372"/>
      <c r="J57" s="372"/>
      <c r="K57" s="374">
        <f>F57+I57</f>
        <v>523.22</v>
      </c>
      <c r="L57" s="372">
        <f>G57+J57</f>
        <v>627.86</v>
      </c>
    </row>
    <row r="58" spans="1:15" ht="17.25" customHeight="1" x14ac:dyDescent="0.25">
      <c r="A58" s="488" t="s">
        <v>353</v>
      </c>
      <c r="B58" s="277" t="s">
        <v>759</v>
      </c>
      <c r="C58" s="375" t="s">
        <v>75</v>
      </c>
      <c r="D58" s="478">
        <v>2</v>
      </c>
      <c r="E58" s="379"/>
      <c r="F58" s="378"/>
      <c r="G58" s="378"/>
      <c r="H58" s="378">
        <v>5185.5</v>
      </c>
      <c r="I58" s="378">
        <f>ROUND(H58*D58,2)</f>
        <v>10371</v>
      </c>
      <c r="J58" s="378">
        <f>ROUND(I58*1.2,2)</f>
        <v>12445.2</v>
      </c>
      <c r="K58" s="379">
        <f>F58+I58</f>
        <v>10371</v>
      </c>
      <c r="L58" s="378">
        <f>G58+J58</f>
        <v>12445.2</v>
      </c>
    </row>
    <row r="59" spans="1:15" ht="17.25" customHeight="1" x14ac:dyDescent="0.25">
      <c r="A59" s="359"/>
      <c r="B59" s="360" t="s">
        <v>760</v>
      </c>
      <c r="C59" s="361"/>
      <c r="D59" s="465"/>
      <c r="E59" s="367"/>
      <c r="F59" s="366"/>
      <c r="G59" s="366"/>
      <c r="H59" s="365"/>
      <c r="I59" s="366"/>
      <c r="J59" s="366"/>
      <c r="K59" s="367"/>
      <c r="L59" s="366"/>
    </row>
    <row r="60" spans="1:15" ht="17.25" customHeight="1" x14ac:dyDescent="0.25">
      <c r="A60" s="369">
        <f>A57+1</f>
        <v>28</v>
      </c>
      <c r="B60" s="113" t="s">
        <v>761</v>
      </c>
      <c r="C60" s="369" t="s">
        <v>75</v>
      </c>
      <c r="D60" s="466">
        <v>2</v>
      </c>
      <c r="E60" s="374">
        <v>1452.55</v>
      </c>
      <c r="F60" s="372">
        <f>ROUND(E60*D60,2)</f>
        <v>2905.1</v>
      </c>
      <c r="G60" s="372">
        <f>ROUND(F60*1.2,2)</f>
        <v>3486.12</v>
      </c>
      <c r="H60" s="374"/>
      <c r="I60" s="372"/>
      <c r="J60" s="372"/>
      <c r="K60" s="374">
        <f t="shared" ref="K60:L75" si="12">F60+I60</f>
        <v>2905.1</v>
      </c>
      <c r="L60" s="372">
        <f t="shared" si="12"/>
        <v>3486.12</v>
      </c>
    </row>
    <row r="61" spans="1:15" ht="17.25" customHeight="1" x14ac:dyDescent="0.25">
      <c r="A61" s="488" t="s">
        <v>357</v>
      </c>
      <c r="B61" s="277" t="s">
        <v>762</v>
      </c>
      <c r="C61" s="375" t="s">
        <v>75</v>
      </c>
      <c r="D61" s="467">
        <v>2</v>
      </c>
      <c r="E61" s="379"/>
      <c r="F61" s="378"/>
      <c r="G61" s="378"/>
      <c r="H61" s="470">
        <v>1824</v>
      </c>
      <c r="I61" s="378">
        <f>ROUND(H61*D61,2)</f>
        <v>3648</v>
      </c>
      <c r="J61" s="378">
        <f>ROUND(I61*1.2,2)</f>
        <v>4377.6000000000004</v>
      </c>
      <c r="K61" s="379">
        <f t="shared" si="12"/>
        <v>3648</v>
      </c>
      <c r="L61" s="378">
        <f t="shared" si="12"/>
        <v>4377.6000000000004</v>
      </c>
    </row>
    <row r="62" spans="1:15" ht="17.25" customHeight="1" x14ac:dyDescent="0.25">
      <c r="A62" s="369">
        <f>A60+1</f>
        <v>29</v>
      </c>
      <c r="B62" s="113" t="s">
        <v>763</v>
      </c>
      <c r="C62" s="369" t="s">
        <v>84</v>
      </c>
      <c r="D62" s="463">
        <v>0.17</v>
      </c>
      <c r="E62" s="374">
        <v>17265.68</v>
      </c>
      <c r="F62" s="372">
        <f>ROUND(E62*D62,2)</f>
        <v>2935.17</v>
      </c>
      <c r="G62" s="372">
        <f>ROUND(F62*1.2,2)</f>
        <v>3522.2</v>
      </c>
      <c r="H62" s="374"/>
      <c r="I62" s="372"/>
      <c r="J62" s="372"/>
      <c r="K62" s="374">
        <f t="shared" si="12"/>
        <v>2935.17</v>
      </c>
      <c r="L62" s="372">
        <f t="shared" si="12"/>
        <v>3522.2</v>
      </c>
    </row>
    <row r="63" spans="1:15" ht="17.25" customHeight="1" x14ac:dyDescent="0.25">
      <c r="A63" s="488" t="s">
        <v>360</v>
      </c>
      <c r="B63" s="277" t="s">
        <v>764</v>
      </c>
      <c r="C63" s="375" t="s">
        <v>75</v>
      </c>
      <c r="D63" s="467">
        <v>1</v>
      </c>
      <c r="E63" s="379"/>
      <c r="F63" s="378"/>
      <c r="G63" s="378"/>
      <c r="H63" s="470">
        <f>ROUND(4900*1.15,2)</f>
        <v>5635</v>
      </c>
      <c r="I63" s="378">
        <f>ROUND(H63*D63,2)</f>
        <v>5635</v>
      </c>
      <c r="J63" s="378">
        <f>ROUND(I63*1.2,2)</f>
        <v>6762</v>
      </c>
      <c r="K63" s="379">
        <f t="shared" si="12"/>
        <v>5635</v>
      </c>
      <c r="L63" s="378">
        <f t="shared" si="12"/>
        <v>6762</v>
      </c>
      <c r="M63" s="394" t="s">
        <v>143</v>
      </c>
    </row>
    <row r="64" spans="1:15" ht="17.25" customHeight="1" x14ac:dyDescent="0.25">
      <c r="A64" s="369">
        <f>A62+1</f>
        <v>30</v>
      </c>
      <c r="B64" s="113" t="s">
        <v>765</v>
      </c>
      <c r="C64" s="369" t="s">
        <v>84</v>
      </c>
      <c r="D64" s="468">
        <v>0.16800000000000001</v>
      </c>
      <c r="E64" s="374">
        <v>17265.68</v>
      </c>
      <c r="F64" s="372">
        <f>ROUND(E64*D64,2)</f>
        <v>2900.63</v>
      </c>
      <c r="G64" s="372">
        <f>ROUND(F64*1.2,2)</f>
        <v>3480.76</v>
      </c>
      <c r="H64" s="374"/>
      <c r="I64" s="372"/>
      <c r="J64" s="372"/>
      <c r="K64" s="374">
        <f t="shared" si="12"/>
        <v>2900.63</v>
      </c>
      <c r="L64" s="372">
        <f t="shared" si="12"/>
        <v>3480.76</v>
      </c>
      <c r="M64" s="394"/>
    </row>
    <row r="65" spans="1:13" ht="17.25" customHeight="1" x14ac:dyDescent="0.25">
      <c r="A65" s="488" t="s">
        <v>367</v>
      </c>
      <c r="B65" s="277" t="s">
        <v>766</v>
      </c>
      <c r="C65" s="375" t="s">
        <v>75</v>
      </c>
      <c r="D65" s="467">
        <v>1</v>
      </c>
      <c r="E65" s="379"/>
      <c r="F65" s="378"/>
      <c r="G65" s="378"/>
      <c r="H65" s="470">
        <f>ROUND(4120.5*1.15,2)</f>
        <v>4738.58</v>
      </c>
      <c r="I65" s="378">
        <f>ROUND(H65*D65,2)</f>
        <v>4738.58</v>
      </c>
      <c r="J65" s="378">
        <f>ROUND(I65*1.2,2)</f>
        <v>5686.3</v>
      </c>
      <c r="K65" s="379">
        <f t="shared" si="12"/>
        <v>4738.58</v>
      </c>
      <c r="L65" s="378">
        <f t="shared" si="12"/>
        <v>5686.3</v>
      </c>
      <c r="M65" s="394" t="s">
        <v>143</v>
      </c>
    </row>
    <row r="66" spans="1:13" ht="17.25" customHeight="1" x14ac:dyDescent="0.25">
      <c r="A66" s="369">
        <f>A64+1</f>
        <v>31</v>
      </c>
      <c r="B66" s="18" t="s">
        <v>767</v>
      </c>
      <c r="C66" s="369" t="s">
        <v>75</v>
      </c>
      <c r="D66" s="466">
        <v>2</v>
      </c>
      <c r="E66" s="372">
        <v>5383.65</v>
      </c>
      <c r="F66" s="372">
        <f>ROUND(E66*D66,2)</f>
        <v>10767.3</v>
      </c>
      <c r="G66" s="372">
        <f>ROUND(F66*1.2,2)</f>
        <v>12920.76</v>
      </c>
      <c r="H66" s="374"/>
      <c r="I66" s="372"/>
      <c r="J66" s="372"/>
      <c r="K66" s="374">
        <f t="shared" si="12"/>
        <v>10767.3</v>
      </c>
      <c r="L66" s="372">
        <f t="shared" si="12"/>
        <v>12920.76</v>
      </c>
    </row>
    <row r="67" spans="1:13" ht="17.25" customHeight="1" x14ac:dyDescent="0.25">
      <c r="A67" s="488" t="s">
        <v>226</v>
      </c>
      <c r="B67" s="277" t="s">
        <v>768</v>
      </c>
      <c r="C67" s="375" t="s">
        <v>75</v>
      </c>
      <c r="D67" s="467">
        <v>2</v>
      </c>
      <c r="E67" s="379"/>
      <c r="F67" s="378"/>
      <c r="G67" s="378"/>
      <c r="H67" s="470">
        <v>5538.5</v>
      </c>
      <c r="I67" s="378">
        <f>ROUND(H67*D67,2)</f>
        <v>11077</v>
      </c>
      <c r="J67" s="378">
        <f>ROUND(I67*1.2,2)</f>
        <v>13292.4</v>
      </c>
      <c r="K67" s="379">
        <f t="shared" si="12"/>
        <v>11077</v>
      </c>
      <c r="L67" s="378">
        <f t="shared" si="12"/>
        <v>13292.4</v>
      </c>
    </row>
    <row r="68" spans="1:13" ht="17.25" customHeight="1" x14ac:dyDescent="0.25">
      <c r="A68" s="369">
        <f>A66+1</f>
        <v>32</v>
      </c>
      <c r="B68" s="113" t="s">
        <v>769</v>
      </c>
      <c r="C68" s="369" t="s">
        <v>75</v>
      </c>
      <c r="D68" s="466">
        <v>2</v>
      </c>
      <c r="E68" s="374">
        <v>1974</v>
      </c>
      <c r="F68" s="372">
        <f>ROUND(E68*D68,2)</f>
        <v>3948</v>
      </c>
      <c r="G68" s="372">
        <f>ROUND(F68*1.2,2)</f>
        <v>4737.6000000000004</v>
      </c>
      <c r="H68" s="374"/>
      <c r="I68" s="372"/>
      <c r="J68" s="372"/>
      <c r="K68" s="374">
        <f t="shared" si="12"/>
        <v>3948</v>
      </c>
      <c r="L68" s="372">
        <f t="shared" si="12"/>
        <v>4737.6000000000004</v>
      </c>
    </row>
    <row r="69" spans="1:13" ht="17.25" customHeight="1" x14ac:dyDescent="0.25">
      <c r="A69" s="488" t="s">
        <v>542</v>
      </c>
      <c r="B69" s="277" t="s">
        <v>690</v>
      </c>
      <c r="C69" s="375" t="s">
        <v>75</v>
      </c>
      <c r="D69" s="467">
        <v>2</v>
      </c>
      <c r="E69" s="379"/>
      <c r="F69" s="378"/>
      <c r="G69" s="378"/>
      <c r="H69" s="470">
        <v>8645</v>
      </c>
      <c r="I69" s="378">
        <f>ROUND(H69*D69,2)</f>
        <v>17290</v>
      </c>
      <c r="J69" s="378">
        <f>ROUND(I69*1.2,2)</f>
        <v>20748</v>
      </c>
      <c r="K69" s="379">
        <f t="shared" si="12"/>
        <v>17290</v>
      </c>
      <c r="L69" s="378">
        <f t="shared" si="12"/>
        <v>20748</v>
      </c>
    </row>
    <row r="70" spans="1:13" ht="17.25" customHeight="1" x14ac:dyDescent="0.25">
      <c r="A70" s="369">
        <f>A68+1</f>
        <v>33</v>
      </c>
      <c r="B70" s="18" t="s">
        <v>770</v>
      </c>
      <c r="C70" s="369" t="s">
        <v>75</v>
      </c>
      <c r="D70" s="466">
        <v>1</v>
      </c>
      <c r="E70" s="374">
        <v>4074.55</v>
      </c>
      <c r="F70" s="372">
        <f>ROUND(E70*D70,2)</f>
        <v>4074.55</v>
      </c>
      <c r="G70" s="372">
        <f>ROUND(F70*1.2,2)</f>
        <v>4889.46</v>
      </c>
      <c r="H70" s="374"/>
      <c r="I70" s="372"/>
      <c r="J70" s="372"/>
      <c r="K70" s="374">
        <f t="shared" si="12"/>
        <v>4074.55</v>
      </c>
      <c r="L70" s="372">
        <f t="shared" si="12"/>
        <v>4889.46</v>
      </c>
    </row>
    <row r="71" spans="1:13" ht="17.25" customHeight="1" x14ac:dyDescent="0.25">
      <c r="A71" s="488" t="s">
        <v>235</v>
      </c>
      <c r="B71" s="277" t="s">
        <v>771</v>
      </c>
      <c r="C71" s="375" t="s">
        <v>75</v>
      </c>
      <c r="D71" s="467">
        <v>1</v>
      </c>
      <c r="E71" s="379"/>
      <c r="F71" s="378"/>
      <c r="G71" s="378"/>
      <c r="H71" s="470">
        <v>2707.5</v>
      </c>
      <c r="I71" s="378">
        <f>ROUND(H71*D71,2)</f>
        <v>2707.5</v>
      </c>
      <c r="J71" s="378">
        <f>ROUND(I71*1.2,2)</f>
        <v>3249</v>
      </c>
      <c r="K71" s="379">
        <f t="shared" si="12"/>
        <v>2707.5</v>
      </c>
      <c r="L71" s="378">
        <f t="shared" si="12"/>
        <v>3249</v>
      </c>
      <c r="M71" s="394"/>
    </row>
    <row r="72" spans="1:13" ht="17.25" customHeight="1" x14ac:dyDescent="0.25">
      <c r="A72" s="369">
        <f>A70+1</f>
        <v>34</v>
      </c>
      <c r="B72" s="18" t="s">
        <v>772</v>
      </c>
      <c r="C72" s="369" t="s">
        <v>84</v>
      </c>
      <c r="D72" s="491">
        <v>0.1</v>
      </c>
      <c r="E72" s="374">
        <v>17265.68</v>
      </c>
      <c r="F72" s="372">
        <f>ROUND(E72*D72,2)</f>
        <v>1726.57</v>
      </c>
      <c r="G72" s="372">
        <f>ROUND(F72*1.2,2)</f>
        <v>2071.88</v>
      </c>
      <c r="H72" s="374"/>
      <c r="I72" s="372"/>
      <c r="J72" s="372"/>
      <c r="K72" s="374">
        <f t="shared" si="12"/>
        <v>1726.57</v>
      </c>
      <c r="L72" s="372">
        <f t="shared" si="12"/>
        <v>2071.88</v>
      </c>
    </row>
    <row r="73" spans="1:13" ht="17.25" customHeight="1" x14ac:dyDescent="0.25">
      <c r="A73" s="488" t="s">
        <v>237</v>
      </c>
      <c r="B73" s="277" t="s">
        <v>773</v>
      </c>
      <c r="C73" s="375" t="s">
        <v>75</v>
      </c>
      <c r="D73" s="467">
        <v>1</v>
      </c>
      <c r="E73" s="379"/>
      <c r="F73" s="378"/>
      <c r="G73" s="378"/>
      <c r="H73" s="452">
        <v>1427.85</v>
      </c>
      <c r="I73" s="378">
        <f>ROUND(H73*D73,2)</f>
        <v>1427.85</v>
      </c>
      <c r="J73" s="378">
        <f>ROUND(I73*1.2,2)</f>
        <v>1713.42</v>
      </c>
      <c r="K73" s="379">
        <f t="shared" si="12"/>
        <v>1427.85</v>
      </c>
      <c r="L73" s="378">
        <f t="shared" si="12"/>
        <v>1713.42</v>
      </c>
    </row>
    <row r="74" spans="1:13" ht="17.25" customHeight="1" x14ac:dyDescent="0.25">
      <c r="A74" s="369">
        <f>A72+1</f>
        <v>35</v>
      </c>
      <c r="B74" s="18" t="s">
        <v>774</v>
      </c>
      <c r="C74" s="369" t="s">
        <v>84</v>
      </c>
      <c r="D74" s="463">
        <v>0.32</v>
      </c>
      <c r="E74" s="374">
        <v>6594.12</v>
      </c>
      <c r="F74" s="372">
        <f>ROUND(E74*D74,2)</f>
        <v>2110.12</v>
      </c>
      <c r="G74" s="372">
        <f>ROUND(F74*1.2,2)</f>
        <v>2532.14</v>
      </c>
      <c r="H74" s="374"/>
      <c r="I74" s="372"/>
      <c r="J74" s="372"/>
      <c r="K74" s="374">
        <f t="shared" si="12"/>
        <v>2110.12</v>
      </c>
      <c r="L74" s="372">
        <f t="shared" si="12"/>
        <v>2532.14</v>
      </c>
    </row>
    <row r="75" spans="1:13" ht="17.25" customHeight="1" x14ac:dyDescent="0.25">
      <c r="A75" s="488" t="s">
        <v>239</v>
      </c>
      <c r="B75" s="277" t="s">
        <v>775</v>
      </c>
      <c r="C75" s="375" t="s">
        <v>75</v>
      </c>
      <c r="D75" s="467">
        <v>1</v>
      </c>
      <c r="E75" s="379"/>
      <c r="F75" s="378"/>
      <c r="G75" s="378"/>
      <c r="H75" s="452">
        <v>5196.5</v>
      </c>
      <c r="I75" s="378">
        <f>ROUND(H75*D75,2)</f>
        <v>5196.5</v>
      </c>
      <c r="J75" s="378">
        <f>ROUND(I75*1.2,2)</f>
        <v>6235.8</v>
      </c>
      <c r="K75" s="379">
        <f t="shared" si="12"/>
        <v>5196.5</v>
      </c>
      <c r="L75" s="378">
        <f t="shared" si="12"/>
        <v>6235.8</v>
      </c>
    </row>
    <row r="76" spans="1:13" ht="17.25" customHeight="1" x14ac:dyDescent="0.25">
      <c r="A76" s="369">
        <f>A74+1</f>
        <v>36</v>
      </c>
      <c r="B76" s="18" t="s">
        <v>776</v>
      </c>
      <c r="C76" s="369" t="s">
        <v>72</v>
      </c>
      <c r="D76" s="463">
        <v>1.44</v>
      </c>
      <c r="E76" s="374">
        <v>2175.65</v>
      </c>
      <c r="F76" s="372">
        <f>ROUND(E76*D76,2)</f>
        <v>3132.94</v>
      </c>
      <c r="G76" s="372">
        <f>ROUND(F76*1.2,2)</f>
        <v>3759.53</v>
      </c>
      <c r="H76" s="374"/>
      <c r="I76" s="372"/>
      <c r="J76" s="372"/>
      <c r="K76" s="374">
        <f t="shared" ref="K76:L91" si="13">F76+I76</f>
        <v>3132.94</v>
      </c>
      <c r="L76" s="372">
        <f t="shared" si="13"/>
        <v>3759.53</v>
      </c>
      <c r="M76" s="352" t="s">
        <v>777</v>
      </c>
    </row>
    <row r="77" spans="1:13" ht="17.25" customHeight="1" x14ac:dyDescent="0.25">
      <c r="A77" s="488" t="s">
        <v>374</v>
      </c>
      <c r="B77" s="277" t="s">
        <v>778</v>
      </c>
      <c r="C77" s="375" t="s">
        <v>72</v>
      </c>
      <c r="D77" s="464">
        <v>1.44</v>
      </c>
      <c r="E77" s="379"/>
      <c r="F77" s="378"/>
      <c r="G77" s="378"/>
      <c r="H77" s="452">
        <v>1382.25</v>
      </c>
      <c r="I77" s="378">
        <f>ROUND(H77*D77,2)</f>
        <v>1990.44</v>
      </c>
      <c r="J77" s="378">
        <f>ROUND(I77*1.2,2)</f>
        <v>2388.5300000000002</v>
      </c>
      <c r="K77" s="379">
        <f t="shared" si="13"/>
        <v>1990.44</v>
      </c>
      <c r="L77" s="378">
        <f t="shared" si="13"/>
        <v>2388.5300000000002</v>
      </c>
    </row>
    <row r="78" spans="1:13" ht="17.25" customHeight="1" x14ac:dyDescent="0.25">
      <c r="A78" s="369">
        <f>A76+1</f>
        <v>37</v>
      </c>
      <c r="B78" s="113" t="s">
        <v>779</v>
      </c>
      <c r="C78" s="369" t="s">
        <v>75</v>
      </c>
      <c r="D78" s="477">
        <v>2</v>
      </c>
      <c r="E78" s="374">
        <v>261.61</v>
      </c>
      <c r="F78" s="372">
        <f>ROUND(E78*D78,2)</f>
        <v>523.22</v>
      </c>
      <c r="G78" s="372">
        <f>ROUND(F78*1.2,2)</f>
        <v>627.86</v>
      </c>
      <c r="H78" s="374"/>
      <c r="I78" s="372"/>
      <c r="J78" s="372"/>
      <c r="K78" s="374">
        <f t="shared" si="13"/>
        <v>523.22</v>
      </c>
      <c r="L78" s="372">
        <f t="shared" si="13"/>
        <v>627.86</v>
      </c>
    </row>
    <row r="79" spans="1:13" ht="17.25" customHeight="1" x14ac:dyDescent="0.25">
      <c r="A79" s="488" t="s">
        <v>552</v>
      </c>
      <c r="B79" s="277" t="s">
        <v>780</v>
      </c>
      <c r="C79" s="375" t="s">
        <v>75</v>
      </c>
      <c r="D79" s="478">
        <v>2</v>
      </c>
      <c r="E79" s="379"/>
      <c r="F79" s="378"/>
      <c r="G79" s="378"/>
      <c r="H79" s="378">
        <v>5185.5</v>
      </c>
      <c r="I79" s="378">
        <f>ROUND(H79*D79,2)</f>
        <v>10371</v>
      </c>
      <c r="J79" s="378">
        <f>ROUND(I79*1.2,2)</f>
        <v>12445.2</v>
      </c>
      <c r="K79" s="379">
        <f t="shared" si="13"/>
        <v>10371</v>
      </c>
      <c r="L79" s="378">
        <f t="shared" si="13"/>
        <v>12445.2</v>
      </c>
    </row>
    <row r="80" spans="1:13" ht="28.5" customHeight="1" x14ac:dyDescent="0.25">
      <c r="A80" s="369">
        <f>A78+1</f>
        <v>38</v>
      </c>
      <c r="B80" s="113" t="s">
        <v>781</v>
      </c>
      <c r="C80" s="369" t="s">
        <v>75</v>
      </c>
      <c r="D80" s="477">
        <v>2</v>
      </c>
      <c r="E80" s="374">
        <v>4557.1499999999996</v>
      </c>
      <c r="F80" s="372">
        <f>ROUND(E80*D80,2)</f>
        <v>9114.2999999999993</v>
      </c>
      <c r="G80" s="372">
        <f>ROUND(F80*1.2,2)</f>
        <v>10937.16</v>
      </c>
      <c r="H80" s="374"/>
      <c r="I80" s="372"/>
      <c r="J80" s="372"/>
      <c r="K80" s="374">
        <f t="shared" si="13"/>
        <v>9114.2999999999993</v>
      </c>
      <c r="L80" s="372">
        <f t="shared" si="13"/>
        <v>10937.16</v>
      </c>
    </row>
    <row r="81" spans="1:15" ht="31.5" customHeight="1" x14ac:dyDescent="0.25">
      <c r="A81" s="488" t="s">
        <v>244</v>
      </c>
      <c r="B81" s="277" t="s">
        <v>782</v>
      </c>
      <c r="C81" s="375" t="s">
        <v>75</v>
      </c>
      <c r="D81" s="478">
        <v>2</v>
      </c>
      <c r="E81" s="379"/>
      <c r="F81" s="378"/>
      <c r="G81" s="378"/>
      <c r="H81" s="379">
        <v>18525</v>
      </c>
      <c r="I81" s="378">
        <f>ROUND(H81*D81,2)</f>
        <v>37050</v>
      </c>
      <c r="J81" s="378">
        <f>ROUND(I81*1.2,2)</f>
        <v>44460</v>
      </c>
      <c r="K81" s="379">
        <f t="shared" si="13"/>
        <v>37050</v>
      </c>
      <c r="L81" s="378">
        <f t="shared" si="13"/>
        <v>44460</v>
      </c>
    </row>
    <row r="82" spans="1:15" ht="17.25" customHeight="1" x14ac:dyDescent="0.25">
      <c r="A82" s="369">
        <f>A80+1</f>
        <v>39</v>
      </c>
      <c r="B82" s="113" t="s">
        <v>750</v>
      </c>
      <c r="C82" s="369" t="s">
        <v>72</v>
      </c>
      <c r="D82" s="372">
        <v>8.6999999999999993</v>
      </c>
      <c r="E82" s="374">
        <v>872.2</v>
      </c>
      <c r="F82" s="372">
        <f>ROUND(E82*D82,2)</f>
        <v>7588.14</v>
      </c>
      <c r="G82" s="372">
        <f>ROUND(F82*1.2,2)</f>
        <v>9105.77</v>
      </c>
      <c r="H82" s="374"/>
      <c r="I82" s="372"/>
      <c r="J82" s="372"/>
      <c r="K82" s="374">
        <f t="shared" si="13"/>
        <v>7588.14</v>
      </c>
      <c r="L82" s="372">
        <f t="shared" si="13"/>
        <v>9105.77</v>
      </c>
    </row>
    <row r="83" spans="1:15" ht="17.25" customHeight="1" x14ac:dyDescent="0.25">
      <c r="A83" s="488" t="s">
        <v>253</v>
      </c>
      <c r="B83" s="277" t="s">
        <v>751</v>
      </c>
      <c r="C83" s="375" t="s">
        <v>72</v>
      </c>
      <c r="D83" s="378">
        <f>ROUND(1.02*D82,2)</f>
        <v>8.8699999999999992</v>
      </c>
      <c r="E83" s="379"/>
      <c r="F83" s="378"/>
      <c r="G83" s="378"/>
      <c r="H83" s="379">
        <v>1596</v>
      </c>
      <c r="I83" s="378">
        <f>ROUND(H83*D83,2)</f>
        <v>14156.52</v>
      </c>
      <c r="J83" s="378">
        <f>ROUND(I83*1.2,2)</f>
        <v>16987.82</v>
      </c>
      <c r="K83" s="379">
        <f t="shared" si="13"/>
        <v>14156.52</v>
      </c>
      <c r="L83" s="378">
        <f t="shared" si="13"/>
        <v>16987.82</v>
      </c>
    </row>
    <row r="84" spans="1:15" s="426" customFormat="1" ht="17.25" customHeight="1" x14ac:dyDescent="0.25">
      <c r="A84" s="418">
        <f>A82+1</f>
        <v>40</v>
      </c>
      <c r="B84" s="482" t="s">
        <v>752</v>
      </c>
      <c r="C84" s="418" t="s">
        <v>75</v>
      </c>
      <c r="D84" s="486">
        <v>2</v>
      </c>
      <c r="E84" s="431">
        <v>10239.1</v>
      </c>
      <c r="F84" s="430">
        <f>ROUND(E84*D84,2)</f>
        <v>20478.2</v>
      </c>
      <c r="G84" s="430">
        <f>ROUND(F84*1.2,2)</f>
        <v>24573.84</v>
      </c>
      <c r="H84" s="431"/>
      <c r="I84" s="430"/>
      <c r="J84" s="430"/>
      <c r="K84" s="431">
        <f t="shared" si="13"/>
        <v>20478.2</v>
      </c>
      <c r="L84" s="430">
        <f t="shared" si="13"/>
        <v>24573.84</v>
      </c>
      <c r="N84" s="425" t="s">
        <v>1250</v>
      </c>
      <c r="O84" s="819">
        <f>L84-D84*1000</f>
        <v>22573.84</v>
      </c>
    </row>
    <row r="85" spans="1:15" ht="17.25" customHeight="1" x14ac:dyDescent="0.25">
      <c r="A85" s="369">
        <f>A84+1</f>
        <v>41</v>
      </c>
      <c r="B85" s="113" t="s">
        <v>783</v>
      </c>
      <c r="C85" s="369" t="s">
        <v>75</v>
      </c>
      <c r="D85" s="466">
        <v>1</v>
      </c>
      <c r="E85" s="374">
        <v>4408</v>
      </c>
      <c r="F85" s="372">
        <f>ROUND(E85*D85,2)</f>
        <v>4408</v>
      </c>
      <c r="G85" s="372">
        <f>ROUND(F85*1.2,2)</f>
        <v>5289.6</v>
      </c>
      <c r="H85" s="374"/>
      <c r="I85" s="372"/>
      <c r="J85" s="372"/>
      <c r="K85" s="374">
        <f t="shared" si="13"/>
        <v>4408</v>
      </c>
      <c r="L85" s="372">
        <f t="shared" si="13"/>
        <v>5289.6</v>
      </c>
      <c r="M85" s="394"/>
    </row>
    <row r="86" spans="1:15" ht="17.25" customHeight="1" x14ac:dyDescent="0.25">
      <c r="A86" s="488" t="s">
        <v>784</v>
      </c>
      <c r="B86" s="277" t="s">
        <v>785</v>
      </c>
      <c r="C86" s="375" t="s">
        <v>75</v>
      </c>
      <c r="D86" s="467">
        <v>1</v>
      </c>
      <c r="E86" s="379"/>
      <c r="F86" s="378"/>
      <c r="G86" s="378"/>
      <c r="H86" s="470">
        <v>3990</v>
      </c>
      <c r="I86" s="378">
        <f>ROUND(H86*D86,2)</f>
        <v>3990</v>
      </c>
      <c r="J86" s="378">
        <f>ROUND(I86*1.2,2)</f>
        <v>4788</v>
      </c>
      <c r="K86" s="379">
        <f t="shared" si="13"/>
        <v>3990</v>
      </c>
      <c r="L86" s="378">
        <f t="shared" si="13"/>
        <v>4788</v>
      </c>
      <c r="M86" s="394"/>
    </row>
    <row r="87" spans="1:15" ht="17.25" customHeight="1" x14ac:dyDescent="0.25">
      <c r="A87" s="404">
        <f>A85+1</f>
        <v>42</v>
      </c>
      <c r="B87" s="209" t="s">
        <v>786</v>
      </c>
      <c r="C87" s="404" t="s">
        <v>171</v>
      </c>
      <c r="D87" s="407">
        <v>78.5</v>
      </c>
      <c r="E87" s="409">
        <v>172.95</v>
      </c>
      <c r="F87" s="407">
        <f>ROUND(E87*D87,2)</f>
        <v>13576.58</v>
      </c>
      <c r="G87" s="407">
        <f>ROUND(F87*1.2,2)</f>
        <v>16291.9</v>
      </c>
      <c r="H87" s="409"/>
      <c r="I87" s="407"/>
      <c r="J87" s="407"/>
      <c r="K87" s="409">
        <f t="shared" si="13"/>
        <v>13576.58</v>
      </c>
      <c r="L87" s="407">
        <f t="shared" si="13"/>
        <v>16291.9</v>
      </c>
      <c r="M87" s="394" t="s">
        <v>787</v>
      </c>
    </row>
    <row r="88" spans="1:15" ht="17.25" customHeight="1" x14ac:dyDescent="0.25">
      <c r="A88" s="488" t="s">
        <v>704</v>
      </c>
      <c r="B88" s="277" t="s">
        <v>788</v>
      </c>
      <c r="C88" s="375" t="s">
        <v>171</v>
      </c>
      <c r="D88" s="378">
        <v>78.5</v>
      </c>
      <c r="E88" s="379"/>
      <c r="F88" s="378"/>
      <c r="G88" s="378"/>
      <c r="H88" s="447">
        <v>84.55</v>
      </c>
      <c r="I88" s="378">
        <f>ROUND(H88*D88,2)</f>
        <v>6637.18</v>
      </c>
      <c r="J88" s="378">
        <f>ROUND(I88*1.2,2)</f>
        <v>7964.62</v>
      </c>
      <c r="K88" s="379">
        <f t="shared" si="13"/>
        <v>6637.18</v>
      </c>
      <c r="L88" s="378">
        <f t="shared" si="13"/>
        <v>7964.62</v>
      </c>
      <c r="M88" s="394"/>
    </row>
    <row r="89" spans="1:15" ht="35.25" customHeight="1" x14ac:dyDescent="0.25">
      <c r="A89" s="404">
        <f>A87+1</f>
        <v>43</v>
      </c>
      <c r="B89" s="209" t="s">
        <v>757</v>
      </c>
      <c r="C89" s="404" t="s">
        <v>84</v>
      </c>
      <c r="D89" s="475">
        <v>0.05</v>
      </c>
      <c r="E89" s="409">
        <v>80533.5</v>
      </c>
      <c r="F89" s="407">
        <f>ROUND(E89*D89,2)</f>
        <v>4026.68</v>
      </c>
      <c r="G89" s="407">
        <f t="shared" ref="G89" si="14">ROUND(F89*1.2,2)</f>
        <v>4832.0200000000004</v>
      </c>
      <c r="H89" s="409"/>
      <c r="I89" s="407"/>
      <c r="J89" s="407"/>
      <c r="K89" s="409">
        <f t="shared" si="13"/>
        <v>4026.68</v>
      </c>
      <c r="L89" s="407">
        <f t="shared" si="13"/>
        <v>4832.0200000000004</v>
      </c>
      <c r="M89" s="394"/>
    </row>
    <row r="90" spans="1:15" ht="17.25" customHeight="1" x14ac:dyDescent="0.25">
      <c r="A90" s="488" t="s">
        <v>707</v>
      </c>
      <c r="B90" s="277" t="s">
        <v>698</v>
      </c>
      <c r="C90" s="375" t="s">
        <v>84</v>
      </c>
      <c r="D90" s="476">
        <v>0.05</v>
      </c>
      <c r="E90" s="379"/>
      <c r="F90" s="378"/>
      <c r="G90" s="378"/>
      <c r="H90" s="379">
        <f>ROUND(4616/1.2*1.15,2)</f>
        <v>4423.67</v>
      </c>
      <c r="I90" s="378">
        <f>ROUND(H90*D90,2)</f>
        <v>221.18</v>
      </c>
      <c r="J90" s="378">
        <f>ROUND(I90*1.2,2)</f>
        <v>265.42</v>
      </c>
      <c r="K90" s="379">
        <f t="shared" si="13"/>
        <v>221.18</v>
      </c>
      <c r="L90" s="378">
        <f t="shared" si="13"/>
        <v>265.42</v>
      </c>
      <c r="M90" s="394" t="s">
        <v>143</v>
      </c>
    </row>
    <row r="91" spans="1:15" ht="17.25" customHeight="1" x14ac:dyDescent="0.25">
      <c r="A91" s="488" t="s">
        <v>789</v>
      </c>
      <c r="B91" s="277" t="s">
        <v>716</v>
      </c>
      <c r="C91" s="375" t="s">
        <v>80</v>
      </c>
      <c r="D91" s="476">
        <f>0.17*78.5/1000</f>
        <v>1.3345000000000001E-2</v>
      </c>
      <c r="E91" s="379"/>
      <c r="F91" s="378"/>
      <c r="G91" s="378"/>
      <c r="H91" s="379">
        <f>ROUND(105190/1.2*1.15,2)</f>
        <v>100807.08</v>
      </c>
      <c r="I91" s="378">
        <f>ROUND(H91*D91,2)</f>
        <v>1345.27</v>
      </c>
      <c r="J91" s="378">
        <f>ROUND(I91*1.2,2)</f>
        <v>1614.32</v>
      </c>
      <c r="K91" s="379">
        <f t="shared" si="13"/>
        <v>1345.27</v>
      </c>
      <c r="L91" s="378">
        <f t="shared" si="13"/>
        <v>1614.32</v>
      </c>
    </row>
    <row r="92" spans="1:15" ht="17.25" customHeight="1" x14ac:dyDescent="0.25">
      <c r="A92" s="471">
        <f>A89+1</f>
        <v>44</v>
      </c>
      <c r="B92" s="113" t="s">
        <v>691</v>
      </c>
      <c r="C92" s="369" t="s">
        <v>75</v>
      </c>
      <c r="D92" s="466">
        <v>1</v>
      </c>
      <c r="E92" s="374">
        <v>3050.45</v>
      </c>
      <c r="F92" s="372">
        <f>ROUND(E92*D92,2)</f>
        <v>3050.45</v>
      </c>
      <c r="G92" s="372">
        <f t="shared" ref="G92" si="15">ROUND(F92*1.2,2)</f>
        <v>3660.54</v>
      </c>
      <c r="H92" s="374"/>
      <c r="I92" s="372"/>
      <c r="J92" s="372"/>
      <c r="K92" s="374">
        <f t="shared" ref="K92:L104" si="16">F92+I92</f>
        <v>3050.45</v>
      </c>
      <c r="L92" s="372">
        <f t="shared" si="16"/>
        <v>3660.54</v>
      </c>
      <c r="M92" s="394"/>
    </row>
    <row r="93" spans="1:15" ht="17.25" customHeight="1" x14ac:dyDescent="0.25">
      <c r="A93" s="488" t="s">
        <v>709</v>
      </c>
      <c r="B93" s="277" t="s">
        <v>692</v>
      </c>
      <c r="C93" s="375" t="s">
        <v>75</v>
      </c>
      <c r="D93" s="472">
        <v>1</v>
      </c>
      <c r="E93" s="379"/>
      <c r="F93" s="378"/>
      <c r="G93" s="378"/>
      <c r="H93" s="470">
        <v>5415</v>
      </c>
      <c r="I93" s="378">
        <f>ROUND(H93*D93,2)</f>
        <v>5415</v>
      </c>
      <c r="J93" s="378">
        <f>ROUND(I93*1.2,2)</f>
        <v>6498</v>
      </c>
      <c r="K93" s="379">
        <f t="shared" si="16"/>
        <v>5415</v>
      </c>
      <c r="L93" s="378">
        <f t="shared" si="16"/>
        <v>6498</v>
      </c>
      <c r="M93" s="394"/>
    </row>
    <row r="94" spans="1:15" ht="17.25" customHeight="1" x14ac:dyDescent="0.25">
      <c r="A94" s="471">
        <f>A92+1</f>
        <v>45</v>
      </c>
      <c r="B94" s="113" t="s">
        <v>790</v>
      </c>
      <c r="C94" s="369" t="s">
        <v>72</v>
      </c>
      <c r="D94" s="463">
        <v>1.54</v>
      </c>
      <c r="E94" s="374">
        <v>594.77</v>
      </c>
      <c r="F94" s="372">
        <f>ROUND(E94*D94,2)</f>
        <v>915.95</v>
      </c>
      <c r="G94" s="372">
        <f t="shared" ref="G94" si="17">ROUND(F94*1.2,2)</f>
        <v>1099.1400000000001</v>
      </c>
      <c r="H94" s="374"/>
      <c r="I94" s="372"/>
      <c r="J94" s="372"/>
      <c r="K94" s="374">
        <f t="shared" si="16"/>
        <v>915.95</v>
      </c>
      <c r="L94" s="372">
        <f t="shared" si="16"/>
        <v>1099.1400000000001</v>
      </c>
      <c r="M94" s="394"/>
    </row>
    <row r="95" spans="1:15" ht="17.25" customHeight="1" x14ac:dyDescent="0.25">
      <c r="A95" s="488" t="s">
        <v>712</v>
      </c>
      <c r="B95" s="277" t="s">
        <v>791</v>
      </c>
      <c r="C95" s="375" t="s">
        <v>72</v>
      </c>
      <c r="D95" s="378">
        <v>1.54</v>
      </c>
      <c r="E95" s="379"/>
      <c r="F95" s="378"/>
      <c r="G95" s="378"/>
      <c r="H95" s="470">
        <v>24.7</v>
      </c>
      <c r="I95" s="378">
        <f>ROUND(H95*D95,2)</f>
        <v>38.04</v>
      </c>
      <c r="J95" s="378">
        <f>ROUND(I95*1.2,2)</f>
        <v>45.65</v>
      </c>
      <c r="K95" s="379">
        <f t="shared" si="16"/>
        <v>38.04</v>
      </c>
      <c r="L95" s="378">
        <f t="shared" si="16"/>
        <v>45.65</v>
      </c>
      <c r="M95" s="394"/>
    </row>
    <row r="96" spans="1:15" ht="17.25" customHeight="1" x14ac:dyDescent="0.25">
      <c r="A96" s="492">
        <f>A94+1</f>
        <v>46</v>
      </c>
      <c r="B96" s="209" t="s">
        <v>792</v>
      </c>
      <c r="C96" s="404" t="s">
        <v>75</v>
      </c>
      <c r="D96" s="456">
        <v>2</v>
      </c>
      <c r="E96" s="409">
        <v>2390.1999999999998</v>
      </c>
      <c r="F96" s="407">
        <f>ROUND(E96*D96,2)</f>
        <v>4780.3999999999996</v>
      </c>
      <c r="G96" s="407">
        <f t="shared" ref="G96" si="18">ROUND(F96*1.2,2)</f>
        <v>5736.48</v>
      </c>
      <c r="H96" s="409"/>
      <c r="I96" s="407"/>
      <c r="J96" s="407"/>
      <c r="K96" s="409">
        <f t="shared" si="16"/>
        <v>4780.3999999999996</v>
      </c>
      <c r="L96" s="407">
        <f t="shared" si="16"/>
        <v>5736.48</v>
      </c>
      <c r="M96" s="394"/>
    </row>
    <row r="97" spans="1:13" ht="17.25" customHeight="1" x14ac:dyDescent="0.25">
      <c r="A97" s="471">
        <f>A96+1</f>
        <v>47</v>
      </c>
      <c r="B97" s="18" t="s">
        <v>543</v>
      </c>
      <c r="C97" s="369" t="s">
        <v>77</v>
      </c>
      <c r="D97" s="370">
        <v>0.17</v>
      </c>
      <c r="E97" s="374">
        <v>144.4</v>
      </c>
      <c r="F97" s="372">
        <f>ROUND(E97*D97,2)</f>
        <v>24.55</v>
      </c>
      <c r="G97" s="372">
        <f>ROUND(F97*1.2,2)</f>
        <v>29.46</v>
      </c>
      <c r="H97" s="374"/>
      <c r="I97" s="372"/>
      <c r="J97" s="372"/>
      <c r="K97" s="374">
        <f t="shared" si="16"/>
        <v>24.55</v>
      </c>
      <c r="L97" s="372">
        <f t="shared" si="16"/>
        <v>29.46</v>
      </c>
      <c r="M97" s="394" t="s">
        <v>544</v>
      </c>
    </row>
    <row r="98" spans="1:13" ht="17.25" customHeight="1" x14ac:dyDescent="0.25">
      <c r="A98" s="488" t="s">
        <v>394</v>
      </c>
      <c r="B98" s="277" t="s">
        <v>545</v>
      </c>
      <c r="C98" s="375" t="s">
        <v>171</v>
      </c>
      <c r="D98" s="464">
        <f>D97*0.15</f>
        <v>2.5500000000000002E-2</v>
      </c>
      <c r="E98" s="379"/>
      <c r="F98" s="378"/>
      <c r="G98" s="378"/>
      <c r="H98" s="379">
        <v>149.15</v>
      </c>
      <c r="I98" s="378">
        <f>ROUND(H98*D98,2)</f>
        <v>3.8</v>
      </c>
      <c r="J98" s="378">
        <f>ROUND(I98*1.2,2)</f>
        <v>4.5599999999999996</v>
      </c>
      <c r="K98" s="379">
        <f t="shared" si="16"/>
        <v>3.8</v>
      </c>
      <c r="L98" s="378">
        <f t="shared" si="16"/>
        <v>4.5599999999999996</v>
      </c>
    </row>
    <row r="99" spans="1:13" ht="17.25" customHeight="1" x14ac:dyDescent="0.25">
      <c r="A99" s="369">
        <f>A97+1</f>
        <v>48</v>
      </c>
      <c r="B99" s="18" t="s">
        <v>546</v>
      </c>
      <c r="C99" s="369" t="s">
        <v>77</v>
      </c>
      <c r="D99" s="370">
        <v>0.17</v>
      </c>
      <c r="E99" s="374">
        <f>144.4*2</f>
        <v>288.8</v>
      </c>
      <c r="F99" s="372">
        <f>ROUND(E99*D99,2)</f>
        <v>49.1</v>
      </c>
      <c r="G99" s="372">
        <f>ROUND(F99*1.2,2)</f>
        <v>58.92</v>
      </c>
      <c r="H99" s="374"/>
      <c r="I99" s="372"/>
      <c r="J99" s="372"/>
      <c r="K99" s="374">
        <f t="shared" si="16"/>
        <v>49.1</v>
      </c>
      <c r="L99" s="372">
        <f t="shared" si="16"/>
        <v>58.92</v>
      </c>
      <c r="M99" s="394" t="s">
        <v>544</v>
      </c>
    </row>
    <row r="100" spans="1:13" ht="17.25" customHeight="1" x14ac:dyDescent="0.25">
      <c r="A100" s="488" t="s">
        <v>399</v>
      </c>
      <c r="B100" s="277" t="s">
        <v>547</v>
      </c>
      <c r="C100" s="375" t="s">
        <v>171</v>
      </c>
      <c r="D100" s="464">
        <f>D99*0.32</f>
        <v>5.4400000000000004E-2</v>
      </c>
      <c r="E100" s="379"/>
      <c r="F100" s="378"/>
      <c r="G100" s="378"/>
      <c r="H100" s="379">
        <v>165.3</v>
      </c>
      <c r="I100" s="378">
        <f>ROUND(H100*D100,2)</f>
        <v>8.99</v>
      </c>
      <c r="J100" s="378">
        <f>ROUND(I100*1.2,2)</f>
        <v>10.79</v>
      </c>
      <c r="K100" s="379">
        <f t="shared" si="16"/>
        <v>8.99</v>
      </c>
      <c r="L100" s="378">
        <f t="shared" si="16"/>
        <v>10.79</v>
      </c>
    </row>
    <row r="101" spans="1:13" ht="17.25" customHeight="1" x14ac:dyDescent="0.25">
      <c r="A101" s="369">
        <f>A99+1</f>
        <v>49</v>
      </c>
      <c r="B101" s="18" t="s">
        <v>793</v>
      </c>
      <c r="C101" s="369" t="s">
        <v>77</v>
      </c>
      <c r="D101" s="453">
        <v>41.94</v>
      </c>
      <c r="E101" s="374">
        <v>144.4</v>
      </c>
      <c r="F101" s="372">
        <f>ROUND(E101*D101,2)</f>
        <v>6056.14</v>
      </c>
      <c r="G101" s="372">
        <f t="shared" ref="G101" si="19">ROUND(F101*1.2,2)</f>
        <v>7267.37</v>
      </c>
      <c r="H101" s="374"/>
      <c r="I101" s="372"/>
      <c r="J101" s="372"/>
      <c r="K101" s="374">
        <f t="shared" si="16"/>
        <v>6056.14</v>
      </c>
      <c r="L101" s="372">
        <f t="shared" si="16"/>
        <v>7267.37</v>
      </c>
      <c r="M101" s="394"/>
    </row>
    <row r="102" spans="1:13" ht="17.25" customHeight="1" x14ac:dyDescent="0.25">
      <c r="A102" s="488" t="s">
        <v>403</v>
      </c>
      <c r="B102" s="277" t="s">
        <v>461</v>
      </c>
      <c r="C102" s="375" t="s">
        <v>462</v>
      </c>
      <c r="D102" s="454">
        <f>D101*0.3*20/16</f>
        <v>15.727499999999999</v>
      </c>
      <c r="E102" s="379"/>
      <c r="F102" s="378"/>
      <c r="G102" s="378"/>
      <c r="H102" s="452">
        <v>237.5</v>
      </c>
      <c r="I102" s="378">
        <f>ROUND(H102*D102,2)</f>
        <v>3735.28</v>
      </c>
      <c r="J102" s="378">
        <f t="shared" ref="J102" si="20">ROUND(I102*1.2,2)</f>
        <v>4482.34</v>
      </c>
      <c r="K102" s="379">
        <f t="shared" si="16"/>
        <v>3735.28</v>
      </c>
      <c r="L102" s="378">
        <f t="shared" si="16"/>
        <v>4482.34</v>
      </c>
      <c r="M102" s="394"/>
    </row>
    <row r="103" spans="1:13" ht="17.25" customHeight="1" x14ac:dyDescent="0.25">
      <c r="A103" s="369">
        <f>A101+1</f>
        <v>50</v>
      </c>
      <c r="B103" s="18" t="s">
        <v>663</v>
      </c>
      <c r="C103" s="369" t="s">
        <v>77</v>
      </c>
      <c r="D103" s="453">
        <v>41.94</v>
      </c>
      <c r="E103" s="374">
        <v>299.76</v>
      </c>
      <c r="F103" s="372">
        <f>ROUND(E103*D103,2)</f>
        <v>12571.93</v>
      </c>
      <c r="G103" s="372">
        <f t="shared" ref="G103" si="21">ROUND(F103*1.2,2)</f>
        <v>15086.32</v>
      </c>
      <c r="H103" s="374"/>
      <c r="I103" s="372"/>
      <c r="J103" s="372"/>
      <c r="K103" s="374">
        <f t="shared" si="16"/>
        <v>12571.93</v>
      </c>
      <c r="L103" s="372">
        <f t="shared" si="16"/>
        <v>15086.32</v>
      </c>
      <c r="M103" s="394"/>
    </row>
    <row r="104" spans="1:13" ht="17.25" customHeight="1" x14ac:dyDescent="0.25">
      <c r="A104" s="488" t="s">
        <v>409</v>
      </c>
      <c r="B104" s="277" t="s">
        <v>465</v>
      </c>
      <c r="C104" s="375" t="s">
        <v>171</v>
      </c>
      <c r="D104" s="376">
        <f>D103*2.5*2</f>
        <v>209.7</v>
      </c>
      <c r="E104" s="379"/>
      <c r="F104" s="378"/>
      <c r="G104" s="378"/>
      <c r="H104" s="452">
        <v>296.39999999999998</v>
      </c>
      <c r="I104" s="378">
        <f t="shared" ref="I104" si="22">ROUND(H104*D104,2)</f>
        <v>62155.08</v>
      </c>
      <c r="J104" s="378">
        <f t="shared" ref="J104" si="23">ROUND(I104*1.2,2)</f>
        <v>74586.100000000006</v>
      </c>
      <c r="K104" s="379">
        <f t="shared" si="16"/>
        <v>62155.08</v>
      </c>
      <c r="L104" s="378">
        <f t="shared" si="16"/>
        <v>74586.100000000006</v>
      </c>
      <c r="M104" s="394"/>
    </row>
    <row r="105" spans="1:13" ht="18.75" customHeight="1" x14ac:dyDescent="0.25">
      <c r="A105" s="359"/>
      <c r="B105" s="493" t="s">
        <v>794</v>
      </c>
      <c r="C105" s="361"/>
      <c r="D105" s="465"/>
      <c r="E105" s="367"/>
      <c r="F105" s="366"/>
      <c r="G105" s="366"/>
      <c r="H105" s="494"/>
      <c r="I105" s="366"/>
      <c r="J105" s="366"/>
      <c r="K105" s="367"/>
      <c r="L105" s="366"/>
      <c r="M105" s="394"/>
    </row>
    <row r="106" spans="1:13" ht="34.5" customHeight="1" x14ac:dyDescent="0.25">
      <c r="A106" s="369">
        <f>A103+1</f>
        <v>51</v>
      </c>
      <c r="B106" s="113" t="s">
        <v>795</v>
      </c>
      <c r="C106" s="369" t="s">
        <v>84</v>
      </c>
      <c r="D106" s="463">
        <v>0.43</v>
      </c>
      <c r="E106" s="374">
        <v>28835.292999999998</v>
      </c>
      <c r="F106" s="372">
        <f>ROUND(E106*D106,2)</f>
        <v>12399.18</v>
      </c>
      <c r="G106" s="372">
        <f t="shared" ref="G106" si="24">ROUND(F106*1.2,2)</f>
        <v>14879.02</v>
      </c>
      <c r="H106" s="374"/>
      <c r="I106" s="372"/>
      <c r="J106" s="372"/>
      <c r="K106" s="374">
        <f t="shared" ref="K106:L112" si="25">F106+I106</f>
        <v>12399.18</v>
      </c>
      <c r="L106" s="372">
        <f t="shared" si="25"/>
        <v>14879.02</v>
      </c>
      <c r="M106" s="394"/>
    </row>
    <row r="107" spans="1:13" ht="18" customHeight="1" x14ac:dyDescent="0.25">
      <c r="A107" s="488" t="s">
        <v>414</v>
      </c>
      <c r="B107" s="26" t="s">
        <v>796</v>
      </c>
      <c r="C107" s="375" t="s">
        <v>84</v>
      </c>
      <c r="D107" s="376">
        <v>0.43</v>
      </c>
      <c r="E107" s="379"/>
      <c r="F107" s="378"/>
      <c r="G107" s="378"/>
      <c r="H107" s="379">
        <v>5196.5</v>
      </c>
      <c r="I107" s="378">
        <f t="shared" ref="I107:I108" si="26">ROUND(H107*D107,2)</f>
        <v>2234.5</v>
      </c>
      <c r="J107" s="378">
        <f t="shared" ref="J107:J108" si="27">ROUND(I107*1.2,2)</f>
        <v>2681.4</v>
      </c>
      <c r="K107" s="379">
        <f t="shared" si="25"/>
        <v>2234.5</v>
      </c>
      <c r="L107" s="378">
        <f t="shared" si="25"/>
        <v>2681.4</v>
      </c>
      <c r="M107" s="394"/>
    </row>
    <row r="108" spans="1:13" ht="18" customHeight="1" x14ac:dyDescent="0.25">
      <c r="A108" s="488" t="s">
        <v>416</v>
      </c>
      <c r="B108" s="26" t="s">
        <v>797</v>
      </c>
      <c r="C108" s="375" t="s">
        <v>80</v>
      </c>
      <c r="D108" s="402">
        <v>2.3699999999999999E-2</v>
      </c>
      <c r="E108" s="379"/>
      <c r="F108" s="378"/>
      <c r="G108" s="378"/>
      <c r="H108" s="379">
        <v>80750</v>
      </c>
      <c r="I108" s="378">
        <f t="shared" si="26"/>
        <v>1913.78</v>
      </c>
      <c r="J108" s="378">
        <f t="shared" si="27"/>
        <v>2296.54</v>
      </c>
      <c r="K108" s="379">
        <f t="shared" si="25"/>
        <v>1913.78</v>
      </c>
      <c r="L108" s="378">
        <f t="shared" si="25"/>
        <v>2296.54</v>
      </c>
      <c r="M108" s="394"/>
    </row>
    <row r="109" spans="1:13" ht="20.25" customHeight="1" x14ac:dyDescent="0.25">
      <c r="A109" s="369">
        <f>A106+1</f>
        <v>52</v>
      </c>
      <c r="B109" s="18" t="s">
        <v>793</v>
      </c>
      <c r="C109" s="369" t="s">
        <v>77</v>
      </c>
      <c r="D109" s="453">
        <v>3.37</v>
      </c>
      <c r="E109" s="374">
        <v>144.4</v>
      </c>
      <c r="F109" s="372">
        <f>ROUND(E109*D109,2)</f>
        <v>486.63</v>
      </c>
      <c r="G109" s="372">
        <f t="shared" ref="G109" si="28">ROUND(F109*1.2,2)</f>
        <v>583.96</v>
      </c>
      <c r="H109" s="374"/>
      <c r="I109" s="372"/>
      <c r="J109" s="372"/>
      <c r="K109" s="374">
        <f t="shared" si="25"/>
        <v>486.63</v>
      </c>
      <c r="L109" s="372">
        <f t="shared" si="25"/>
        <v>583.96</v>
      </c>
      <c r="M109" s="394"/>
    </row>
    <row r="110" spans="1:13" ht="17.25" customHeight="1" x14ac:dyDescent="0.25">
      <c r="A110" s="488" t="s">
        <v>798</v>
      </c>
      <c r="B110" s="277" t="s">
        <v>461</v>
      </c>
      <c r="C110" s="375" t="s">
        <v>462</v>
      </c>
      <c r="D110" s="454">
        <f>D109*0.3*20/16</f>
        <v>1.2637499999999999</v>
      </c>
      <c r="E110" s="379"/>
      <c r="F110" s="378"/>
      <c r="G110" s="378"/>
      <c r="H110" s="452">
        <v>237.5</v>
      </c>
      <c r="I110" s="378">
        <f>ROUND(H110*D110,2)</f>
        <v>300.14</v>
      </c>
      <c r="J110" s="378">
        <f t="shared" ref="J110" si="29">ROUND(I110*1.2,2)</f>
        <v>360.17</v>
      </c>
      <c r="K110" s="379">
        <f t="shared" si="25"/>
        <v>300.14</v>
      </c>
      <c r="L110" s="378">
        <f t="shared" si="25"/>
        <v>360.17</v>
      </c>
      <c r="M110" s="394"/>
    </row>
    <row r="111" spans="1:13" ht="21.75" customHeight="1" x14ac:dyDescent="0.25">
      <c r="A111" s="369">
        <f>A109+1</f>
        <v>53</v>
      </c>
      <c r="B111" s="18" t="s">
        <v>663</v>
      </c>
      <c r="C111" s="369" t="s">
        <v>77</v>
      </c>
      <c r="D111" s="453">
        <v>3.37</v>
      </c>
      <c r="E111" s="374">
        <v>299.76</v>
      </c>
      <c r="F111" s="372">
        <f>ROUND(E111*D111,2)</f>
        <v>1010.19</v>
      </c>
      <c r="G111" s="372">
        <f t="shared" ref="G111" si="30">ROUND(F111*1.2,2)</f>
        <v>1212.23</v>
      </c>
      <c r="H111" s="374"/>
      <c r="I111" s="372"/>
      <c r="J111" s="372"/>
      <c r="K111" s="374">
        <f t="shared" si="25"/>
        <v>1010.19</v>
      </c>
      <c r="L111" s="372">
        <f t="shared" si="25"/>
        <v>1212.23</v>
      </c>
      <c r="M111" s="394"/>
    </row>
    <row r="112" spans="1:13" x14ac:dyDescent="0.25">
      <c r="A112" s="488" t="s">
        <v>799</v>
      </c>
      <c r="B112" s="277" t="s">
        <v>465</v>
      </c>
      <c r="C112" s="375" t="s">
        <v>171</v>
      </c>
      <c r="D112" s="376">
        <f>D111*2.5*2</f>
        <v>16.850000000000001</v>
      </c>
      <c r="E112" s="379"/>
      <c r="F112" s="378"/>
      <c r="G112" s="378"/>
      <c r="H112" s="452">
        <v>296.39999999999998</v>
      </c>
      <c r="I112" s="378">
        <f t="shared" ref="I112" si="31">ROUND(H112*D112,2)</f>
        <v>4994.34</v>
      </c>
      <c r="J112" s="378">
        <f t="shared" ref="J112" si="32">ROUND(I112*1.2,2)</f>
        <v>5993.21</v>
      </c>
      <c r="K112" s="379">
        <f t="shared" si="25"/>
        <v>4994.34</v>
      </c>
      <c r="L112" s="378">
        <f t="shared" si="25"/>
        <v>5993.21</v>
      </c>
      <c r="M112" s="394"/>
    </row>
    <row r="113" spans="1:13" ht="33" customHeight="1" x14ac:dyDescent="0.25">
      <c r="A113" s="359"/>
      <c r="B113" s="493" t="s">
        <v>800</v>
      </c>
      <c r="C113" s="361"/>
      <c r="D113" s="465"/>
      <c r="E113" s="367"/>
      <c r="F113" s="366"/>
      <c r="G113" s="366"/>
      <c r="H113" s="494"/>
      <c r="I113" s="366"/>
      <c r="J113" s="366"/>
      <c r="K113" s="367"/>
      <c r="L113" s="366"/>
      <c r="M113" s="394"/>
    </row>
    <row r="114" spans="1:13" ht="17.25" customHeight="1" x14ac:dyDescent="0.25">
      <c r="A114" s="369">
        <f>A111+1</f>
        <v>54</v>
      </c>
      <c r="B114" s="113" t="s">
        <v>801</v>
      </c>
      <c r="C114" s="369" t="s">
        <v>72</v>
      </c>
      <c r="D114" s="491">
        <v>4.4000000000000004</v>
      </c>
      <c r="E114" s="374">
        <v>1047.8499999999999</v>
      </c>
      <c r="F114" s="372">
        <f>ROUND(E114*D114,2)</f>
        <v>4610.54</v>
      </c>
      <c r="G114" s="372">
        <f>ROUND(F114*1.2,2)</f>
        <v>5532.65</v>
      </c>
      <c r="H114" s="374"/>
      <c r="I114" s="372"/>
      <c r="J114" s="372"/>
      <c r="K114" s="374">
        <f t="shared" ref="K114:L129" si="33">F114+I114</f>
        <v>4610.54</v>
      </c>
      <c r="L114" s="372">
        <f t="shared" si="33"/>
        <v>5532.65</v>
      </c>
      <c r="M114" s="394"/>
    </row>
    <row r="115" spans="1:13" ht="17.25" customHeight="1" x14ac:dyDescent="0.25">
      <c r="A115" s="488" t="s">
        <v>724</v>
      </c>
      <c r="B115" s="277" t="s">
        <v>748</v>
      </c>
      <c r="C115" s="375" t="s">
        <v>72</v>
      </c>
      <c r="D115" s="378">
        <f>ROUND(1.02*D114,2)</f>
        <v>4.49</v>
      </c>
      <c r="E115" s="379"/>
      <c r="F115" s="378"/>
      <c r="G115" s="378"/>
      <c r="H115" s="379">
        <v>2924.1</v>
      </c>
      <c r="I115" s="378">
        <f>ROUND(H115*D115,2)</f>
        <v>13129.21</v>
      </c>
      <c r="J115" s="378">
        <f>ROUND(I115*1.2,2)</f>
        <v>15755.05</v>
      </c>
      <c r="K115" s="379">
        <f t="shared" si="33"/>
        <v>13129.21</v>
      </c>
      <c r="L115" s="378">
        <f t="shared" si="33"/>
        <v>15755.05</v>
      </c>
    </row>
    <row r="116" spans="1:13" ht="17.25" customHeight="1" x14ac:dyDescent="0.25">
      <c r="A116" s="369">
        <f>A114+1</f>
        <v>55</v>
      </c>
      <c r="B116" s="113" t="s">
        <v>750</v>
      </c>
      <c r="C116" s="369" t="s">
        <v>72</v>
      </c>
      <c r="D116" s="495">
        <v>0.8</v>
      </c>
      <c r="E116" s="374">
        <v>872.2</v>
      </c>
      <c r="F116" s="372">
        <f>ROUND(E116*D116,2)</f>
        <v>697.76</v>
      </c>
      <c r="G116" s="372">
        <f>ROUND(F116*1.2,2)</f>
        <v>837.31</v>
      </c>
      <c r="H116" s="374"/>
      <c r="I116" s="372"/>
      <c r="J116" s="372"/>
      <c r="K116" s="374">
        <f t="shared" si="33"/>
        <v>697.76</v>
      </c>
      <c r="L116" s="372">
        <f t="shared" si="33"/>
        <v>837.31</v>
      </c>
    </row>
    <row r="117" spans="1:13" ht="17.25" customHeight="1" x14ac:dyDescent="0.25">
      <c r="A117" s="488" t="s">
        <v>436</v>
      </c>
      <c r="B117" s="277" t="s">
        <v>751</v>
      </c>
      <c r="C117" s="375" t="s">
        <v>72</v>
      </c>
      <c r="D117" s="378">
        <f>ROUND(1.02*D116,2)</f>
        <v>0.82</v>
      </c>
      <c r="E117" s="379"/>
      <c r="F117" s="378"/>
      <c r="G117" s="378"/>
      <c r="H117" s="379">
        <v>1596</v>
      </c>
      <c r="I117" s="378">
        <f>ROUND(H117*D117,2)</f>
        <v>1308.72</v>
      </c>
      <c r="J117" s="378">
        <f>ROUND(I117*1.2,2)</f>
        <v>1570.46</v>
      </c>
      <c r="K117" s="379">
        <f t="shared" si="33"/>
        <v>1308.72</v>
      </c>
      <c r="L117" s="378">
        <f t="shared" si="33"/>
        <v>1570.46</v>
      </c>
    </row>
    <row r="118" spans="1:13" ht="33.75" customHeight="1" x14ac:dyDescent="0.25">
      <c r="A118" s="404">
        <f>A116+1</f>
        <v>56</v>
      </c>
      <c r="B118" s="209" t="s">
        <v>757</v>
      </c>
      <c r="C118" s="404" t="s">
        <v>84</v>
      </c>
      <c r="D118" s="475">
        <v>0.06</v>
      </c>
      <c r="E118" s="409">
        <v>80533.5</v>
      </c>
      <c r="F118" s="407">
        <f>ROUND(E118*D118,2)</f>
        <v>4832.01</v>
      </c>
      <c r="G118" s="407">
        <f t="shared" ref="G118" si="34">ROUND(F118*1.2,2)</f>
        <v>5798.41</v>
      </c>
      <c r="H118" s="409"/>
      <c r="I118" s="407"/>
      <c r="J118" s="407"/>
      <c r="K118" s="409">
        <f t="shared" si="33"/>
        <v>4832.01</v>
      </c>
      <c r="L118" s="407">
        <f t="shared" si="33"/>
        <v>5798.41</v>
      </c>
      <c r="M118" s="394"/>
    </row>
    <row r="119" spans="1:13" ht="17.25" customHeight="1" x14ac:dyDescent="0.25">
      <c r="A119" s="488" t="s">
        <v>457</v>
      </c>
      <c r="B119" s="277" t="s">
        <v>698</v>
      </c>
      <c r="C119" s="375" t="s">
        <v>84</v>
      </c>
      <c r="D119" s="476">
        <v>0.06</v>
      </c>
      <c r="E119" s="379"/>
      <c r="F119" s="378"/>
      <c r="G119" s="378"/>
      <c r="H119" s="379">
        <f>ROUND(4616/1.2*1.15,2)</f>
        <v>4423.67</v>
      </c>
      <c r="I119" s="378">
        <f>ROUND(H119*D119,2)</f>
        <v>265.42</v>
      </c>
      <c r="J119" s="378">
        <f>ROUND(I119*1.2,2)</f>
        <v>318.5</v>
      </c>
      <c r="K119" s="379">
        <f t="shared" si="33"/>
        <v>265.42</v>
      </c>
      <c r="L119" s="378">
        <f t="shared" si="33"/>
        <v>318.5</v>
      </c>
      <c r="M119" s="394" t="s">
        <v>143</v>
      </c>
    </row>
    <row r="120" spans="1:13" ht="17.25" customHeight="1" x14ac:dyDescent="0.25">
      <c r="A120" s="488" t="s">
        <v>802</v>
      </c>
      <c r="B120" s="277" t="s">
        <v>716</v>
      </c>
      <c r="C120" s="375" t="s">
        <v>80</v>
      </c>
      <c r="D120" s="476">
        <f>2.15*78.5/1000</f>
        <v>0.16877500000000001</v>
      </c>
      <c r="E120" s="379"/>
      <c r="F120" s="378"/>
      <c r="G120" s="378"/>
      <c r="H120" s="496">
        <f>ROUND(105190/1.2*1.15,2)</f>
        <v>100807.08</v>
      </c>
      <c r="I120" s="378">
        <f>ROUND(H120*D120,2)</f>
        <v>17013.71</v>
      </c>
      <c r="J120" s="378">
        <f>ROUND(I120*1.2,2)</f>
        <v>20416.45</v>
      </c>
      <c r="K120" s="379">
        <f t="shared" si="33"/>
        <v>17013.71</v>
      </c>
      <c r="L120" s="378">
        <f t="shared" si="33"/>
        <v>20416.45</v>
      </c>
    </row>
    <row r="121" spans="1:13" ht="17.25" customHeight="1" x14ac:dyDescent="0.25">
      <c r="A121" s="369">
        <f>A118+1</f>
        <v>57</v>
      </c>
      <c r="B121" s="113" t="s">
        <v>803</v>
      </c>
      <c r="C121" s="369" t="s">
        <v>75</v>
      </c>
      <c r="D121" s="477">
        <v>4</v>
      </c>
      <c r="E121" s="374">
        <v>4129.6499999999996</v>
      </c>
      <c r="F121" s="372">
        <f>ROUND(E121*D121,2)</f>
        <v>16518.599999999999</v>
      </c>
      <c r="G121" s="372">
        <f>ROUND(F121*1.2,2)</f>
        <v>19822.32</v>
      </c>
      <c r="H121" s="374"/>
      <c r="I121" s="372"/>
      <c r="J121" s="372"/>
      <c r="K121" s="374">
        <f t="shared" si="33"/>
        <v>16518.599999999999</v>
      </c>
      <c r="L121" s="372">
        <f t="shared" si="33"/>
        <v>19822.32</v>
      </c>
    </row>
    <row r="122" spans="1:13" ht="17.25" customHeight="1" x14ac:dyDescent="0.25">
      <c r="A122" s="488" t="s">
        <v>460</v>
      </c>
      <c r="B122" s="277" t="s">
        <v>804</v>
      </c>
      <c r="C122" s="375" t="s">
        <v>75</v>
      </c>
      <c r="D122" s="478">
        <v>4</v>
      </c>
      <c r="E122" s="379"/>
      <c r="F122" s="378"/>
      <c r="G122" s="378"/>
      <c r="H122" s="378">
        <v>7210.5</v>
      </c>
      <c r="I122" s="378">
        <f>ROUND(H122*D122,2)</f>
        <v>28842</v>
      </c>
      <c r="J122" s="378">
        <f>ROUND(I122*1.2,2)</f>
        <v>34610.400000000001</v>
      </c>
      <c r="K122" s="379">
        <f t="shared" si="33"/>
        <v>28842</v>
      </c>
      <c r="L122" s="378">
        <f t="shared" si="33"/>
        <v>34610.400000000001</v>
      </c>
    </row>
    <row r="123" spans="1:13" ht="17.25" customHeight="1" x14ac:dyDescent="0.25">
      <c r="A123" s="369">
        <f>A121+1</f>
        <v>58</v>
      </c>
      <c r="B123" s="113" t="s">
        <v>805</v>
      </c>
      <c r="C123" s="369" t="s">
        <v>75</v>
      </c>
      <c r="D123" s="477">
        <v>2</v>
      </c>
      <c r="E123" s="374">
        <v>7734.9</v>
      </c>
      <c r="F123" s="372">
        <f>ROUND(E123*D123,2)</f>
        <v>15469.8</v>
      </c>
      <c r="G123" s="372">
        <f>ROUND(F123*1.2,2)</f>
        <v>18563.759999999998</v>
      </c>
      <c r="H123" s="374"/>
      <c r="I123" s="372"/>
      <c r="J123" s="372"/>
      <c r="K123" s="374">
        <f t="shared" si="33"/>
        <v>15469.8</v>
      </c>
      <c r="L123" s="372">
        <f t="shared" si="33"/>
        <v>18563.759999999998</v>
      </c>
    </row>
    <row r="124" spans="1:13" ht="17.25" customHeight="1" x14ac:dyDescent="0.25">
      <c r="A124" s="488" t="s">
        <v>464</v>
      </c>
      <c r="B124" s="277" t="s">
        <v>806</v>
      </c>
      <c r="C124" s="375" t="s">
        <v>75</v>
      </c>
      <c r="D124" s="478">
        <v>2</v>
      </c>
      <c r="E124" s="379"/>
      <c r="F124" s="378"/>
      <c r="G124" s="378"/>
      <c r="H124" s="379">
        <v>3040</v>
      </c>
      <c r="I124" s="378">
        <f>ROUND(H124*D124,2)</f>
        <v>6080</v>
      </c>
      <c r="J124" s="378">
        <f>ROUND(I124*1.2,2)</f>
        <v>7296</v>
      </c>
      <c r="K124" s="379">
        <f t="shared" si="33"/>
        <v>6080</v>
      </c>
      <c r="L124" s="378">
        <f t="shared" si="33"/>
        <v>7296</v>
      </c>
    </row>
    <row r="125" spans="1:13" ht="17.25" customHeight="1" x14ac:dyDescent="0.25">
      <c r="A125" s="369">
        <f>A123+1</f>
        <v>59</v>
      </c>
      <c r="B125" s="113" t="s">
        <v>728</v>
      </c>
      <c r="C125" s="369" t="s">
        <v>75</v>
      </c>
      <c r="D125" s="477">
        <v>2</v>
      </c>
      <c r="E125" s="374">
        <v>4557.1499999999996</v>
      </c>
      <c r="F125" s="372">
        <f>ROUND(E125*D125,2)</f>
        <v>9114.2999999999993</v>
      </c>
      <c r="G125" s="372">
        <f>ROUND(F125*1.2,2)</f>
        <v>10937.16</v>
      </c>
      <c r="H125" s="374"/>
      <c r="I125" s="372"/>
      <c r="J125" s="372"/>
      <c r="K125" s="374">
        <f t="shared" si="33"/>
        <v>9114.2999999999993</v>
      </c>
      <c r="L125" s="372">
        <f t="shared" si="33"/>
        <v>10937.16</v>
      </c>
    </row>
    <row r="126" spans="1:13" ht="17.25" customHeight="1" x14ac:dyDescent="0.25">
      <c r="A126" s="488" t="s">
        <v>807</v>
      </c>
      <c r="B126" s="277" t="s">
        <v>729</v>
      </c>
      <c r="C126" s="375" t="s">
        <v>75</v>
      </c>
      <c r="D126" s="478">
        <v>2</v>
      </c>
      <c r="E126" s="379"/>
      <c r="F126" s="378"/>
      <c r="G126" s="378"/>
      <c r="H126" s="379">
        <v>3895</v>
      </c>
      <c r="I126" s="378">
        <f>ROUND(H126*D126,2)</f>
        <v>7790</v>
      </c>
      <c r="J126" s="378">
        <f>ROUND(I126*1.2,2)</f>
        <v>9348</v>
      </c>
      <c r="K126" s="379">
        <f t="shared" si="33"/>
        <v>7790</v>
      </c>
      <c r="L126" s="378">
        <f t="shared" si="33"/>
        <v>9348</v>
      </c>
    </row>
    <row r="127" spans="1:13" ht="17.25" customHeight="1" x14ac:dyDescent="0.25">
      <c r="A127" s="369">
        <f>A125+1</f>
        <v>60</v>
      </c>
      <c r="B127" s="18" t="s">
        <v>808</v>
      </c>
      <c r="C127" s="369" t="s">
        <v>75</v>
      </c>
      <c r="D127" s="450">
        <v>2</v>
      </c>
      <c r="E127" s="374">
        <v>1231.2</v>
      </c>
      <c r="F127" s="372">
        <f>ROUND(E127*D127,2)</f>
        <v>2462.4</v>
      </c>
      <c r="G127" s="372">
        <f>ROUND(F127*1.2,2)</f>
        <v>2954.88</v>
      </c>
      <c r="H127" s="374"/>
      <c r="I127" s="372"/>
      <c r="J127" s="372"/>
      <c r="K127" s="374">
        <f t="shared" si="33"/>
        <v>2462.4</v>
      </c>
      <c r="L127" s="372">
        <f t="shared" si="33"/>
        <v>2954.88</v>
      </c>
      <c r="M127" s="394"/>
    </row>
    <row r="128" spans="1:13" ht="17.25" customHeight="1" x14ac:dyDescent="0.25">
      <c r="A128" s="488" t="s">
        <v>809</v>
      </c>
      <c r="B128" s="26" t="s">
        <v>810</v>
      </c>
      <c r="C128" s="375" t="s">
        <v>75</v>
      </c>
      <c r="D128" s="376">
        <v>2</v>
      </c>
      <c r="E128" s="379"/>
      <c r="F128" s="378"/>
      <c r="G128" s="378"/>
      <c r="H128" s="379">
        <v>1544.6999999999998</v>
      </c>
      <c r="I128" s="378">
        <f t="shared" ref="I128:I136" si="35">ROUND(H128*D128,2)</f>
        <v>3089.4</v>
      </c>
      <c r="J128" s="378">
        <f t="shared" ref="J128:J136" si="36">ROUND(I128*1.2,2)</f>
        <v>3707.28</v>
      </c>
      <c r="K128" s="379">
        <f t="shared" si="33"/>
        <v>3089.4</v>
      </c>
      <c r="L128" s="378">
        <f t="shared" si="33"/>
        <v>3707.28</v>
      </c>
      <c r="M128" s="394"/>
    </row>
    <row r="129" spans="1:15" ht="17.25" customHeight="1" x14ac:dyDescent="0.25">
      <c r="A129" s="488" t="s">
        <v>811</v>
      </c>
      <c r="B129" s="26" t="s">
        <v>812</v>
      </c>
      <c r="C129" s="375" t="s">
        <v>75</v>
      </c>
      <c r="D129" s="376">
        <v>4</v>
      </c>
      <c r="E129" s="379"/>
      <c r="F129" s="378"/>
      <c r="G129" s="378"/>
      <c r="H129" s="379">
        <v>119.69999999999999</v>
      </c>
      <c r="I129" s="378">
        <f t="shared" si="35"/>
        <v>478.8</v>
      </c>
      <c r="J129" s="378">
        <f t="shared" si="36"/>
        <v>574.55999999999995</v>
      </c>
      <c r="K129" s="379">
        <f t="shared" si="33"/>
        <v>478.8</v>
      </c>
      <c r="L129" s="378">
        <f t="shared" si="33"/>
        <v>574.55999999999995</v>
      </c>
      <c r="M129" s="394"/>
    </row>
    <row r="130" spans="1:15" ht="17.25" customHeight="1" x14ac:dyDescent="0.25">
      <c r="A130" s="488" t="s">
        <v>813</v>
      </c>
      <c r="B130" s="26" t="s">
        <v>814</v>
      </c>
      <c r="C130" s="375" t="s">
        <v>75</v>
      </c>
      <c r="D130" s="376">
        <v>2</v>
      </c>
      <c r="E130" s="379"/>
      <c r="F130" s="378"/>
      <c r="G130" s="378"/>
      <c r="H130" s="379">
        <v>1533.3</v>
      </c>
      <c r="I130" s="378">
        <f t="shared" si="35"/>
        <v>3066.6</v>
      </c>
      <c r="J130" s="378">
        <f t="shared" si="36"/>
        <v>3679.92</v>
      </c>
      <c r="K130" s="379">
        <f t="shared" ref="K130:L141" si="37">F130+I130</f>
        <v>3066.6</v>
      </c>
      <c r="L130" s="378">
        <f t="shared" si="37"/>
        <v>3679.92</v>
      </c>
      <c r="M130" s="394"/>
    </row>
    <row r="131" spans="1:15" ht="17.25" customHeight="1" x14ac:dyDescent="0.25">
      <c r="A131" s="488" t="s">
        <v>815</v>
      </c>
      <c r="B131" s="26" t="s">
        <v>816</v>
      </c>
      <c r="C131" s="375" t="s">
        <v>75</v>
      </c>
      <c r="D131" s="376">
        <v>2</v>
      </c>
      <c r="E131" s="379"/>
      <c r="F131" s="378"/>
      <c r="G131" s="378"/>
      <c r="H131" s="379">
        <v>296.39999999999998</v>
      </c>
      <c r="I131" s="378">
        <f t="shared" si="35"/>
        <v>592.79999999999995</v>
      </c>
      <c r="J131" s="378">
        <f t="shared" si="36"/>
        <v>711.36</v>
      </c>
      <c r="K131" s="379">
        <f t="shared" si="37"/>
        <v>592.79999999999995</v>
      </c>
      <c r="L131" s="378">
        <f t="shared" si="37"/>
        <v>711.36</v>
      </c>
      <c r="M131" s="394"/>
    </row>
    <row r="132" spans="1:15" ht="17.25" customHeight="1" x14ac:dyDescent="0.25">
      <c r="A132" s="488" t="s">
        <v>817</v>
      </c>
      <c r="B132" s="26" t="s">
        <v>818</v>
      </c>
      <c r="C132" s="375" t="s">
        <v>72</v>
      </c>
      <c r="D132" s="376">
        <f>0.2/2</f>
        <v>0.1</v>
      </c>
      <c r="E132" s="379"/>
      <c r="F132" s="378"/>
      <c r="G132" s="378"/>
      <c r="H132" s="379">
        <v>456</v>
      </c>
      <c r="I132" s="378">
        <f t="shared" si="35"/>
        <v>45.6</v>
      </c>
      <c r="J132" s="378">
        <f t="shared" si="36"/>
        <v>54.72</v>
      </c>
      <c r="K132" s="379">
        <f t="shared" si="37"/>
        <v>45.6</v>
      </c>
      <c r="L132" s="378">
        <f t="shared" si="37"/>
        <v>54.72</v>
      </c>
      <c r="M132" s="394"/>
    </row>
    <row r="133" spans="1:15" ht="17.25" customHeight="1" x14ac:dyDescent="0.25">
      <c r="A133" s="488" t="s">
        <v>819</v>
      </c>
      <c r="B133" s="26" t="s">
        <v>820</v>
      </c>
      <c r="C133" s="375" t="s">
        <v>171</v>
      </c>
      <c r="D133" s="376">
        <f>2*0.137/2</f>
        <v>0.13700000000000001</v>
      </c>
      <c r="E133" s="379"/>
      <c r="F133" s="378"/>
      <c r="G133" s="378"/>
      <c r="H133" s="379">
        <v>120.64999999999999</v>
      </c>
      <c r="I133" s="378">
        <f t="shared" si="35"/>
        <v>16.53</v>
      </c>
      <c r="J133" s="378">
        <f t="shared" si="36"/>
        <v>19.84</v>
      </c>
      <c r="K133" s="379">
        <f t="shared" si="37"/>
        <v>16.53</v>
      </c>
      <c r="L133" s="378">
        <f t="shared" si="37"/>
        <v>19.84</v>
      </c>
      <c r="M133" s="394"/>
    </row>
    <row r="134" spans="1:15" ht="17.25" customHeight="1" x14ac:dyDescent="0.25">
      <c r="A134" s="488" t="s">
        <v>821</v>
      </c>
      <c r="B134" s="26" t="s">
        <v>822</v>
      </c>
      <c r="C134" s="375" t="s">
        <v>171</v>
      </c>
      <c r="D134" s="376">
        <f>2*0.032/2</f>
        <v>3.2000000000000001E-2</v>
      </c>
      <c r="E134" s="379"/>
      <c r="F134" s="378"/>
      <c r="G134" s="378"/>
      <c r="H134" s="379">
        <v>139.65</v>
      </c>
      <c r="I134" s="378">
        <f t="shared" si="35"/>
        <v>4.47</v>
      </c>
      <c r="J134" s="378">
        <f t="shared" si="36"/>
        <v>5.36</v>
      </c>
      <c r="K134" s="379">
        <f t="shared" si="37"/>
        <v>4.47</v>
      </c>
      <c r="L134" s="378">
        <f t="shared" si="37"/>
        <v>5.36</v>
      </c>
      <c r="M134" s="394"/>
    </row>
    <row r="135" spans="1:15" ht="17.25" customHeight="1" x14ac:dyDescent="0.25">
      <c r="A135" s="488" t="s">
        <v>823</v>
      </c>
      <c r="B135" s="26" t="s">
        <v>824</v>
      </c>
      <c r="C135" s="375" t="s">
        <v>171</v>
      </c>
      <c r="D135" s="376">
        <f>2*0.013/2</f>
        <v>1.2999999999999999E-2</v>
      </c>
      <c r="E135" s="379"/>
      <c r="F135" s="378"/>
      <c r="G135" s="378"/>
      <c r="H135" s="379">
        <v>187.14999999999998</v>
      </c>
      <c r="I135" s="378">
        <f t="shared" si="35"/>
        <v>2.4300000000000002</v>
      </c>
      <c r="J135" s="378">
        <f t="shared" si="36"/>
        <v>2.92</v>
      </c>
      <c r="K135" s="379">
        <f t="shared" si="37"/>
        <v>2.4300000000000002</v>
      </c>
      <c r="L135" s="378">
        <f t="shared" si="37"/>
        <v>2.92</v>
      </c>
      <c r="M135" s="394"/>
    </row>
    <row r="136" spans="1:15" ht="17.25" customHeight="1" x14ac:dyDescent="0.25">
      <c r="A136" s="488" t="s">
        <v>825</v>
      </c>
      <c r="B136" s="26" t="s">
        <v>826</v>
      </c>
      <c r="C136" s="375" t="s">
        <v>171</v>
      </c>
      <c r="D136" s="376">
        <f>2*0.013/2</f>
        <v>1.2999999999999999E-2</v>
      </c>
      <c r="E136" s="379"/>
      <c r="F136" s="378"/>
      <c r="G136" s="378"/>
      <c r="H136" s="379">
        <v>187.14999999999998</v>
      </c>
      <c r="I136" s="378">
        <f t="shared" si="35"/>
        <v>2.4300000000000002</v>
      </c>
      <c r="J136" s="378">
        <f t="shared" si="36"/>
        <v>2.92</v>
      </c>
      <c r="K136" s="379">
        <f t="shared" si="37"/>
        <v>2.4300000000000002</v>
      </c>
      <c r="L136" s="378">
        <f t="shared" si="37"/>
        <v>2.92</v>
      </c>
      <c r="M136" s="394"/>
    </row>
    <row r="137" spans="1:15" s="426" customFormat="1" ht="17.25" customHeight="1" x14ac:dyDescent="0.25">
      <c r="A137" s="418">
        <f>A127+1</f>
        <v>61</v>
      </c>
      <c r="B137" s="482" t="s">
        <v>752</v>
      </c>
      <c r="C137" s="418" t="s">
        <v>75</v>
      </c>
      <c r="D137" s="486">
        <f>12+6</f>
        <v>18</v>
      </c>
      <c r="E137" s="431">
        <v>10239.1</v>
      </c>
      <c r="F137" s="430">
        <f>ROUND(E137*D137,2)</f>
        <v>184303.8</v>
      </c>
      <c r="G137" s="430">
        <f>ROUND(F137*1.2,2)</f>
        <v>221164.56</v>
      </c>
      <c r="H137" s="431"/>
      <c r="I137" s="430"/>
      <c r="J137" s="430"/>
      <c r="K137" s="431">
        <f t="shared" si="37"/>
        <v>184303.8</v>
      </c>
      <c r="L137" s="430">
        <f t="shared" si="37"/>
        <v>221164.56</v>
      </c>
      <c r="N137" s="425" t="s">
        <v>1250</v>
      </c>
      <c r="O137" s="819">
        <f>L137-D137*1000</f>
        <v>203164.56</v>
      </c>
    </row>
    <row r="138" spans="1:15" ht="17.25" customHeight="1" x14ac:dyDescent="0.25">
      <c r="A138" s="404">
        <f>A137+1</f>
        <v>62</v>
      </c>
      <c r="B138" s="209" t="s">
        <v>827</v>
      </c>
      <c r="C138" s="404" t="s">
        <v>72</v>
      </c>
      <c r="D138" s="497">
        <v>3.22</v>
      </c>
      <c r="E138" s="409">
        <v>14297.86</v>
      </c>
      <c r="F138" s="407">
        <f>ROUND(E138*D138,2)</f>
        <v>46039.11</v>
      </c>
      <c r="G138" s="407">
        <f>ROUND(F138*1.2,2)</f>
        <v>55246.93</v>
      </c>
      <c r="H138" s="409"/>
      <c r="I138" s="407"/>
      <c r="J138" s="407"/>
      <c r="K138" s="409">
        <f t="shared" si="37"/>
        <v>46039.11</v>
      </c>
      <c r="L138" s="407">
        <f t="shared" si="37"/>
        <v>55246.93</v>
      </c>
    </row>
    <row r="139" spans="1:15" ht="17.25" customHeight="1" x14ac:dyDescent="0.25">
      <c r="A139" s="488" t="s">
        <v>828</v>
      </c>
      <c r="B139" s="277" t="s">
        <v>829</v>
      </c>
      <c r="C139" s="375" t="s">
        <v>72</v>
      </c>
      <c r="D139" s="464">
        <v>3.22</v>
      </c>
      <c r="E139" s="379"/>
      <c r="F139" s="378"/>
      <c r="G139" s="378"/>
      <c r="H139" s="379">
        <v>456</v>
      </c>
      <c r="I139" s="378">
        <f>ROUND(H139*D139,2)</f>
        <v>1468.32</v>
      </c>
      <c r="J139" s="378">
        <f>ROUND(I139*1.2,2)</f>
        <v>1761.98</v>
      </c>
      <c r="K139" s="379">
        <f t="shared" si="37"/>
        <v>1468.32</v>
      </c>
      <c r="L139" s="378">
        <f t="shared" si="37"/>
        <v>1761.98</v>
      </c>
    </row>
    <row r="140" spans="1:15" ht="17.25" customHeight="1" x14ac:dyDescent="0.25">
      <c r="A140" s="369">
        <f>A138+1</f>
        <v>63</v>
      </c>
      <c r="B140" s="113" t="s">
        <v>779</v>
      </c>
      <c r="C140" s="369" t="s">
        <v>75</v>
      </c>
      <c r="D140" s="477">
        <v>2</v>
      </c>
      <c r="E140" s="374">
        <v>261.61</v>
      </c>
      <c r="F140" s="372">
        <f>ROUND(E140*D140,2)</f>
        <v>523.22</v>
      </c>
      <c r="G140" s="372">
        <f>ROUND(F140*1.2,2)</f>
        <v>627.86</v>
      </c>
      <c r="H140" s="374"/>
      <c r="I140" s="372"/>
      <c r="J140" s="372"/>
      <c r="K140" s="374">
        <f t="shared" si="37"/>
        <v>523.22</v>
      </c>
      <c r="L140" s="372">
        <f t="shared" si="37"/>
        <v>627.86</v>
      </c>
    </row>
    <row r="141" spans="1:15" ht="17.25" customHeight="1" x14ac:dyDescent="0.25">
      <c r="A141" s="488" t="s">
        <v>830</v>
      </c>
      <c r="B141" s="277" t="s">
        <v>780</v>
      </c>
      <c r="C141" s="375" t="s">
        <v>75</v>
      </c>
      <c r="D141" s="478">
        <v>2</v>
      </c>
      <c r="E141" s="379"/>
      <c r="F141" s="378"/>
      <c r="G141" s="378"/>
      <c r="H141" s="378">
        <v>5185.5</v>
      </c>
      <c r="I141" s="378">
        <f>ROUND(H141*D141,2)</f>
        <v>10371</v>
      </c>
      <c r="J141" s="378">
        <f>ROUND(I141*1.2,2)</f>
        <v>12445.2</v>
      </c>
      <c r="K141" s="379">
        <f t="shared" si="37"/>
        <v>10371</v>
      </c>
      <c r="L141" s="378">
        <f t="shared" si="37"/>
        <v>12445.2</v>
      </c>
    </row>
    <row r="142" spans="1:15" ht="17.25" customHeight="1" x14ac:dyDescent="0.25">
      <c r="A142" s="359"/>
      <c r="B142" s="493" t="s">
        <v>831</v>
      </c>
      <c r="C142" s="361"/>
      <c r="D142" s="465"/>
      <c r="E142" s="367"/>
      <c r="F142" s="366"/>
      <c r="G142" s="366"/>
      <c r="H142" s="494"/>
      <c r="I142" s="366"/>
      <c r="J142" s="366"/>
      <c r="K142" s="367"/>
      <c r="L142" s="366"/>
      <c r="M142" s="394"/>
    </row>
    <row r="143" spans="1:15" ht="36.75" customHeight="1" x14ac:dyDescent="0.25">
      <c r="A143" s="369">
        <f>A140+1</f>
        <v>64</v>
      </c>
      <c r="B143" s="113" t="s">
        <v>795</v>
      </c>
      <c r="C143" s="369" t="s">
        <v>84</v>
      </c>
      <c r="D143" s="463">
        <v>0.56999999999999995</v>
      </c>
      <c r="E143" s="374">
        <v>28835.292999999998</v>
      </c>
      <c r="F143" s="372">
        <f>ROUND(E143*D143,2)</f>
        <v>16436.12</v>
      </c>
      <c r="G143" s="372">
        <f t="shared" ref="G143" si="38">ROUND(F143*1.2,2)</f>
        <v>19723.34</v>
      </c>
      <c r="H143" s="374"/>
      <c r="I143" s="372"/>
      <c r="J143" s="372"/>
      <c r="K143" s="374">
        <f t="shared" ref="K143:L149" si="39">F143+I143</f>
        <v>16436.12</v>
      </c>
      <c r="L143" s="372">
        <f t="shared" si="39"/>
        <v>19723.34</v>
      </c>
      <c r="M143" s="394"/>
    </row>
    <row r="144" spans="1:15" ht="17.25" customHeight="1" x14ac:dyDescent="0.25">
      <c r="A144" s="488" t="s">
        <v>832</v>
      </c>
      <c r="B144" s="26" t="s">
        <v>796</v>
      </c>
      <c r="C144" s="375" t="s">
        <v>84</v>
      </c>
      <c r="D144" s="376">
        <v>0.56999999999999995</v>
      </c>
      <c r="E144" s="379"/>
      <c r="F144" s="378"/>
      <c r="G144" s="378"/>
      <c r="H144" s="379">
        <v>5196.5</v>
      </c>
      <c r="I144" s="378">
        <f t="shared" ref="I144:I145" si="40">ROUND(H144*D144,2)</f>
        <v>2962.01</v>
      </c>
      <c r="J144" s="378">
        <f t="shared" ref="J144:J145" si="41">ROUND(I144*1.2,2)</f>
        <v>3554.41</v>
      </c>
      <c r="K144" s="379">
        <f t="shared" si="39"/>
        <v>2962.01</v>
      </c>
      <c r="L144" s="378">
        <f t="shared" si="39"/>
        <v>3554.41</v>
      </c>
      <c r="M144" s="394"/>
    </row>
    <row r="145" spans="1:13" ht="17.25" customHeight="1" x14ac:dyDescent="0.25">
      <c r="A145" s="488" t="s">
        <v>833</v>
      </c>
      <c r="B145" s="26" t="s">
        <v>797</v>
      </c>
      <c r="C145" s="375" t="s">
        <v>80</v>
      </c>
      <c r="D145" s="498">
        <v>3.551E-2</v>
      </c>
      <c r="E145" s="379"/>
      <c r="F145" s="378"/>
      <c r="G145" s="378"/>
      <c r="H145" s="379">
        <v>80750</v>
      </c>
      <c r="I145" s="378">
        <f t="shared" si="40"/>
        <v>2867.43</v>
      </c>
      <c r="J145" s="378">
        <f t="shared" si="41"/>
        <v>3440.92</v>
      </c>
      <c r="K145" s="379">
        <f t="shared" si="39"/>
        <v>2867.43</v>
      </c>
      <c r="L145" s="378">
        <f t="shared" si="39"/>
        <v>3440.92</v>
      </c>
      <c r="M145" s="394"/>
    </row>
    <row r="146" spans="1:13" ht="17.25" customHeight="1" x14ac:dyDescent="0.25">
      <c r="A146" s="369">
        <f>A143+1</f>
        <v>65</v>
      </c>
      <c r="B146" s="18" t="s">
        <v>793</v>
      </c>
      <c r="C146" s="369" t="s">
        <v>77</v>
      </c>
      <c r="D146" s="453">
        <v>5.17</v>
      </c>
      <c r="E146" s="374">
        <v>144.4</v>
      </c>
      <c r="F146" s="372">
        <f>ROUND(E146*D146,2)</f>
        <v>746.55</v>
      </c>
      <c r="G146" s="372">
        <f t="shared" ref="G146" si="42">ROUND(F146*1.2,2)</f>
        <v>895.86</v>
      </c>
      <c r="H146" s="374"/>
      <c r="I146" s="372"/>
      <c r="J146" s="372"/>
      <c r="K146" s="374">
        <f t="shared" si="39"/>
        <v>746.55</v>
      </c>
      <c r="L146" s="372">
        <f t="shared" si="39"/>
        <v>895.86</v>
      </c>
      <c r="M146" s="394"/>
    </row>
    <row r="147" spans="1:13" ht="17.25" customHeight="1" x14ac:dyDescent="0.25">
      <c r="A147" s="488" t="s">
        <v>834</v>
      </c>
      <c r="B147" s="277" t="s">
        <v>461</v>
      </c>
      <c r="C147" s="375" t="s">
        <v>462</v>
      </c>
      <c r="D147" s="454">
        <f>D146*0.3*20/16</f>
        <v>1.93875</v>
      </c>
      <c r="E147" s="379"/>
      <c r="F147" s="378"/>
      <c r="G147" s="378"/>
      <c r="H147" s="452">
        <v>237.5</v>
      </c>
      <c r="I147" s="378">
        <f>ROUND(H147*D147,2)</f>
        <v>460.45</v>
      </c>
      <c r="J147" s="378">
        <f t="shared" ref="J147" si="43">ROUND(I147*1.2,2)</f>
        <v>552.54</v>
      </c>
      <c r="K147" s="379">
        <f t="shared" si="39"/>
        <v>460.45</v>
      </c>
      <c r="L147" s="378">
        <f t="shared" si="39"/>
        <v>552.54</v>
      </c>
      <c r="M147" s="394"/>
    </row>
    <row r="148" spans="1:13" ht="17.25" customHeight="1" x14ac:dyDescent="0.25">
      <c r="A148" s="369">
        <f>A146+1</f>
        <v>66</v>
      </c>
      <c r="B148" s="18" t="s">
        <v>663</v>
      </c>
      <c r="C148" s="369" t="s">
        <v>77</v>
      </c>
      <c r="D148" s="453">
        <v>5.17</v>
      </c>
      <c r="E148" s="374">
        <v>299.76</v>
      </c>
      <c r="F148" s="372">
        <f>ROUND(E148*D148,2)</f>
        <v>1549.76</v>
      </c>
      <c r="G148" s="372">
        <f t="shared" ref="G148" si="44">ROUND(F148*1.2,2)</f>
        <v>1859.71</v>
      </c>
      <c r="H148" s="374"/>
      <c r="I148" s="372"/>
      <c r="J148" s="372"/>
      <c r="K148" s="374">
        <f t="shared" si="39"/>
        <v>1549.76</v>
      </c>
      <c r="L148" s="372">
        <f t="shared" si="39"/>
        <v>1859.71</v>
      </c>
      <c r="M148" s="394"/>
    </row>
    <row r="149" spans="1:13" ht="17.25" customHeight="1" x14ac:dyDescent="0.25">
      <c r="A149" s="488" t="s">
        <v>277</v>
      </c>
      <c r="B149" s="277" t="s">
        <v>465</v>
      </c>
      <c r="C149" s="375" t="s">
        <v>171</v>
      </c>
      <c r="D149" s="376">
        <f>D148*2.5*2</f>
        <v>25.85</v>
      </c>
      <c r="E149" s="379"/>
      <c r="F149" s="378"/>
      <c r="G149" s="378"/>
      <c r="H149" s="452">
        <v>296.39999999999998</v>
      </c>
      <c r="I149" s="378">
        <f t="shared" ref="I149" si="45">ROUND(H149*D149,2)</f>
        <v>7661.94</v>
      </c>
      <c r="J149" s="378">
        <f t="shared" ref="J149" si="46">ROUND(I149*1.2,2)</f>
        <v>9194.33</v>
      </c>
      <c r="K149" s="379">
        <f t="shared" si="39"/>
        <v>7661.94</v>
      </c>
      <c r="L149" s="378">
        <f t="shared" si="39"/>
        <v>9194.33</v>
      </c>
      <c r="M149" s="394"/>
    </row>
    <row r="150" spans="1:13" ht="32.25" customHeight="1" x14ac:dyDescent="0.25">
      <c r="A150" s="359"/>
      <c r="B150" s="455" t="s">
        <v>800</v>
      </c>
      <c r="C150" s="361"/>
      <c r="D150" s="465"/>
      <c r="E150" s="367"/>
      <c r="F150" s="366"/>
      <c r="G150" s="366"/>
      <c r="H150" s="494"/>
      <c r="I150" s="366"/>
      <c r="J150" s="366"/>
      <c r="K150" s="367"/>
      <c r="L150" s="366"/>
      <c r="M150" s="394"/>
    </row>
    <row r="151" spans="1:13" ht="17.25" customHeight="1" x14ac:dyDescent="0.25">
      <c r="A151" s="369">
        <f>A148+1</f>
        <v>67</v>
      </c>
      <c r="B151" s="113" t="s">
        <v>801</v>
      </c>
      <c r="C151" s="369" t="s">
        <v>72</v>
      </c>
      <c r="D151" s="463">
        <v>24.11</v>
      </c>
      <c r="E151" s="374">
        <v>1047.8499999999999</v>
      </c>
      <c r="F151" s="372">
        <f>ROUND(E151*D151,2)</f>
        <v>25263.66</v>
      </c>
      <c r="G151" s="372">
        <f t="shared" ref="G151" si="47">ROUND(F151*1.2,2)</f>
        <v>30316.39</v>
      </c>
      <c r="H151" s="374"/>
      <c r="I151" s="372"/>
      <c r="J151" s="372"/>
      <c r="K151" s="374">
        <f t="shared" ref="K151:L166" si="48">F151+I151</f>
        <v>25263.66</v>
      </c>
      <c r="L151" s="372">
        <f t="shared" si="48"/>
        <v>30316.39</v>
      </c>
      <c r="M151" s="394"/>
    </row>
    <row r="152" spans="1:13" ht="17.25" customHeight="1" x14ac:dyDescent="0.25">
      <c r="A152" s="488" t="s">
        <v>835</v>
      </c>
      <c r="B152" s="277" t="s">
        <v>748</v>
      </c>
      <c r="C152" s="375" t="s">
        <v>72</v>
      </c>
      <c r="D152" s="378">
        <f>ROUND(1.02*D151,2)</f>
        <v>24.59</v>
      </c>
      <c r="E152" s="379"/>
      <c r="F152" s="378"/>
      <c r="G152" s="378"/>
      <c r="H152" s="379">
        <v>2924.1</v>
      </c>
      <c r="I152" s="378">
        <f>ROUND(H152*D152,2)</f>
        <v>71903.62</v>
      </c>
      <c r="J152" s="378">
        <f>ROUND(I152*1.2,2)</f>
        <v>86284.34</v>
      </c>
      <c r="K152" s="379">
        <f t="shared" si="48"/>
        <v>71903.62</v>
      </c>
      <c r="L152" s="378">
        <f t="shared" si="48"/>
        <v>86284.34</v>
      </c>
    </row>
    <row r="153" spans="1:13" ht="17.25" customHeight="1" x14ac:dyDescent="0.25">
      <c r="A153" s="369">
        <f>A151+1</f>
        <v>68</v>
      </c>
      <c r="B153" s="113" t="s">
        <v>750</v>
      </c>
      <c r="C153" s="369" t="s">
        <v>72</v>
      </c>
      <c r="D153" s="495">
        <v>0.8</v>
      </c>
      <c r="E153" s="374">
        <v>872.2</v>
      </c>
      <c r="F153" s="372">
        <f>ROUND(E153*D153,2)</f>
        <v>697.76</v>
      </c>
      <c r="G153" s="372">
        <f>ROUND(F153*1.2,2)</f>
        <v>837.31</v>
      </c>
      <c r="H153" s="374"/>
      <c r="I153" s="372"/>
      <c r="J153" s="372"/>
      <c r="K153" s="374">
        <f t="shared" si="48"/>
        <v>697.76</v>
      </c>
      <c r="L153" s="372">
        <f t="shared" si="48"/>
        <v>837.31</v>
      </c>
    </row>
    <row r="154" spans="1:13" ht="17.25" customHeight="1" x14ac:dyDescent="0.25">
      <c r="A154" s="488" t="s">
        <v>836</v>
      </c>
      <c r="B154" s="277" t="s">
        <v>751</v>
      </c>
      <c r="C154" s="375" t="s">
        <v>72</v>
      </c>
      <c r="D154" s="378">
        <f>ROUND(1.02*D153,2)</f>
        <v>0.82</v>
      </c>
      <c r="E154" s="379"/>
      <c r="F154" s="378"/>
      <c r="G154" s="378"/>
      <c r="H154" s="379">
        <v>1596</v>
      </c>
      <c r="I154" s="378">
        <f>ROUND(H154*D154,2)</f>
        <v>1308.72</v>
      </c>
      <c r="J154" s="378">
        <f>ROUND(I154*1.2,2)</f>
        <v>1570.46</v>
      </c>
      <c r="K154" s="379">
        <f t="shared" si="48"/>
        <v>1308.72</v>
      </c>
      <c r="L154" s="378">
        <f t="shared" si="48"/>
        <v>1570.46</v>
      </c>
    </row>
    <row r="155" spans="1:13" ht="35.25" customHeight="1" x14ac:dyDescent="0.25">
      <c r="A155" s="404">
        <f>A153+1</f>
        <v>69</v>
      </c>
      <c r="B155" s="209" t="s">
        <v>757</v>
      </c>
      <c r="C155" s="404" t="s">
        <v>84</v>
      </c>
      <c r="D155" s="475">
        <v>0.11</v>
      </c>
      <c r="E155" s="409">
        <v>80533.5</v>
      </c>
      <c r="F155" s="407">
        <f>ROUND(E155*D155,2)</f>
        <v>8858.69</v>
      </c>
      <c r="G155" s="407">
        <f t="shared" ref="G155" si="49">ROUND(F155*1.2,2)</f>
        <v>10630.43</v>
      </c>
      <c r="H155" s="409"/>
      <c r="I155" s="407"/>
      <c r="J155" s="407"/>
      <c r="K155" s="409">
        <f t="shared" si="48"/>
        <v>8858.69</v>
      </c>
      <c r="L155" s="407">
        <f t="shared" si="48"/>
        <v>10630.43</v>
      </c>
      <c r="M155" s="394"/>
    </row>
    <row r="156" spans="1:13" ht="17.25" customHeight="1" x14ac:dyDescent="0.25">
      <c r="A156" s="488" t="s">
        <v>837</v>
      </c>
      <c r="B156" s="277" t="s">
        <v>698</v>
      </c>
      <c r="C156" s="375" t="s">
        <v>84</v>
      </c>
      <c r="D156" s="476">
        <v>0.11</v>
      </c>
      <c r="E156" s="379"/>
      <c r="F156" s="378"/>
      <c r="G156" s="378"/>
      <c r="H156" s="379">
        <f>ROUND(4616/1.2*1.15,2)</f>
        <v>4423.67</v>
      </c>
      <c r="I156" s="378">
        <f>ROUND(H156*D156,2)</f>
        <v>486.6</v>
      </c>
      <c r="J156" s="378">
        <f>ROUND(I156*1.2,2)</f>
        <v>583.91999999999996</v>
      </c>
      <c r="K156" s="379">
        <f t="shared" si="48"/>
        <v>486.6</v>
      </c>
      <c r="L156" s="378">
        <f t="shared" si="48"/>
        <v>583.91999999999996</v>
      </c>
      <c r="M156" s="394" t="s">
        <v>143</v>
      </c>
    </row>
    <row r="157" spans="1:13" ht="17.25" customHeight="1" x14ac:dyDescent="0.25">
      <c r="A157" s="488" t="s">
        <v>838</v>
      </c>
      <c r="B157" s="277" t="s">
        <v>716</v>
      </c>
      <c r="C157" s="375" t="s">
        <v>80</v>
      </c>
      <c r="D157" s="476">
        <f>3.85*78.5/1000</f>
        <v>0.30222500000000002</v>
      </c>
      <c r="E157" s="379"/>
      <c r="F157" s="378"/>
      <c r="G157" s="378"/>
      <c r="H157" s="379">
        <f>ROUND(105190/1.2*1.15,2)</f>
        <v>100807.08</v>
      </c>
      <c r="I157" s="378">
        <f>ROUND(H157*D157,2)</f>
        <v>30466.42</v>
      </c>
      <c r="J157" s="378">
        <f>ROUND(I157*1.2,2)</f>
        <v>36559.699999999997</v>
      </c>
      <c r="K157" s="379">
        <f t="shared" si="48"/>
        <v>30466.42</v>
      </c>
      <c r="L157" s="378">
        <f t="shared" si="48"/>
        <v>36559.699999999997</v>
      </c>
    </row>
    <row r="158" spans="1:13" ht="17.25" customHeight="1" x14ac:dyDescent="0.25">
      <c r="A158" s="369">
        <f>A155+1</f>
        <v>70</v>
      </c>
      <c r="B158" s="113" t="s">
        <v>803</v>
      </c>
      <c r="C158" s="369" t="s">
        <v>75</v>
      </c>
      <c r="D158" s="477">
        <v>8</v>
      </c>
      <c r="E158" s="374">
        <v>4129.6499999999996</v>
      </c>
      <c r="F158" s="372">
        <f>ROUND(E158*D158,2)</f>
        <v>33037.199999999997</v>
      </c>
      <c r="G158" s="372">
        <f>ROUND(F158*1.2,2)</f>
        <v>39644.639999999999</v>
      </c>
      <c r="H158" s="374"/>
      <c r="I158" s="372"/>
      <c r="J158" s="372"/>
      <c r="K158" s="374">
        <f t="shared" si="48"/>
        <v>33037.199999999997</v>
      </c>
      <c r="L158" s="372">
        <f t="shared" si="48"/>
        <v>39644.639999999999</v>
      </c>
    </row>
    <row r="159" spans="1:13" ht="17.25" customHeight="1" x14ac:dyDescent="0.25">
      <c r="A159" s="488" t="s">
        <v>839</v>
      </c>
      <c r="B159" s="277" t="s">
        <v>804</v>
      </c>
      <c r="C159" s="375" t="s">
        <v>75</v>
      </c>
      <c r="D159" s="478">
        <v>8</v>
      </c>
      <c r="E159" s="379"/>
      <c r="F159" s="378"/>
      <c r="G159" s="378"/>
      <c r="H159" s="378">
        <v>7210.5</v>
      </c>
      <c r="I159" s="378">
        <f>ROUND(H159*D159,2)</f>
        <v>57684</v>
      </c>
      <c r="J159" s="378">
        <f>ROUND(I159*1.2,2)</f>
        <v>69220.800000000003</v>
      </c>
      <c r="K159" s="379">
        <f t="shared" si="48"/>
        <v>57684</v>
      </c>
      <c r="L159" s="378">
        <f t="shared" si="48"/>
        <v>69220.800000000003</v>
      </c>
    </row>
    <row r="160" spans="1:13" ht="17.25" customHeight="1" x14ac:dyDescent="0.25">
      <c r="A160" s="369">
        <f>A158+1</f>
        <v>71</v>
      </c>
      <c r="B160" s="113" t="s">
        <v>805</v>
      </c>
      <c r="C160" s="369" t="s">
        <v>75</v>
      </c>
      <c r="D160" s="477">
        <v>2</v>
      </c>
      <c r="E160" s="374">
        <v>7734.9</v>
      </c>
      <c r="F160" s="372">
        <f>ROUND(E160*D160,2)</f>
        <v>15469.8</v>
      </c>
      <c r="G160" s="372">
        <f>ROUND(F160*1.2,2)</f>
        <v>18563.759999999998</v>
      </c>
      <c r="H160" s="374"/>
      <c r="I160" s="372"/>
      <c r="J160" s="372"/>
      <c r="K160" s="374">
        <f t="shared" si="48"/>
        <v>15469.8</v>
      </c>
      <c r="L160" s="372">
        <f t="shared" si="48"/>
        <v>18563.759999999998</v>
      </c>
    </row>
    <row r="161" spans="1:15" ht="17.25" customHeight="1" x14ac:dyDescent="0.25">
      <c r="A161" s="488" t="s">
        <v>840</v>
      </c>
      <c r="B161" s="277" t="s">
        <v>806</v>
      </c>
      <c r="C161" s="375" t="s">
        <v>75</v>
      </c>
      <c r="D161" s="478">
        <v>2</v>
      </c>
      <c r="E161" s="379"/>
      <c r="F161" s="378"/>
      <c r="G161" s="378"/>
      <c r="H161" s="379">
        <v>3040</v>
      </c>
      <c r="I161" s="378">
        <f>ROUND(H161*D161,2)</f>
        <v>6080</v>
      </c>
      <c r="J161" s="378">
        <f>ROUND(I161*1.2,2)</f>
        <v>7296</v>
      </c>
      <c r="K161" s="379">
        <f t="shared" si="48"/>
        <v>6080</v>
      </c>
      <c r="L161" s="378">
        <f t="shared" si="48"/>
        <v>7296</v>
      </c>
    </row>
    <row r="162" spans="1:15" ht="17.25" customHeight="1" x14ac:dyDescent="0.25">
      <c r="A162" s="369">
        <f>A160+1</f>
        <v>72</v>
      </c>
      <c r="B162" s="113" t="s">
        <v>728</v>
      </c>
      <c r="C162" s="369" t="s">
        <v>75</v>
      </c>
      <c r="D162" s="477">
        <v>2</v>
      </c>
      <c r="E162" s="374">
        <v>4557.1499999999996</v>
      </c>
      <c r="F162" s="372">
        <f>ROUND(E162*D162,2)</f>
        <v>9114.2999999999993</v>
      </c>
      <c r="G162" s="372">
        <f>ROUND(F162*1.2,2)</f>
        <v>10937.16</v>
      </c>
      <c r="H162" s="374"/>
      <c r="I162" s="372"/>
      <c r="J162" s="372"/>
      <c r="K162" s="374">
        <f t="shared" si="48"/>
        <v>9114.2999999999993</v>
      </c>
      <c r="L162" s="372">
        <f t="shared" si="48"/>
        <v>10937.16</v>
      </c>
    </row>
    <row r="163" spans="1:15" ht="17.25" customHeight="1" x14ac:dyDescent="0.25">
      <c r="A163" s="488" t="s">
        <v>841</v>
      </c>
      <c r="B163" s="277" t="s">
        <v>729</v>
      </c>
      <c r="C163" s="375" t="s">
        <v>75</v>
      </c>
      <c r="D163" s="478">
        <v>2</v>
      </c>
      <c r="E163" s="379"/>
      <c r="F163" s="378"/>
      <c r="G163" s="378"/>
      <c r="H163" s="379">
        <v>3895</v>
      </c>
      <c r="I163" s="378">
        <f>ROUND(H163*D163,2)</f>
        <v>7790</v>
      </c>
      <c r="J163" s="378">
        <f>ROUND(I163*1.2,2)</f>
        <v>9348</v>
      </c>
      <c r="K163" s="379">
        <f t="shared" si="48"/>
        <v>7790</v>
      </c>
      <c r="L163" s="378">
        <f t="shared" si="48"/>
        <v>9348</v>
      </c>
    </row>
    <row r="164" spans="1:15" ht="17.25" customHeight="1" x14ac:dyDescent="0.25">
      <c r="A164" s="369">
        <f>A162+1</f>
        <v>73</v>
      </c>
      <c r="B164" s="18" t="s">
        <v>808</v>
      </c>
      <c r="C164" s="369" t="s">
        <v>75</v>
      </c>
      <c r="D164" s="450">
        <v>2</v>
      </c>
      <c r="E164" s="374">
        <v>1231.2</v>
      </c>
      <c r="F164" s="372">
        <f>ROUND(E164*D164,2)</f>
        <v>2462.4</v>
      </c>
      <c r="G164" s="372">
        <f>ROUND(F164*1.2,2)</f>
        <v>2954.88</v>
      </c>
      <c r="H164" s="374"/>
      <c r="I164" s="372"/>
      <c r="J164" s="372"/>
      <c r="K164" s="374">
        <f t="shared" si="48"/>
        <v>2462.4</v>
      </c>
      <c r="L164" s="372">
        <f t="shared" si="48"/>
        <v>2954.88</v>
      </c>
      <c r="M164" s="394"/>
    </row>
    <row r="165" spans="1:15" ht="17.25" customHeight="1" x14ac:dyDescent="0.25">
      <c r="A165" s="488" t="s">
        <v>842</v>
      </c>
      <c r="B165" s="26" t="s">
        <v>810</v>
      </c>
      <c r="C165" s="375" t="s">
        <v>75</v>
      </c>
      <c r="D165" s="376">
        <v>2</v>
      </c>
      <c r="E165" s="379"/>
      <c r="F165" s="378"/>
      <c r="G165" s="378"/>
      <c r="H165" s="379">
        <v>1544.6999999999998</v>
      </c>
      <c r="I165" s="378">
        <f t="shared" ref="I165:I173" si="50">ROUND(H165*D165,2)</f>
        <v>3089.4</v>
      </c>
      <c r="J165" s="378">
        <f t="shared" ref="J165:J173" si="51">ROUND(I165*1.2,2)</f>
        <v>3707.28</v>
      </c>
      <c r="K165" s="379">
        <f t="shared" si="48"/>
        <v>3089.4</v>
      </c>
      <c r="L165" s="378">
        <f t="shared" si="48"/>
        <v>3707.28</v>
      </c>
      <c r="M165" s="394"/>
    </row>
    <row r="166" spans="1:15" ht="17.25" customHeight="1" x14ac:dyDescent="0.25">
      <c r="A166" s="488" t="s">
        <v>843</v>
      </c>
      <c r="B166" s="26" t="s">
        <v>812</v>
      </c>
      <c r="C166" s="375" t="s">
        <v>75</v>
      </c>
      <c r="D166" s="376">
        <v>4</v>
      </c>
      <c r="E166" s="379"/>
      <c r="F166" s="378"/>
      <c r="G166" s="378"/>
      <c r="H166" s="379">
        <v>119.69999999999999</v>
      </c>
      <c r="I166" s="378">
        <f t="shared" si="50"/>
        <v>478.8</v>
      </c>
      <c r="J166" s="378">
        <f t="shared" si="51"/>
        <v>574.55999999999995</v>
      </c>
      <c r="K166" s="379">
        <f t="shared" si="48"/>
        <v>478.8</v>
      </c>
      <c r="L166" s="378">
        <f t="shared" si="48"/>
        <v>574.55999999999995</v>
      </c>
      <c r="M166" s="394"/>
    </row>
    <row r="167" spans="1:15" ht="17.25" customHeight="1" x14ac:dyDescent="0.25">
      <c r="A167" s="488" t="s">
        <v>844</v>
      </c>
      <c r="B167" s="26" t="s">
        <v>814</v>
      </c>
      <c r="C167" s="375" t="s">
        <v>75</v>
      </c>
      <c r="D167" s="376">
        <v>2</v>
      </c>
      <c r="E167" s="379"/>
      <c r="F167" s="378"/>
      <c r="G167" s="378"/>
      <c r="H167" s="379">
        <v>1533.3</v>
      </c>
      <c r="I167" s="378">
        <f t="shared" si="50"/>
        <v>3066.6</v>
      </c>
      <c r="J167" s="378">
        <f t="shared" si="51"/>
        <v>3679.92</v>
      </c>
      <c r="K167" s="379">
        <f t="shared" ref="K167:L178" si="52">F167+I167</f>
        <v>3066.6</v>
      </c>
      <c r="L167" s="378">
        <f t="shared" si="52"/>
        <v>3679.92</v>
      </c>
      <c r="M167" s="394"/>
    </row>
    <row r="168" spans="1:15" ht="17.25" customHeight="1" x14ac:dyDescent="0.25">
      <c r="A168" s="488" t="s">
        <v>845</v>
      </c>
      <c r="B168" s="26" t="s">
        <v>816</v>
      </c>
      <c r="C168" s="375" t="s">
        <v>75</v>
      </c>
      <c r="D168" s="376">
        <v>2</v>
      </c>
      <c r="E168" s="379"/>
      <c r="F168" s="378"/>
      <c r="G168" s="378"/>
      <c r="H168" s="379">
        <v>296.39999999999998</v>
      </c>
      <c r="I168" s="378">
        <f t="shared" si="50"/>
        <v>592.79999999999995</v>
      </c>
      <c r="J168" s="378">
        <f t="shared" si="51"/>
        <v>711.36</v>
      </c>
      <c r="K168" s="379">
        <f t="shared" si="52"/>
        <v>592.79999999999995</v>
      </c>
      <c r="L168" s="378">
        <f t="shared" si="52"/>
        <v>711.36</v>
      </c>
      <c r="M168" s="394"/>
    </row>
    <row r="169" spans="1:15" ht="17.25" customHeight="1" x14ac:dyDescent="0.25">
      <c r="A169" s="488" t="s">
        <v>846</v>
      </c>
      <c r="B169" s="26" t="s">
        <v>818</v>
      </c>
      <c r="C169" s="375" t="s">
        <v>72</v>
      </c>
      <c r="D169" s="376">
        <f>0.2/2</f>
        <v>0.1</v>
      </c>
      <c r="E169" s="379"/>
      <c r="F169" s="378"/>
      <c r="G169" s="378"/>
      <c r="H169" s="379">
        <v>456</v>
      </c>
      <c r="I169" s="378">
        <f t="shared" si="50"/>
        <v>45.6</v>
      </c>
      <c r="J169" s="378">
        <f t="shared" si="51"/>
        <v>54.72</v>
      </c>
      <c r="K169" s="379">
        <f t="shared" si="52"/>
        <v>45.6</v>
      </c>
      <c r="L169" s="378">
        <f t="shared" si="52"/>
        <v>54.72</v>
      </c>
      <c r="M169" s="394"/>
    </row>
    <row r="170" spans="1:15" ht="17.25" customHeight="1" x14ac:dyDescent="0.25">
      <c r="A170" s="488" t="s">
        <v>847</v>
      </c>
      <c r="B170" s="26" t="s">
        <v>820</v>
      </c>
      <c r="C170" s="375" t="s">
        <v>171</v>
      </c>
      <c r="D170" s="376">
        <f>2*0.137/2</f>
        <v>0.13700000000000001</v>
      </c>
      <c r="E170" s="379"/>
      <c r="F170" s="378"/>
      <c r="G170" s="378"/>
      <c r="H170" s="379">
        <v>120.64999999999999</v>
      </c>
      <c r="I170" s="378">
        <f t="shared" si="50"/>
        <v>16.53</v>
      </c>
      <c r="J170" s="378">
        <f t="shared" si="51"/>
        <v>19.84</v>
      </c>
      <c r="K170" s="379">
        <f t="shared" si="52"/>
        <v>16.53</v>
      </c>
      <c r="L170" s="378">
        <f t="shared" si="52"/>
        <v>19.84</v>
      </c>
      <c r="M170" s="394"/>
    </row>
    <row r="171" spans="1:15" ht="17.25" customHeight="1" x14ac:dyDescent="0.25">
      <c r="A171" s="488" t="s">
        <v>848</v>
      </c>
      <c r="B171" s="26" t="s">
        <v>822</v>
      </c>
      <c r="C171" s="375" t="s">
        <v>171</v>
      </c>
      <c r="D171" s="376">
        <f>2*0.032/2</f>
        <v>3.2000000000000001E-2</v>
      </c>
      <c r="E171" s="379"/>
      <c r="F171" s="378"/>
      <c r="G171" s="378"/>
      <c r="H171" s="379">
        <v>139.65</v>
      </c>
      <c r="I171" s="378">
        <f t="shared" si="50"/>
        <v>4.47</v>
      </c>
      <c r="J171" s="378">
        <f t="shared" si="51"/>
        <v>5.36</v>
      </c>
      <c r="K171" s="379">
        <f t="shared" si="52"/>
        <v>4.47</v>
      </c>
      <c r="L171" s="378">
        <f t="shared" si="52"/>
        <v>5.36</v>
      </c>
      <c r="M171" s="394"/>
    </row>
    <row r="172" spans="1:15" ht="17.25" customHeight="1" x14ac:dyDescent="0.25">
      <c r="A172" s="488" t="s">
        <v>849</v>
      </c>
      <c r="B172" s="26" t="s">
        <v>824</v>
      </c>
      <c r="C172" s="375" t="s">
        <v>171</v>
      </c>
      <c r="D172" s="376">
        <f>2*0.013/2</f>
        <v>1.2999999999999999E-2</v>
      </c>
      <c r="E172" s="379"/>
      <c r="F172" s="378"/>
      <c r="G172" s="378"/>
      <c r="H172" s="379">
        <v>187.14999999999998</v>
      </c>
      <c r="I172" s="378">
        <f t="shared" si="50"/>
        <v>2.4300000000000002</v>
      </c>
      <c r="J172" s="378">
        <f t="shared" si="51"/>
        <v>2.92</v>
      </c>
      <c r="K172" s="379">
        <f t="shared" si="52"/>
        <v>2.4300000000000002</v>
      </c>
      <c r="L172" s="378">
        <f t="shared" si="52"/>
        <v>2.92</v>
      </c>
      <c r="M172" s="394"/>
    </row>
    <row r="173" spans="1:15" ht="17.25" customHeight="1" x14ac:dyDescent="0.25">
      <c r="A173" s="488" t="s">
        <v>850</v>
      </c>
      <c r="B173" s="26" t="s">
        <v>826</v>
      </c>
      <c r="C173" s="375" t="s">
        <v>171</v>
      </c>
      <c r="D173" s="376">
        <f>2*0.013/2</f>
        <v>1.2999999999999999E-2</v>
      </c>
      <c r="E173" s="379"/>
      <c r="F173" s="378"/>
      <c r="G173" s="378"/>
      <c r="H173" s="379">
        <v>187.14999999999998</v>
      </c>
      <c r="I173" s="378">
        <f t="shared" si="50"/>
        <v>2.4300000000000002</v>
      </c>
      <c r="J173" s="378">
        <f t="shared" si="51"/>
        <v>2.92</v>
      </c>
      <c r="K173" s="379">
        <f t="shared" si="52"/>
        <v>2.4300000000000002</v>
      </c>
      <c r="L173" s="378">
        <f t="shared" si="52"/>
        <v>2.92</v>
      </c>
      <c r="M173" s="394"/>
    </row>
    <row r="174" spans="1:15" s="426" customFormat="1" ht="17.25" customHeight="1" x14ac:dyDescent="0.25">
      <c r="A174" s="418">
        <f>A164+1</f>
        <v>74</v>
      </c>
      <c r="B174" s="482" t="s">
        <v>752</v>
      </c>
      <c r="C174" s="418" t="s">
        <v>75</v>
      </c>
      <c r="D174" s="486">
        <f>23+4</f>
        <v>27</v>
      </c>
      <c r="E174" s="431">
        <v>10239.1</v>
      </c>
      <c r="F174" s="430">
        <f>ROUND(E174*D174,2)</f>
        <v>276455.7</v>
      </c>
      <c r="G174" s="430">
        <f>ROUND(F174*1.2,2)</f>
        <v>331746.84000000003</v>
      </c>
      <c r="H174" s="431"/>
      <c r="I174" s="430"/>
      <c r="J174" s="430"/>
      <c r="K174" s="431">
        <f t="shared" si="52"/>
        <v>276455.7</v>
      </c>
      <c r="L174" s="430">
        <f t="shared" si="52"/>
        <v>331746.84000000003</v>
      </c>
      <c r="M174" s="425"/>
      <c r="N174" s="425" t="s">
        <v>1250</v>
      </c>
      <c r="O174" s="819">
        <f>L174-D174*1000</f>
        <v>304746.84000000003</v>
      </c>
    </row>
    <row r="175" spans="1:15" ht="17.25" customHeight="1" x14ac:dyDescent="0.25">
      <c r="A175" s="404">
        <f>A174+1</f>
        <v>75</v>
      </c>
      <c r="B175" s="209" t="s">
        <v>827</v>
      </c>
      <c r="C175" s="404" t="s">
        <v>72</v>
      </c>
      <c r="D175" s="497">
        <v>3.22</v>
      </c>
      <c r="E175" s="409">
        <v>2175.65</v>
      </c>
      <c r="F175" s="407">
        <f>ROUND(E175*D175,2)</f>
        <v>7005.59</v>
      </c>
      <c r="G175" s="407">
        <f>ROUND(F175*1.2,2)</f>
        <v>8406.7099999999991</v>
      </c>
      <c r="H175" s="409"/>
      <c r="I175" s="407"/>
      <c r="J175" s="407"/>
      <c r="K175" s="409">
        <f t="shared" si="52"/>
        <v>7005.59</v>
      </c>
      <c r="L175" s="407">
        <f t="shared" si="52"/>
        <v>8406.7099999999991</v>
      </c>
    </row>
    <row r="176" spans="1:15" ht="17.25" customHeight="1" x14ac:dyDescent="0.25">
      <c r="A176" s="488" t="s">
        <v>851</v>
      </c>
      <c r="B176" s="277" t="s">
        <v>829</v>
      </c>
      <c r="C176" s="375" t="s">
        <v>72</v>
      </c>
      <c r="D176" s="464">
        <v>3.22</v>
      </c>
      <c r="E176" s="379"/>
      <c r="F176" s="378"/>
      <c r="G176" s="378"/>
      <c r="H176" s="379">
        <v>456</v>
      </c>
      <c r="I176" s="378">
        <f>ROUND(H176*D176,2)</f>
        <v>1468.32</v>
      </c>
      <c r="J176" s="378">
        <f>ROUND(I176*1.2,2)</f>
        <v>1761.98</v>
      </c>
      <c r="K176" s="379">
        <f t="shared" si="52"/>
        <v>1468.32</v>
      </c>
      <c r="L176" s="378">
        <f t="shared" si="52"/>
        <v>1761.98</v>
      </c>
    </row>
    <row r="177" spans="1:15" ht="17.25" customHeight="1" x14ac:dyDescent="0.25">
      <c r="A177" s="369">
        <f>A175+1</f>
        <v>76</v>
      </c>
      <c r="B177" s="113" t="s">
        <v>779</v>
      </c>
      <c r="C177" s="369" t="s">
        <v>75</v>
      </c>
      <c r="D177" s="477">
        <v>4</v>
      </c>
      <c r="E177" s="374">
        <v>261.61</v>
      </c>
      <c r="F177" s="372">
        <f>ROUND(E177*D177,2)</f>
        <v>1046.44</v>
      </c>
      <c r="G177" s="372">
        <f>ROUND(F177*1.2,2)</f>
        <v>1255.73</v>
      </c>
      <c r="H177" s="374"/>
      <c r="I177" s="372"/>
      <c r="J177" s="372"/>
      <c r="K177" s="374">
        <f t="shared" si="52"/>
        <v>1046.44</v>
      </c>
      <c r="L177" s="372">
        <f t="shared" si="52"/>
        <v>1255.73</v>
      </c>
    </row>
    <row r="178" spans="1:15" ht="17.25" customHeight="1" x14ac:dyDescent="0.25">
      <c r="A178" s="488" t="s">
        <v>852</v>
      </c>
      <c r="B178" s="277" t="s">
        <v>780</v>
      </c>
      <c r="C178" s="375" t="s">
        <v>75</v>
      </c>
      <c r="D178" s="478">
        <v>4</v>
      </c>
      <c r="E178" s="379"/>
      <c r="F178" s="378"/>
      <c r="G178" s="378"/>
      <c r="H178" s="378">
        <v>5185.5</v>
      </c>
      <c r="I178" s="378">
        <f>ROUND(H178*D178,2)</f>
        <v>20742</v>
      </c>
      <c r="J178" s="378">
        <f>ROUND(I178*1.2,2)</f>
        <v>24890.400000000001</v>
      </c>
      <c r="K178" s="379">
        <f t="shared" si="52"/>
        <v>20742</v>
      </c>
      <c r="L178" s="378">
        <f t="shared" si="52"/>
        <v>24890.400000000001</v>
      </c>
    </row>
    <row r="179" spans="1:15" ht="15.75" x14ac:dyDescent="0.25">
      <c r="A179" s="862" t="s">
        <v>121</v>
      </c>
      <c r="B179" s="863"/>
      <c r="C179" s="863"/>
      <c r="D179" s="863"/>
      <c r="E179" s="864"/>
      <c r="F179" s="481">
        <f>SUM(F8:F178)</f>
        <v>1638970.7600000002</v>
      </c>
      <c r="G179" s="414">
        <f>ROUND(F179*1.2,2)</f>
        <v>1966764.91</v>
      </c>
      <c r="I179" s="481">
        <f>SUM(I8:I178)</f>
        <v>1223337.3800000001</v>
      </c>
      <c r="J179" s="414">
        <f>ROUND(I179*1.2,2)</f>
        <v>1468004.86</v>
      </c>
      <c r="K179" s="481">
        <f>SUM(K8:K178)</f>
        <v>2862308.1399999992</v>
      </c>
      <c r="L179" s="414">
        <f>ROUND(K179*1.2,2)</f>
        <v>3434769.77</v>
      </c>
    </row>
    <row r="182" spans="1:15" x14ac:dyDescent="0.25">
      <c r="B182" s="459" t="s">
        <v>122</v>
      </c>
      <c r="M182" s="499"/>
      <c r="O182" s="820">
        <f>SUM(O13:O174)</f>
        <v>695456.72800000012</v>
      </c>
    </row>
    <row r="183" spans="1:15" x14ac:dyDescent="0.25">
      <c r="B183" s="460" t="s">
        <v>123</v>
      </c>
    </row>
  </sheetData>
  <mergeCells count="10">
    <mergeCell ref="B6:D6"/>
    <mergeCell ref="A179:E179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D3B40-F852-4D18-94A5-D0BA87D15434}">
  <sheetPr>
    <tabColor rgb="FFFFFF00"/>
  </sheetPr>
  <dimension ref="A1:O126"/>
  <sheetViews>
    <sheetView view="pageBreakPreview" zoomScale="55" zoomScaleNormal="100" zoomScaleSheetLayoutView="55" workbookViewId="0">
      <selection activeCell="O123" sqref="O123"/>
    </sheetView>
  </sheetViews>
  <sheetFormatPr defaultColWidth="8.85546875" defaultRowHeight="15" x14ac:dyDescent="0.25"/>
  <cols>
    <col min="1" max="1" width="8.85546875" style="352"/>
    <col min="2" max="2" width="65.140625" style="352" customWidth="1"/>
    <col min="3" max="3" width="9.28515625" style="352" customWidth="1"/>
    <col min="4" max="4" width="11" style="352" bestFit="1" customWidth="1"/>
    <col min="5" max="5" width="15.140625" style="352" customWidth="1"/>
    <col min="6" max="6" width="16" style="352" customWidth="1"/>
    <col min="7" max="7" width="17.140625" style="417" customWidth="1"/>
    <col min="8" max="8" width="16.140625" style="417" customWidth="1"/>
    <col min="9" max="12" width="16.140625" style="352" customWidth="1"/>
    <col min="13" max="13" width="30" style="352" customWidth="1"/>
    <col min="14" max="14" width="54" style="352" customWidth="1"/>
    <col min="15" max="15" width="28.42578125" style="352" customWidth="1"/>
    <col min="16" max="16384" width="8.85546875" style="352"/>
  </cols>
  <sheetData>
    <row r="1" spans="1:12" ht="14.45" customHeight="1" x14ac:dyDescent="0.25">
      <c r="A1" s="865" t="s">
        <v>26</v>
      </c>
      <c r="B1" s="868" t="s">
        <v>57</v>
      </c>
      <c r="C1" s="871" t="s">
        <v>58</v>
      </c>
      <c r="D1" s="871" t="s">
        <v>59</v>
      </c>
      <c r="E1" s="872" t="s">
        <v>60</v>
      </c>
      <c r="F1" s="873"/>
      <c r="G1" s="873"/>
      <c r="H1" s="873"/>
      <c r="I1" s="873"/>
      <c r="J1" s="873"/>
      <c r="K1" s="873"/>
      <c r="L1" s="873"/>
    </row>
    <row r="2" spans="1:12" ht="14.45" customHeight="1" x14ac:dyDescent="0.25">
      <c r="A2" s="866"/>
      <c r="B2" s="869"/>
      <c r="C2" s="871"/>
      <c r="D2" s="871"/>
      <c r="E2" s="874"/>
      <c r="F2" s="875"/>
      <c r="G2" s="875"/>
      <c r="H2" s="875"/>
      <c r="I2" s="875"/>
      <c r="J2" s="875"/>
      <c r="K2" s="875"/>
      <c r="L2" s="875"/>
    </row>
    <row r="3" spans="1:12" ht="27.75" customHeight="1" x14ac:dyDescent="0.25">
      <c r="A3" s="866"/>
      <c r="B3" s="869"/>
      <c r="C3" s="871"/>
      <c r="D3" s="871"/>
      <c r="E3" s="871" t="s">
        <v>61</v>
      </c>
      <c r="F3" s="871"/>
      <c r="G3" s="871"/>
      <c r="H3" s="871" t="s">
        <v>62</v>
      </c>
      <c r="I3" s="871"/>
      <c r="J3" s="871"/>
      <c r="K3" s="876" t="s">
        <v>63</v>
      </c>
      <c r="L3" s="876"/>
    </row>
    <row r="4" spans="1:12" ht="56.1" customHeight="1" x14ac:dyDescent="0.25">
      <c r="A4" s="867"/>
      <c r="B4" s="870"/>
      <c r="C4" s="871"/>
      <c r="D4" s="871"/>
      <c r="E4" s="353" t="s">
        <v>64</v>
      </c>
      <c r="F4" s="353" t="s">
        <v>65</v>
      </c>
      <c r="G4" s="354" t="s">
        <v>66</v>
      </c>
      <c r="H4" s="353" t="s">
        <v>64</v>
      </c>
      <c r="I4" s="353" t="s">
        <v>65</v>
      </c>
      <c r="J4" s="354" t="s">
        <v>66</v>
      </c>
      <c r="K4" s="353" t="s">
        <v>67</v>
      </c>
      <c r="L4" s="353" t="s">
        <v>68</v>
      </c>
    </row>
    <row r="5" spans="1:12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52"/>
    </row>
    <row r="6" spans="1:12" ht="20.25" customHeight="1" x14ac:dyDescent="0.25">
      <c r="A6" s="355"/>
      <c r="B6" s="860" t="s">
        <v>643</v>
      </c>
      <c r="C6" s="861"/>
      <c r="D6" s="861"/>
      <c r="E6" s="356"/>
      <c r="F6" s="357"/>
      <c r="G6" s="358"/>
      <c r="H6" s="358"/>
      <c r="I6" s="358"/>
      <c r="J6" s="358"/>
      <c r="K6" s="358"/>
      <c r="L6" s="358"/>
    </row>
    <row r="7" spans="1:12" ht="20.25" customHeight="1" x14ac:dyDescent="0.25">
      <c r="A7" s="359"/>
      <c r="B7" s="360" t="s">
        <v>644</v>
      </c>
      <c r="C7" s="361"/>
      <c r="D7" s="362"/>
      <c r="E7" s="363"/>
      <c r="F7" s="363"/>
      <c r="G7" s="364"/>
      <c r="H7" s="365"/>
      <c r="I7" s="366"/>
      <c r="J7" s="366"/>
      <c r="K7" s="367"/>
      <c r="L7" s="366"/>
    </row>
    <row r="8" spans="1:12" ht="20.25" customHeight="1" x14ac:dyDescent="0.25">
      <c r="A8" s="369">
        <v>1</v>
      </c>
      <c r="B8" s="18" t="s">
        <v>83</v>
      </c>
      <c r="C8" s="369" t="s">
        <v>84</v>
      </c>
      <c r="D8" s="370">
        <f>229.06+159.01</f>
        <v>388.07</v>
      </c>
      <c r="E8" s="374">
        <v>308.75</v>
      </c>
      <c r="F8" s="372">
        <f t="shared" ref="F8:F30" si="0">ROUND(E8*D8,2)</f>
        <v>119816.61</v>
      </c>
      <c r="G8" s="372">
        <f t="shared" ref="G8:G30" si="1">ROUND(F8*1.2,2)</f>
        <v>143779.93</v>
      </c>
      <c r="H8" s="373"/>
      <c r="I8" s="372"/>
      <c r="J8" s="372"/>
      <c r="K8" s="374">
        <f t="shared" ref="K8:L19" si="2">F8+I8</f>
        <v>119816.61</v>
      </c>
      <c r="L8" s="372">
        <f t="shared" si="2"/>
        <v>143779.93</v>
      </c>
    </row>
    <row r="9" spans="1:12" ht="20.25" customHeight="1" x14ac:dyDescent="0.25">
      <c r="A9" s="369">
        <f>A8+1</f>
        <v>2</v>
      </c>
      <c r="B9" s="18" t="s">
        <v>138</v>
      </c>
      <c r="C9" s="369" t="s">
        <v>84</v>
      </c>
      <c r="D9" s="370">
        <v>12</v>
      </c>
      <c r="E9" s="374">
        <v>1688.1499999999999</v>
      </c>
      <c r="F9" s="372">
        <f t="shared" si="0"/>
        <v>20257.8</v>
      </c>
      <c r="G9" s="372">
        <f t="shared" si="1"/>
        <v>24309.360000000001</v>
      </c>
      <c r="H9" s="373"/>
      <c r="I9" s="372"/>
      <c r="J9" s="372"/>
      <c r="K9" s="374">
        <f t="shared" si="2"/>
        <v>20257.8</v>
      </c>
      <c r="L9" s="372">
        <f t="shared" si="2"/>
        <v>24309.360000000001</v>
      </c>
    </row>
    <row r="10" spans="1:12" ht="20.25" customHeight="1" x14ac:dyDescent="0.25">
      <c r="A10" s="369">
        <f>A9+1</f>
        <v>3</v>
      </c>
      <c r="B10" s="18" t="s">
        <v>645</v>
      </c>
      <c r="C10" s="369" t="s">
        <v>84</v>
      </c>
      <c r="D10" s="370">
        <v>9.82</v>
      </c>
      <c r="E10" s="374">
        <v>1311</v>
      </c>
      <c r="F10" s="372">
        <f t="shared" si="0"/>
        <v>12874.02</v>
      </c>
      <c r="G10" s="372">
        <f t="shared" si="1"/>
        <v>15448.82</v>
      </c>
      <c r="H10" s="372"/>
      <c r="I10" s="372"/>
      <c r="J10" s="372"/>
      <c r="K10" s="374">
        <f t="shared" si="2"/>
        <v>12874.02</v>
      </c>
      <c r="L10" s="372">
        <f t="shared" si="2"/>
        <v>15448.82</v>
      </c>
    </row>
    <row r="11" spans="1:12" ht="20.25" customHeight="1" x14ac:dyDescent="0.25">
      <c r="A11" s="359" t="s">
        <v>576</v>
      </c>
      <c r="B11" s="26" t="s">
        <v>160</v>
      </c>
      <c r="C11" s="375" t="s">
        <v>84</v>
      </c>
      <c r="D11" s="376">
        <f>D10*1.1</f>
        <v>10.802000000000001</v>
      </c>
      <c r="E11" s="379"/>
      <c r="F11" s="378"/>
      <c r="G11" s="378"/>
      <c r="H11" s="378">
        <v>1191.3</v>
      </c>
      <c r="I11" s="378">
        <f>ROUND(H11*D11,2)</f>
        <v>12868.42</v>
      </c>
      <c r="J11" s="378">
        <f>ROUND(I11*1.2,2)</f>
        <v>15442.1</v>
      </c>
      <c r="K11" s="379">
        <f t="shared" si="2"/>
        <v>12868.42</v>
      </c>
      <c r="L11" s="378">
        <f t="shared" si="2"/>
        <v>15442.1</v>
      </c>
    </row>
    <row r="12" spans="1:12" ht="20.25" customHeight="1" x14ac:dyDescent="0.25">
      <c r="A12" s="369">
        <f>A10+1</f>
        <v>4</v>
      </c>
      <c r="B12" s="18" t="s">
        <v>646</v>
      </c>
      <c r="C12" s="369" t="s">
        <v>84</v>
      </c>
      <c r="D12" s="370">
        <v>32.15</v>
      </c>
      <c r="E12" s="374">
        <v>1311</v>
      </c>
      <c r="F12" s="372">
        <f t="shared" ref="F12" si="3">ROUND(E12*D12,2)</f>
        <v>42148.65</v>
      </c>
      <c r="G12" s="372">
        <f t="shared" ref="G12" si="4">ROUND(F12*1.2,2)</f>
        <v>50578.38</v>
      </c>
      <c r="H12" s="373"/>
      <c r="I12" s="372"/>
      <c r="J12" s="372"/>
      <c r="K12" s="374">
        <f t="shared" si="2"/>
        <v>42148.65</v>
      </c>
      <c r="L12" s="372">
        <f t="shared" si="2"/>
        <v>50578.38</v>
      </c>
    </row>
    <row r="13" spans="1:12" ht="20.25" customHeight="1" x14ac:dyDescent="0.25">
      <c r="A13" s="359" t="s">
        <v>578</v>
      </c>
      <c r="B13" s="26" t="s">
        <v>160</v>
      </c>
      <c r="C13" s="375" t="s">
        <v>84</v>
      </c>
      <c r="D13" s="376">
        <f>D12*1.1</f>
        <v>35.365000000000002</v>
      </c>
      <c r="E13" s="379"/>
      <c r="F13" s="378"/>
      <c r="G13" s="378"/>
      <c r="H13" s="378">
        <v>1191.3</v>
      </c>
      <c r="I13" s="378">
        <f>ROUND(H13*D13,2)</f>
        <v>42130.32</v>
      </c>
      <c r="J13" s="378">
        <f>ROUND(I13*1.2,2)</f>
        <v>50556.38</v>
      </c>
      <c r="K13" s="379">
        <f t="shared" si="2"/>
        <v>42130.32</v>
      </c>
      <c r="L13" s="378">
        <f t="shared" si="2"/>
        <v>50556.38</v>
      </c>
    </row>
    <row r="14" spans="1:12" ht="20.25" customHeight="1" x14ac:dyDescent="0.25">
      <c r="A14" s="369">
        <f>A12+1</f>
        <v>5</v>
      </c>
      <c r="B14" s="18" t="s">
        <v>647</v>
      </c>
      <c r="C14" s="369" t="s">
        <v>84</v>
      </c>
      <c r="D14" s="370">
        <v>116.08</v>
      </c>
      <c r="E14" s="374">
        <v>1311</v>
      </c>
      <c r="F14" s="372">
        <f t="shared" si="0"/>
        <v>152180.88</v>
      </c>
      <c r="G14" s="372">
        <f t="shared" si="1"/>
        <v>182617.06</v>
      </c>
      <c r="H14" s="372"/>
      <c r="I14" s="372"/>
      <c r="J14" s="372"/>
      <c r="K14" s="374">
        <f t="shared" si="2"/>
        <v>152180.88</v>
      </c>
      <c r="L14" s="372">
        <f t="shared" si="2"/>
        <v>182617.06</v>
      </c>
    </row>
    <row r="15" spans="1:12" ht="20.25" customHeight="1" x14ac:dyDescent="0.25">
      <c r="A15" s="359" t="s">
        <v>476</v>
      </c>
      <c r="B15" s="26" t="s">
        <v>160</v>
      </c>
      <c r="C15" s="375" t="s">
        <v>84</v>
      </c>
      <c r="D15" s="376">
        <f>D14*1.1</f>
        <v>127.688</v>
      </c>
      <c r="E15" s="379"/>
      <c r="F15" s="378"/>
      <c r="G15" s="378"/>
      <c r="H15" s="378">
        <v>1191.3</v>
      </c>
      <c r="I15" s="378">
        <f>ROUND(H15*D15,2)</f>
        <v>152114.71</v>
      </c>
      <c r="J15" s="378">
        <f>ROUND(I15*1.2,2)</f>
        <v>182537.65</v>
      </c>
      <c r="K15" s="379">
        <f t="shared" si="2"/>
        <v>152114.71</v>
      </c>
      <c r="L15" s="378">
        <f t="shared" si="2"/>
        <v>182537.65</v>
      </c>
    </row>
    <row r="16" spans="1:12" s="395" customFormat="1" ht="21.75" customHeight="1" x14ac:dyDescent="0.25">
      <c r="A16" s="369">
        <f>A14+1</f>
        <v>6</v>
      </c>
      <c r="B16" s="18" t="s">
        <v>648</v>
      </c>
      <c r="C16" s="369" t="s">
        <v>84</v>
      </c>
      <c r="D16" s="370">
        <v>241.06</v>
      </c>
      <c r="E16" s="374">
        <v>308.75</v>
      </c>
      <c r="F16" s="372">
        <f t="shared" si="0"/>
        <v>74427.28</v>
      </c>
      <c r="G16" s="372">
        <f t="shared" si="1"/>
        <v>89312.74</v>
      </c>
      <c r="H16" s="373"/>
      <c r="I16" s="372"/>
      <c r="J16" s="372"/>
      <c r="K16" s="374">
        <f t="shared" si="2"/>
        <v>74427.28</v>
      </c>
      <c r="L16" s="372">
        <f t="shared" si="2"/>
        <v>89312.74</v>
      </c>
    </row>
    <row r="17" spans="1:13" ht="18.75" customHeight="1" x14ac:dyDescent="0.25">
      <c r="A17" s="369">
        <f>A16+1</f>
        <v>7</v>
      </c>
      <c r="B17" s="18" t="s">
        <v>88</v>
      </c>
      <c r="C17" s="369" t="s">
        <v>84</v>
      </c>
      <c r="D17" s="370">
        <v>357.14</v>
      </c>
      <c r="E17" s="374">
        <v>188.1</v>
      </c>
      <c r="F17" s="372">
        <f t="shared" si="0"/>
        <v>67178.03</v>
      </c>
      <c r="G17" s="372">
        <f t="shared" si="1"/>
        <v>80613.64</v>
      </c>
      <c r="H17" s="374"/>
      <c r="I17" s="372"/>
      <c r="J17" s="372"/>
      <c r="K17" s="374">
        <f t="shared" si="2"/>
        <v>67178.03</v>
      </c>
      <c r="L17" s="372">
        <f t="shared" si="2"/>
        <v>80613.64</v>
      </c>
    </row>
    <row r="18" spans="1:13" ht="18.75" customHeight="1" x14ac:dyDescent="0.25">
      <c r="A18" s="361"/>
      <c r="B18" s="220" t="s">
        <v>134</v>
      </c>
      <c r="C18" s="361"/>
      <c r="D18" s="444"/>
      <c r="E18" s="367"/>
      <c r="F18" s="366"/>
      <c r="G18" s="366"/>
      <c r="H18" s="392"/>
      <c r="I18" s="366"/>
      <c r="J18" s="366"/>
      <c r="K18" s="367"/>
      <c r="L18" s="366"/>
    </row>
    <row r="19" spans="1:13" ht="18" customHeight="1" x14ac:dyDescent="0.25">
      <c r="A19" s="369">
        <f>A17+1</f>
        <v>8</v>
      </c>
      <c r="B19" s="18" t="s">
        <v>89</v>
      </c>
      <c r="C19" s="369" t="s">
        <v>80</v>
      </c>
      <c r="D19" s="370">
        <v>302.12</v>
      </c>
      <c r="E19" s="374">
        <v>308.75</v>
      </c>
      <c r="F19" s="372">
        <f t="shared" si="0"/>
        <v>93279.55</v>
      </c>
      <c r="G19" s="372">
        <f t="shared" si="1"/>
        <v>111935.46</v>
      </c>
      <c r="H19" s="371"/>
      <c r="I19" s="372"/>
      <c r="J19" s="372"/>
      <c r="K19" s="374">
        <f t="shared" si="2"/>
        <v>93279.55</v>
      </c>
      <c r="L19" s="372">
        <f t="shared" si="2"/>
        <v>111935.46</v>
      </c>
      <c r="M19" s="394"/>
    </row>
    <row r="20" spans="1:13" ht="20.25" customHeight="1" x14ac:dyDescent="0.25">
      <c r="A20" s="359"/>
      <c r="B20" s="360" t="s">
        <v>649</v>
      </c>
      <c r="C20" s="361"/>
      <c r="D20" s="362"/>
      <c r="E20" s="363"/>
      <c r="F20" s="363"/>
      <c r="G20" s="364"/>
      <c r="H20" s="365"/>
      <c r="I20" s="366"/>
      <c r="J20" s="366"/>
      <c r="K20" s="367"/>
      <c r="L20" s="366"/>
    </row>
    <row r="21" spans="1:13" ht="20.25" customHeight="1" x14ac:dyDescent="0.25">
      <c r="A21" s="369">
        <f>A19+1</f>
        <v>9</v>
      </c>
      <c r="B21" s="18" t="s">
        <v>83</v>
      </c>
      <c r="C21" s="369" t="s">
        <v>84</v>
      </c>
      <c r="D21" s="370">
        <v>59.75</v>
      </c>
      <c r="E21" s="374">
        <v>308.75</v>
      </c>
      <c r="F21" s="372">
        <f t="shared" ref="F21:F23" si="5">ROUND(E21*D21,2)</f>
        <v>18447.810000000001</v>
      </c>
      <c r="G21" s="372">
        <f t="shared" ref="G21:G23" si="6">ROUND(F21*1.2,2)</f>
        <v>22137.37</v>
      </c>
      <c r="H21" s="373"/>
      <c r="I21" s="372"/>
      <c r="J21" s="372"/>
      <c r="K21" s="374">
        <f t="shared" ref="K21:L26" si="7">F21+I21</f>
        <v>18447.810000000001</v>
      </c>
      <c r="L21" s="372">
        <f t="shared" si="7"/>
        <v>22137.37</v>
      </c>
    </row>
    <row r="22" spans="1:13" ht="20.25" customHeight="1" x14ac:dyDescent="0.25">
      <c r="A22" s="369">
        <f>A21+1</f>
        <v>10</v>
      </c>
      <c r="B22" s="18" t="s">
        <v>138</v>
      </c>
      <c r="C22" s="369" t="s">
        <v>84</v>
      </c>
      <c r="D22" s="370">
        <v>1.85</v>
      </c>
      <c r="E22" s="374">
        <v>1688.1499999999999</v>
      </c>
      <c r="F22" s="372">
        <f t="shared" si="5"/>
        <v>3123.08</v>
      </c>
      <c r="G22" s="372">
        <f t="shared" si="6"/>
        <v>3747.7</v>
      </c>
      <c r="H22" s="373"/>
      <c r="I22" s="372"/>
      <c r="J22" s="372"/>
      <c r="K22" s="374">
        <f t="shared" si="7"/>
        <v>3123.08</v>
      </c>
      <c r="L22" s="372">
        <f t="shared" si="7"/>
        <v>3747.7</v>
      </c>
    </row>
    <row r="23" spans="1:13" ht="20.25" customHeight="1" x14ac:dyDescent="0.25">
      <c r="A23" s="369">
        <f>A22+1</f>
        <v>11</v>
      </c>
      <c r="B23" s="18" t="s">
        <v>645</v>
      </c>
      <c r="C23" s="369" t="s">
        <v>84</v>
      </c>
      <c r="D23" s="370">
        <v>2.0099999999999998</v>
      </c>
      <c r="E23" s="374">
        <v>1311</v>
      </c>
      <c r="F23" s="372">
        <f t="shared" si="5"/>
        <v>2635.11</v>
      </c>
      <c r="G23" s="372">
        <f t="shared" si="6"/>
        <v>3162.13</v>
      </c>
      <c r="H23" s="372"/>
      <c r="I23" s="372"/>
      <c r="J23" s="372"/>
      <c r="K23" s="374">
        <f t="shared" si="7"/>
        <v>2635.11</v>
      </c>
      <c r="L23" s="372">
        <f t="shared" si="7"/>
        <v>3162.13</v>
      </c>
    </row>
    <row r="24" spans="1:13" ht="20.25" customHeight="1" x14ac:dyDescent="0.25">
      <c r="A24" s="359" t="s">
        <v>99</v>
      </c>
      <c r="B24" s="26" t="s">
        <v>160</v>
      </c>
      <c r="C24" s="375" t="s">
        <v>84</v>
      </c>
      <c r="D24" s="376">
        <f>D23*1.1</f>
        <v>2.2109999999999999</v>
      </c>
      <c r="E24" s="379"/>
      <c r="F24" s="378"/>
      <c r="G24" s="378"/>
      <c r="H24" s="378">
        <v>1191.3</v>
      </c>
      <c r="I24" s="378">
        <f>ROUND(H24*D24,2)</f>
        <v>2633.96</v>
      </c>
      <c r="J24" s="378">
        <f>ROUND(I24*1.2,2)</f>
        <v>3160.75</v>
      </c>
      <c r="K24" s="379">
        <f t="shared" si="7"/>
        <v>2633.96</v>
      </c>
      <c r="L24" s="378">
        <f t="shared" si="7"/>
        <v>3160.75</v>
      </c>
    </row>
    <row r="25" spans="1:13" ht="20.25" customHeight="1" x14ac:dyDescent="0.25">
      <c r="A25" s="369">
        <f>A23+1</f>
        <v>12</v>
      </c>
      <c r="B25" s="18" t="s">
        <v>650</v>
      </c>
      <c r="C25" s="369" t="s">
        <v>84</v>
      </c>
      <c r="D25" s="370">
        <v>11.35</v>
      </c>
      <c r="E25" s="374">
        <v>1311</v>
      </c>
      <c r="F25" s="372">
        <f t="shared" ref="F25" si="8">ROUND(E25*D25,2)</f>
        <v>14879.85</v>
      </c>
      <c r="G25" s="372">
        <f t="shared" ref="G25" si="9">ROUND(F25*1.2,2)</f>
        <v>17855.82</v>
      </c>
      <c r="H25" s="373"/>
      <c r="I25" s="372"/>
      <c r="J25" s="372"/>
      <c r="K25" s="374">
        <f t="shared" si="7"/>
        <v>14879.85</v>
      </c>
      <c r="L25" s="372">
        <f t="shared" si="7"/>
        <v>17855.82</v>
      </c>
    </row>
    <row r="26" spans="1:13" ht="20.25" customHeight="1" x14ac:dyDescent="0.25">
      <c r="A26" s="359" t="s">
        <v>102</v>
      </c>
      <c r="B26" s="26" t="s">
        <v>160</v>
      </c>
      <c r="C26" s="375" t="s">
        <v>84</v>
      </c>
      <c r="D26" s="376">
        <f>D25*1.1</f>
        <v>12.485000000000001</v>
      </c>
      <c r="E26" s="379"/>
      <c r="F26" s="378"/>
      <c r="G26" s="378"/>
      <c r="H26" s="378">
        <v>1191.3</v>
      </c>
      <c r="I26" s="378">
        <f>ROUND(H26*D26,2)</f>
        <v>14873.38</v>
      </c>
      <c r="J26" s="378">
        <f>ROUND(I26*1.2,2)</f>
        <v>17848.060000000001</v>
      </c>
      <c r="K26" s="379">
        <f t="shared" si="7"/>
        <v>14873.38</v>
      </c>
      <c r="L26" s="378">
        <f t="shared" si="7"/>
        <v>17848.060000000001</v>
      </c>
    </row>
    <row r="27" spans="1:13" ht="18.75" customHeight="1" x14ac:dyDescent="0.25">
      <c r="A27" s="361"/>
      <c r="B27" s="220" t="s">
        <v>134</v>
      </c>
      <c r="C27" s="361"/>
      <c r="D27" s="444"/>
      <c r="E27" s="367"/>
      <c r="F27" s="366"/>
      <c r="G27" s="366"/>
      <c r="H27" s="392"/>
      <c r="I27" s="366"/>
      <c r="J27" s="366"/>
      <c r="K27" s="367"/>
      <c r="L27" s="366"/>
    </row>
    <row r="28" spans="1:13" ht="18" customHeight="1" x14ac:dyDescent="0.25">
      <c r="A28" s="369">
        <f>A25+1</f>
        <v>13</v>
      </c>
      <c r="B28" s="18" t="s">
        <v>89</v>
      </c>
      <c r="C28" s="369" t="s">
        <v>80</v>
      </c>
      <c r="D28" s="370">
        <v>117.04</v>
      </c>
      <c r="E28" s="374">
        <v>308.75</v>
      </c>
      <c r="F28" s="372">
        <f t="shared" ref="F28" si="10">ROUND(E28*D28,2)</f>
        <v>36136.1</v>
      </c>
      <c r="G28" s="372">
        <f t="shared" ref="G28" si="11">ROUND(F28*1.2,2)</f>
        <v>43363.32</v>
      </c>
      <c r="H28" s="371"/>
      <c r="I28" s="372"/>
      <c r="J28" s="372"/>
      <c r="K28" s="374">
        <f t="shared" ref="K28:L28" si="12">F28+I28</f>
        <v>36136.1</v>
      </c>
      <c r="L28" s="372">
        <f t="shared" si="12"/>
        <v>43363.32</v>
      </c>
      <c r="M28" s="394"/>
    </row>
    <row r="29" spans="1:13" ht="18" customHeight="1" x14ac:dyDescent="0.25">
      <c r="A29" s="361"/>
      <c r="B29" s="314" t="s">
        <v>651</v>
      </c>
      <c r="C29" s="390"/>
      <c r="D29" s="391"/>
      <c r="E29" s="367"/>
      <c r="F29" s="393"/>
      <c r="G29" s="393"/>
      <c r="H29" s="392"/>
      <c r="I29" s="366"/>
      <c r="J29" s="366"/>
      <c r="K29" s="367"/>
      <c r="L29" s="366"/>
      <c r="M29" s="394"/>
    </row>
    <row r="30" spans="1:13" ht="20.25" customHeight="1" x14ac:dyDescent="0.25">
      <c r="A30" s="369">
        <f>A28+1</f>
        <v>14</v>
      </c>
      <c r="B30" s="18" t="s">
        <v>652</v>
      </c>
      <c r="C30" s="369" t="s">
        <v>84</v>
      </c>
      <c r="D30" s="370">
        <v>8.73</v>
      </c>
      <c r="E30" s="374">
        <v>6596.56</v>
      </c>
      <c r="F30" s="372">
        <f t="shared" si="0"/>
        <v>57587.97</v>
      </c>
      <c r="G30" s="372">
        <f t="shared" si="1"/>
        <v>69105.56</v>
      </c>
      <c r="H30" s="373"/>
      <c r="I30" s="372"/>
      <c r="J30" s="372"/>
      <c r="K30" s="374">
        <f t="shared" ref="K30:L35" si="13">F30+I30</f>
        <v>57587.97</v>
      </c>
      <c r="L30" s="372">
        <f t="shared" si="13"/>
        <v>69105.56</v>
      </c>
    </row>
    <row r="31" spans="1:13" ht="20.25" customHeight="1" x14ac:dyDescent="0.25">
      <c r="A31" s="359" t="s">
        <v>109</v>
      </c>
      <c r="B31" s="26" t="s">
        <v>653</v>
      </c>
      <c r="C31" s="375" t="s">
        <v>84</v>
      </c>
      <c r="D31" s="376">
        <f>1.02*D30</f>
        <v>8.9046000000000003</v>
      </c>
      <c r="E31" s="379"/>
      <c r="F31" s="378"/>
      <c r="G31" s="378"/>
      <c r="H31" s="378">
        <v>4807</v>
      </c>
      <c r="I31" s="378">
        <f>ROUND(H31*D31,2)</f>
        <v>42804.41</v>
      </c>
      <c r="J31" s="378">
        <f>ROUND(I31*1.2,2)</f>
        <v>51365.29</v>
      </c>
      <c r="K31" s="379">
        <f t="shared" si="13"/>
        <v>42804.41</v>
      </c>
      <c r="L31" s="378">
        <f t="shared" si="13"/>
        <v>51365.29</v>
      </c>
    </row>
    <row r="32" spans="1:13" ht="18.75" customHeight="1" x14ac:dyDescent="0.25">
      <c r="A32" s="369">
        <f>A30+1</f>
        <v>15</v>
      </c>
      <c r="B32" s="113" t="s">
        <v>654</v>
      </c>
      <c r="C32" s="369" t="s">
        <v>84</v>
      </c>
      <c r="D32" s="463">
        <v>23.4</v>
      </c>
      <c r="E32" s="374">
        <v>12960.39</v>
      </c>
      <c r="F32" s="372">
        <f>ROUND(E32*D32,2)</f>
        <v>303273.13</v>
      </c>
      <c r="G32" s="372">
        <f t="shared" ref="G32" si="14">ROUND(F32*1.2,2)</f>
        <v>363927.76</v>
      </c>
      <c r="H32" s="374"/>
      <c r="I32" s="372"/>
      <c r="J32" s="372"/>
      <c r="K32" s="374">
        <f t="shared" si="13"/>
        <v>303273.13</v>
      </c>
      <c r="L32" s="372">
        <f t="shared" si="13"/>
        <v>363927.76</v>
      </c>
    </row>
    <row r="33" spans="1:13" ht="19.5" customHeight="1" x14ac:dyDescent="0.25">
      <c r="A33" s="359" t="s">
        <v>155</v>
      </c>
      <c r="B33" s="277" t="s">
        <v>655</v>
      </c>
      <c r="C33" s="375" t="s">
        <v>84</v>
      </c>
      <c r="D33" s="464">
        <v>23.4</v>
      </c>
      <c r="E33" s="379"/>
      <c r="F33" s="378"/>
      <c r="G33" s="378"/>
      <c r="H33" s="452">
        <v>5196.5</v>
      </c>
      <c r="I33" s="378">
        <f>ROUND(H33*D33,2)</f>
        <v>121598.1</v>
      </c>
      <c r="J33" s="378">
        <f>ROUND(I33*1.2,2)</f>
        <v>145917.72</v>
      </c>
      <c r="K33" s="379">
        <f t="shared" si="13"/>
        <v>121598.1</v>
      </c>
      <c r="L33" s="378">
        <f t="shared" si="13"/>
        <v>145917.72</v>
      </c>
    </row>
    <row r="34" spans="1:13" ht="19.5" customHeight="1" x14ac:dyDescent="0.25">
      <c r="A34" s="359" t="s">
        <v>656</v>
      </c>
      <c r="B34" s="277" t="s">
        <v>657</v>
      </c>
      <c r="C34" s="375" t="s">
        <v>171</v>
      </c>
      <c r="D34" s="464">
        <f>512+450</f>
        <v>962</v>
      </c>
      <c r="E34" s="379"/>
      <c r="F34" s="378"/>
      <c r="G34" s="378"/>
      <c r="H34" s="452">
        <v>80.75</v>
      </c>
      <c r="I34" s="378">
        <f>ROUND(H34*D34,2)</f>
        <v>77681.5</v>
      </c>
      <c r="J34" s="378">
        <f>ROUND(I34*1.2,2)</f>
        <v>93217.8</v>
      </c>
      <c r="K34" s="379">
        <f t="shared" si="13"/>
        <v>77681.5</v>
      </c>
      <c r="L34" s="378">
        <f t="shared" si="13"/>
        <v>93217.8</v>
      </c>
    </row>
    <row r="35" spans="1:13" x14ac:dyDescent="0.25">
      <c r="A35" s="359" t="s">
        <v>658</v>
      </c>
      <c r="B35" s="277" t="s">
        <v>659</v>
      </c>
      <c r="C35" s="375" t="s">
        <v>171</v>
      </c>
      <c r="D35" s="464">
        <v>125</v>
      </c>
      <c r="E35" s="379"/>
      <c r="F35" s="378"/>
      <c r="G35" s="378"/>
      <c r="H35" s="452">
        <v>80.75</v>
      </c>
      <c r="I35" s="378">
        <f>ROUND(H35*D35,2)</f>
        <v>10093.75</v>
      </c>
      <c r="J35" s="378">
        <f>ROUND(I35*1.2,2)</f>
        <v>12112.5</v>
      </c>
      <c r="K35" s="379">
        <f t="shared" si="13"/>
        <v>10093.75</v>
      </c>
      <c r="L35" s="378">
        <f t="shared" si="13"/>
        <v>12112.5</v>
      </c>
    </row>
    <row r="36" spans="1:13" ht="18" customHeight="1" x14ac:dyDescent="0.25">
      <c r="A36" s="361"/>
      <c r="B36" s="220" t="s">
        <v>660</v>
      </c>
      <c r="C36" s="390"/>
      <c r="D36" s="391"/>
      <c r="E36" s="367"/>
      <c r="F36" s="393"/>
      <c r="G36" s="393"/>
      <c r="H36" s="392"/>
      <c r="I36" s="366"/>
      <c r="J36" s="366"/>
      <c r="K36" s="367"/>
      <c r="L36" s="366"/>
      <c r="M36" s="394"/>
    </row>
    <row r="37" spans="1:13" ht="27" customHeight="1" x14ac:dyDescent="0.25">
      <c r="A37" s="369">
        <f>A32+1</f>
        <v>16</v>
      </c>
      <c r="B37" s="113" t="s">
        <v>661</v>
      </c>
      <c r="C37" s="369" t="s">
        <v>77</v>
      </c>
      <c r="D37" s="463">
        <v>19.27</v>
      </c>
      <c r="E37" s="374">
        <v>144.4</v>
      </c>
      <c r="F37" s="372">
        <f>ROUND(E37*D37,2)</f>
        <v>2782.59</v>
      </c>
      <c r="G37" s="372">
        <f>ROUND(F37*1.2,2)</f>
        <v>3339.11</v>
      </c>
      <c r="H37" s="374"/>
      <c r="I37" s="372"/>
      <c r="J37" s="372"/>
      <c r="K37" s="374">
        <f t="shared" ref="K37:L40" si="15">F37+I37</f>
        <v>2782.59</v>
      </c>
      <c r="L37" s="372">
        <f t="shared" si="15"/>
        <v>3339.11</v>
      </c>
      <c r="M37" s="394"/>
    </row>
    <row r="38" spans="1:13" ht="18" customHeight="1" x14ac:dyDescent="0.25">
      <c r="A38" s="359" t="s">
        <v>159</v>
      </c>
      <c r="B38" s="277" t="s">
        <v>662</v>
      </c>
      <c r="C38" s="375" t="s">
        <v>462</v>
      </c>
      <c r="D38" s="464">
        <f>ROUND(D37*0.3*20/16,2)</f>
        <v>7.23</v>
      </c>
      <c r="E38" s="379"/>
      <c r="F38" s="378"/>
      <c r="G38" s="378"/>
      <c r="H38" s="452">
        <v>237.5</v>
      </c>
      <c r="I38" s="378">
        <f>ROUND(H38*D38,2)</f>
        <v>1717.13</v>
      </c>
      <c r="J38" s="378">
        <f>ROUND(I38*1.2,2)</f>
        <v>2060.56</v>
      </c>
      <c r="K38" s="379">
        <f t="shared" si="15"/>
        <v>1717.13</v>
      </c>
      <c r="L38" s="378">
        <f t="shared" si="15"/>
        <v>2060.56</v>
      </c>
    </row>
    <row r="39" spans="1:13" ht="21.75" customHeight="1" x14ac:dyDescent="0.25">
      <c r="A39" s="369">
        <f>A37+1</f>
        <v>17</v>
      </c>
      <c r="B39" s="18" t="s">
        <v>663</v>
      </c>
      <c r="C39" s="369" t="s">
        <v>77</v>
      </c>
      <c r="D39" s="453">
        <v>19.27</v>
      </c>
      <c r="E39" s="374">
        <v>299.76</v>
      </c>
      <c r="F39" s="372">
        <f>ROUND(E39*D39,2)</f>
        <v>5776.38</v>
      </c>
      <c r="G39" s="372">
        <f t="shared" ref="G39" si="16">ROUND(F39*1.2,2)</f>
        <v>6931.66</v>
      </c>
      <c r="H39" s="374"/>
      <c r="I39" s="372"/>
      <c r="J39" s="372"/>
      <c r="K39" s="374">
        <f t="shared" si="15"/>
        <v>5776.38</v>
      </c>
      <c r="L39" s="372">
        <f t="shared" si="15"/>
        <v>6931.66</v>
      </c>
      <c r="M39" s="394"/>
    </row>
    <row r="40" spans="1:13" x14ac:dyDescent="0.25">
      <c r="A40" s="359" t="s">
        <v>299</v>
      </c>
      <c r="B40" s="277" t="s">
        <v>465</v>
      </c>
      <c r="C40" s="375" t="s">
        <v>171</v>
      </c>
      <c r="D40" s="376">
        <f>D39*2.5*2</f>
        <v>96.35</v>
      </c>
      <c r="E40" s="379"/>
      <c r="F40" s="378"/>
      <c r="G40" s="378"/>
      <c r="H40" s="452">
        <v>296.39999999999998</v>
      </c>
      <c r="I40" s="378">
        <f t="shared" ref="I40" si="17">ROUND(H40*D40,2)</f>
        <v>28558.14</v>
      </c>
      <c r="J40" s="378">
        <f t="shared" ref="J40" si="18">ROUND(I40*1.2,2)</f>
        <v>34269.769999999997</v>
      </c>
      <c r="K40" s="379">
        <f t="shared" si="15"/>
        <v>28558.14</v>
      </c>
      <c r="L40" s="378">
        <f t="shared" si="15"/>
        <v>34269.769999999997</v>
      </c>
      <c r="M40" s="394"/>
    </row>
    <row r="41" spans="1:13" ht="21.75" customHeight="1" x14ac:dyDescent="0.25">
      <c r="A41" s="359"/>
      <c r="B41" s="360" t="s">
        <v>664</v>
      </c>
      <c r="C41" s="361"/>
      <c r="D41" s="465"/>
      <c r="E41" s="367"/>
      <c r="F41" s="366"/>
      <c r="G41" s="366"/>
      <c r="H41" s="365"/>
      <c r="I41" s="366"/>
      <c r="J41" s="366"/>
      <c r="K41" s="367"/>
      <c r="L41" s="366"/>
    </row>
    <row r="42" spans="1:13" ht="21" customHeight="1" x14ac:dyDescent="0.25">
      <c r="A42" s="369">
        <f>A39+1</f>
        <v>18</v>
      </c>
      <c r="B42" s="113" t="s">
        <v>665</v>
      </c>
      <c r="C42" s="369" t="s">
        <v>75</v>
      </c>
      <c r="D42" s="466">
        <v>6</v>
      </c>
      <c r="E42" s="374">
        <v>5928</v>
      </c>
      <c r="F42" s="372">
        <f>ROUND(E42*D42,2)</f>
        <v>35568</v>
      </c>
      <c r="G42" s="372">
        <f t="shared" ref="G42" si="19">ROUND(F42*1.2,2)</f>
        <v>42681.599999999999</v>
      </c>
      <c r="H42" s="374"/>
      <c r="I42" s="372"/>
      <c r="J42" s="372"/>
      <c r="K42" s="374">
        <f t="shared" ref="K42:L57" si="20">F42+I42</f>
        <v>35568</v>
      </c>
      <c r="L42" s="372">
        <f t="shared" si="20"/>
        <v>42681.599999999999</v>
      </c>
      <c r="M42" s="394" t="s">
        <v>666</v>
      </c>
    </row>
    <row r="43" spans="1:13" ht="21" customHeight="1" x14ac:dyDescent="0.25">
      <c r="A43" s="359" t="s">
        <v>164</v>
      </c>
      <c r="B43" s="277" t="s">
        <v>667</v>
      </c>
      <c r="C43" s="375" t="s">
        <v>75</v>
      </c>
      <c r="D43" s="467">
        <v>6</v>
      </c>
      <c r="E43" s="379"/>
      <c r="F43" s="378"/>
      <c r="G43" s="378"/>
      <c r="H43" s="452">
        <v>16810.25</v>
      </c>
      <c r="I43" s="378">
        <f t="shared" ref="I43:I45" si="21">ROUND(H43*D43,2)</f>
        <v>100861.5</v>
      </c>
      <c r="J43" s="378">
        <f t="shared" ref="J43:J45" si="22">ROUND(I43*1.2,2)</f>
        <v>121033.8</v>
      </c>
      <c r="K43" s="379">
        <f t="shared" si="20"/>
        <v>100861.5</v>
      </c>
      <c r="L43" s="378">
        <f t="shared" si="20"/>
        <v>121033.8</v>
      </c>
      <c r="M43" s="394" t="s">
        <v>666</v>
      </c>
    </row>
    <row r="44" spans="1:13" ht="21" customHeight="1" x14ac:dyDescent="0.25">
      <c r="A44" s="369">
        <f>A42+1</f>
        <v>19</v>
      </c>
      <c r="B44" s="113" t="s">
        <v>668</v>
      </c>
      <c r="C44" s="369" t="s">
        <v>75</v>
      </c>
      <c r="D44" s="466">
        <v>24</v>
      </c>
      <c r="E44" s="374">
        <v>1482</v>
      </c>
      <c r="F44" s="372">
        <f>ROUND(E44*D44,2)</f>
        <v>35568</v>
      </c>
      <c r="G44" s="372">
        <f t="shared" ref="G44" si="23">ROUND(F44*1.2,2)</f>
        <v>42681.599999999999</v>
      </c>
      <c r="H44" s="374"/>
      <c r="I44" s="372"/>
      <c r="J44" s="372"/>
      <c r="K44" s="374">
        <f t="shared" si="20"/>
        <v>35568</v>
      </c>
      <c r="L44" s="372">
        <f t="shared" si="20"/>
        <v>42681.599999999999</v>
      </c>
      <c r="M44" s="394" t="s">
        <v>666</v>
      </c>
    </row>
    <row r="45" spans="1:13" ht="19.5" customHeight="1" x14ac:dyDescent="0.25">
      <c r="A45" s="359" t="s">
        <v>167</v>
      </c>
      <c r="B45" s="277" t="s">
        <v>669</v>
      </c>
      <c r="C45" s="375" t="s">
        <v>75</v>
      </c>
      <c r="D45" s="467">
        <v>24</v>
      </c>
      <c r="E45" s="379"/>
      <c r="F45" s="378"/>
      <c r="G45" s="378"/>
      <c r="H45" s="452">
        <v>4891.55</v>
      </c>
      <c r="I45" s="378">
        <f t="shared" si="21"/>
        <v>117397.2</v>
      </c>
      <c r="J45" s="378">
        <f t="shared" si="22"/>
        <v>140876.64000000001</v>
      </c>
      <c r="K45" s="379">
        <f t="shared" si="20"/>
        <v>117397.2</v>
      </c>
      <c r="L45" s="378">
        <f t="shared" si="20"/>
        <v>140876.64000000001</v>
      </c>
      <c r="M45" s="394" t="s">
        <v>666</v>
      </c>
    </row>
    <row r="46" spans="1:13" ht="20.25" customHeight="1" x14ac:dyDescent="0.25">
      <c r="A46" s="369">
        <f>A44+1</f>
        <v>20</v>
      </c>
      <c r="B46" s="113" t="s">
        <v>670</v>
      </c>
      <c r="C46" s="369" t="s">
        <v>84</v>
      </c>
      <c r="D46" s="468">
        <v>1.7999999999999999E-2</v>
      </c>
      <c r="E46" s="374">
        <v>6266.06</v>
      </c>
      <c r="F46" s="372">
        <f>ROUND(E46*D46,2)</f>
        <v>112.79</v>
      </c>
      <c r="G46" s="372">
        <f>ROUND(F46*1.2,2)</f>
        <v>135.35</v>
      </c>
      <c r="H46" s="374"/>
      <c r="I46" s="372"/>
      <c r="J46" s="372"/>
      <c r="K46" s="374">
        <f t="shared" si="20"/>
        <v>112.79</v>
      </c>
      <c r="L46" s="372">
        <f t="shared" si="20"/>
        <v>135.35</v>
      </c>
      <c r="M46" s="394"/>
    </row>
    <row r="47" spans="1:13" ht="19.5" customHeight="1" x14ac:dyDescent="0.25">
      <c r="A47" s="359" t="s">
        <v>169</v>
      </c>
      <c r="B47" s="277" t="s">
        <v>671</v>
      </c>
      <c r="C47" s="375" t="s">
        <v>84</v>
      </c>
      <c r="D47" s="469">
        <f>D46*1.02</f>
        <v>1.8359999999999998E-2</v>
      </c>
      <c r="E47" s="379"/>
      <c r="F47" s="378"/>
      <c r="G47" s="378"/>
      <c r="H47" s="378">
        <v>3895</v>
      </c>
      <c r="I47" s="378">
        <f>ROUND(H47*D47,2)</f>
        <v>71.510000000000005</v>
      </c>
      <c r="J47" s="378">
        <f>ROUND(I47*1.2,2)</f>
        <v>85.81</v>
      </c>
      <c r="K47" s="379">
        <f t="shared" si="20"/>
        <v>71.510000000000005</v>
      </c>
      <c r="L47" s="378">
        <f t="shared" si="20"/>
        <v>85.81</v>
      </c>
      <c r="M47" s="394"/>
    </row>
    <row r="48" spans="1:13" ht="27" customHeight="1" x14ac:dyDescent="0.25">
      <c r="A48" s="369">
        <f>A46+1</f>
        <v>21</v>
      </c>
      <c r="B48" s="113" t="s">
        <v>672</v>
      </c>
      <c r="C48" s="369" t="s">
        <v>77</v>
      </c>
      <c r="D48" s="463">
        <v>90.2</v>
      </c>
      <c r="E48" s="374">
        <v>144.4</v>
      </c>
      <c r="F48" s="372">
        <f>ROUND(E48*D48,2)</f>
        <v>13024.88</v>
      </c>
      <c r="G48" s="372">
        <f>ROUND(F48*1.2,2)</f>
        <v>15629.86</v>
      </c>
      <c r="H48" s="374"/>
      <c r="I48" s="372"/>
      <c r="J48" s="372"/>
      <c r="K48" s="374">
        <f t="shared" si="20"/>
        <v>13024.88</v>
      </c>
      <c r="L48" s="372">
        <f t="shared" si="20"/>
        <v>15629.86</v>
      </c>
      <c r="M48" s="394"/>
    </row>
    <row r="49" spans="1:13" ht="18" customHeight="1" x14ac:dyDescent="0.25">
      <c r="A49" s="359" t="s">
        <v>208</v>
      </c>
      <c r="B49" s="277" t="s">
        <v>662</v>
      </c>
      <c r="C49" s="375" t="s">
        <v>462</v>
      </c>
      <c r="D49" s="464">
        <f>ROUND(D48*0.3*20/16,2)</f>
        <v>33.83</v>
      </c>
      <c r="E49" s="379"/>
      <c r="F49" s="378"/>
      <c r="G49" s="378"/>
      <c r="H49" s="452">
        <v>237.5</v>
      </c>
      <c r="I49" s="378">
        <f>ROUND(H49*D49,2)</f>
        <v>8034.63</v>
      </c>
      <c r="J49" s="378">
        <f>ROUND(I49*1.2,2)</f>
        <v>9641.56</v>
      </c>
      <c r="K49" s="379">
        <f t="shared" si="20"/>
        <v>8034.63</v>
      </c>
      <c r="L49" s="378">
        <f t="shared" si="20"/>
        <v>9641.56</v>
      </c>
    </row>
    <row r="50" spans="1:13" ht="30.75" customHeight="1" x14ac:dyDescent="0.25">
      <c r="A50" s="369">
        <f>A48+1</f>
        <v>22</v>
      </c>
      <c r="B50" s="18" t="s">
        <v>673</v>
      </c>
      <c r="C50" s="369" t="s">
        <v>77</v>
      </c>
      <c r="D50" s="463">
        <v>90.2</v>
      </c>
      <c r="E50" s="374">
        <v>299.76</v>
      </c>
      <c r="F50" s="372">
        <f>ROUND(E50*D50,2)</f>
        <v>27038.35</v>
      </c>
      <c r="G50" s="372">
        <f>ROUND(F50*1.2,2)</f>
        <v>32446.02</v>
      </c>
      <c r="H50" s="374"/>
      <c r="I50" s="372"/>
      <c r="J50" s="372"/>
      <c r="K50" s="374">
        <f t="shared" si="20"/>
        <v>27038.35</v>
      </c>
      <c r="L50" s="372">
        <f t="shared" si="20"/>
        <v>32446.02</v>
      </c>
    </row>
    <row r="51" spans="1:13" x14ac:dyDescent="0.25">
      <c r="A51" s="359" t="s">
        <v>502</v>
      </c>
      <c r="B51" s="277" t="s">
        <v>674</v>
      </c>
      <c r="C51" s="375" t="s">
        <v>171</v>
      </c>
      <c r="D51" s="464">
        <f>D50*2.5*2</f>
        <v>451</v>
      </c>
      <c r="E51" s="379"/>
      <c r="F51" s="378"/>
      <c r="G51" s="378"/>
      <c r="H51" s="452">
        <v>296.39999999999998</v>
      </c>
      <c r="I51" s="378">
        <f>ROUND(H51*D51,2)</f>
        <v>133676.4</v>
      </c>
      <c r="J51" s="378">
        <f>ROUND(I51*1.2,2)</f>
        <v>160411.68</v>
      </c>
      <c r="K51" s="379">
        <f t="shared" si="20"/>
        <v>133676.4</v>
      </c>
      <c r="L51" s="378">
        <f t="shared" si="20"/>
        <v>160411.68</v>
      </c>
    </row>
    <row r="52" spans="1:13" ht="20.25" customHeight="1" x14ac:dyDescent="0.25">
      <c r="A52" s="359"/>
      <c r="B52" s="360" t="s">
        <v>675</v>
      </c>
      <c r="C52" s="361"/>
      <c r="D52" s="465"/>
      <c r="E52" s="367"/>
      <c r="F52" s="366"/>
      <c r="G52" s="366"/>
      <c r="H52" s="365"/>
      <c r="I52" s="366"/>
      <c r="J52" s="366"/>
      <c r="K52" s="367"/>
      <c r="L52" s="366"/>
    </row>
    <row r="53" spans="1:13" ht="20.25" customHeight="1" x14ac:dyDescent="0.25">
      <c r="A53" s="369">
        <f>A50+1</f>
        <v>23</v>
      </c>
      <c r="B53" s="18" t="s">
        <v>676</v>
      </c>
      <c r="C53" s="369" t="s">
        <v>84</v>
      </c>
      <c r="D53" s="463">
        <v>1.02</v>
      </c>
      <c r="E53" s="374">
        <v>17265.68</v>
      </c>
      <c r="F53" s="372">
        <f>ROUND(E53*D53,2)</f>
        <v>17610.990000000002</v>
      </c>
      <c r="G53" s="372">
        <f t="shared" ref="G53" si="24">ROUND(F53*1.2,2)</f>
        <v>21133.19</v>
      </c>
      <c r="H53" s="374"/>
      <c r="I53" s="372"/>
      <c r="J53" s="372"/>
      <c r="K53" s="374">
        <f t="shared" si="20"/>
        <v>17610.990000000002</v>
      </c>
      <c r="L53" s="372">
        <f t="shared" si="20"/>
        <v>21133.19</v>
      </c>
    </row>
    <row r="54" spans="1:13" ht="19.5" customHeight="1" x14ac:dyDescent="0.25">
      <c r="A54" s="359" t="s">
        <v>306</v>
      </c>
      <c r="B54" s="277" t="s">
        <v>677</v>
      </c>
      <c r="C54" s="375" t="s">
        <v>75</v>
      </c>
      <c r="D54" s="467">
        <v>1</v>
      </c>
      <c r="E54" s="379"/>
      <c r="F54" s="378"/>
      <c r="G54" s="378"/>
      <c r="H54" s="470">
        <f>ROUND(15520/1.2*1.15,2)</f>
        <v>14873.33</v>
      </c>
      <c r="I54" s="378">
        <f t="shared" ref="I54" si="25">ROUND(H54*D54,2)</f>
        <v>14873.33</v>
      </c>
      <c r="J54" s="378">
        <f t="shared" ref="J54" si="26">ROUND(I54*1.2,2)</f>
        <v>17848</v>
      </c>
      <c r="K54" s="379">
        <f t="shared" si="20"/>
        <v>14873.33</v>
      </c>
      <c r="L54" s="378">
        <f t="shared" si="20"/>
        <v>17848</v>
      </c>
      <c r="M54" s="352" t="s">
        <v>143</v>
      </c>
    </row>
    <row r="55" spans="1:13" ht="18" customHeight="1" x14ac:dyDescent="0.25">
      <c r="A55" s="369">
        <f>A53+1</f>
        <v>24</v>
      </c>
      <c r="B55" s="18" t="s">
        <v>678</v>
      </c>
      <c r="C55" s="369" t="s">
        <v>84</v>
      </c>
      <c r="D55" s="463">
        <v>0.61</v>
      </c>
      <c r="E55" s="374">
        <v>17265.68</v>
      </c>
      <c r="F55" s="372">
        <f>ROUND(E55*D55,2)</f>
        <v>10532.06</v>
      </c>
      <c r="G55" s="372">
        <f t="shared" ref="G55" si="27">ROUND(F55*1.2,2)</f>
        <v>12638.47</v>
      </c>
      <c r="H55" s="374"/>
      <c r="I55" s="372"/>
      <c r="J55" s="372"/>
      <c r="K55" s="374">
        <f t="shared" si="20"/>
        <v>10532.06</v>
      </c>
      <c r="L55" s="372">
        <f t="shared" si="20"/>
        <v>12638.47</v>
      </c>
    </row>
    <row r="56" spans="1:13" ht="18.75" customHeight="1" x14ac:dyDescent="0.25">
      <c r="A56" s="359" t="s">
        <v>310</v>
      </c>
      <c r="B56" s="277" t="s">
        <v>679</v>
      </c>
      <c r="C56" s="375" t="s">
        <v>75</v>
      </c>
      <c r="D56" s="467">
        <v>1</v>
      </c>
      <c r="E56" s="379"/>
      <c r="F56" s="378"/>
      <c r="G56" s="378"/>
      <c r="H56" s="470">
        <f>ROUND(14540/1.2*1.15,2)</f>
        <v>13934.17</v>
      </c>
      <c r="I56" s="378">
        <f t="shared" ref="I56" si="28">ROUND(H56*D56,2)</f>
        <v>13934.17</v>
      </c>
      <c r="J56" s="378">
        <f t="shared" ref="J56" si="29">ROUND(I56*1.2,2)</f>
        <v>16721</v>
      </c>
      <c r="K56" s="379">
        <f t="shared" si="20"/>
        <v>13934.17</v>
      </c>
      <c r="L56" s="378">
        <f t="shared" si="20"/>
        <v>16721</v>
      </c>
      <c r="M56" s="352" t="s">
        <v>143</v>
      </c>
    </row>
    <row r="57" spans="1:13" ht="21.75" customHeight="1" x14ac:dyDescent="0.25">
      <c r="A57" s="369">
        <f>A55+1</f>
        <v>25</v>
      </c>
      <c r="B57" s="113" t="s">
        <v>680</v>
      </c>
      <c r="C57" s="369" t="s">
        <v>84</v>
      </c>
      <c r="D57" s="463">
        <f>2*0.14</f>
        <v>0.28000000000000003</v>
      </c>
      <c r="E57" s="374">
        <v>17265.68</v>
      </c>
      <c r="F57" s="372">
        <f>ROUND(E57*D57,2)</f>
        <v>4834.3900000000003</v>
      </c>
      <c r="G57" s="372">
        <f t="shared" ref="G57" si="30">ROUND(F57*1.2,2)</f>
        <v>5801.27</v>
      </c>
      <c r="H57" s="374"/>
      <c r="I57" s="372"/>
      <c r="J57" s="372"/>
      <c r="K57" s="374">
        <f t="shared" si="20"/>
        <v>4834.3900000000003</v>
      </c>
      <c r="L57" s="372">
        <f t="shared" si="20"/>
        <v>5801.27</v>
      </c>
      <c r="M57" s="394"/>
    </row>
    <row r="58" spans="1:13" ht="20.25" customHeight="1" x14ac:dyDescent="0.25">
      <c r="A58" s="359" t="s">
        <v>346</v>
      </c>
      <c r="B58" s="277" t="s">
        <v>681</v>
      </c>
      <c r="C58" s="375" t="s">
        <v>75</v>
      </c>
      <c r="D58" s="467">
        <v>2</v>
      </c>
      <c r="E58" s="379"/>
      <c r="F58" s="378"/>
      <c r="G58" s="378"/>
      <c r="H58" s="470">
        <f>ROUND(3711.25*1.15,2)</f>
        <v>4267.9399999999996</v>
      </c>
      <c r="I58" s="378">
        <f t="shared" ref="I58" si="31">ROUND(H58*D58,2)</f>
        <v>8535.8799999999992</v>
      </c>
      <c r="J58" s="378">
        <f t="shared" ref="J58" si="32">ROUND(I58*1.2,2)</f>
        <v>10243.06</v>
      </c>
      <c r="K58" s="379">
        <f t="shared" ref="K58:L73" si="33">F58+I58</f>
        <v>8535.8799999999992</v>
      </c>
      <c r="L58" s="378">
        <f t="shared" si="33"/>
        <v>10243.06</v>
      </c>
      <c r="M58" s="352" t="s">
        <v>143</v>
      </c>
    </row>
    <row r="59" spans="1:13" ht="20.25" customHeight="1" x14ac:dyDescent="0.25">
      <c r="A59" s="369">
        <f>A57+1</f>
        <v>26</v>
      </c>
      <c r="B59" s="113" t="s">
        <v>682</v>
      </c>
      <c r="C59" s="369" t="s">
        <v>84</v>
      </c>
      <c r="D59" s="463">
        <v>0.27</v>
      </c>
      <c r="E59" s="374">
        <v>17265.68</v>
      </c>
      <c r="F59" s="372">
        <f>ROUND(E59*D59,2)</f>
        <v>4661.7299999999996</v>
      </c>
      <c r="G59" s="372">
        <f t="shared" ref="G59" si="34">ROUND(F59*1.2,2)</f>
        <v>5594.08</v>
      </c>
      <c r="H59" s="374"/>
      <c r="I59" s="372"/>
      <c r="J59" s="372"/>
      <c r="K59" s="374">
        <f t="shared" si="33"/>
        <v>4661.7299999999996</v>
      </c>
      <c r="L59" s="372">
        <f t="shared" si="33"/>
        <v>5594.08</v>
      </c>
      <c r="M59" s="394"/>
    </row>
    <row r="60" spans="1:13" ht="20.25" customHeight="1" x14ac:dyDescent="0.25">
      <c r="A60" s="359" t="s">
        <v>348</v>
      </c>
      <c r="B60" s="277" t="s">
        <v>683</v>
      </c>
      <c r="C60" s="375" t="s">
        <v>75</v>
      </c>
      <c r="D60" s="467">
        <v>1</v>
      </c>
      <c r="E60" s="379"/>
      <c r="F60" s="378"/>
      <c r="G60" s="378"/>
      <c r="H60" s="470">
        <v>5177.5</v>
      </c>
      <c r="I60" s="378">
        <f t="shared" ref="I60" si="35">ROUND(H60*D60,2)</f>
        <v>5177.5</v>
      </c>
      <c r="J60" s="378">
        <f t="shared" ref="J60" si="36">ROUND(I60*1.2,2)</f>
        <v>6213</v>
      </c>
      <c r="K60" s="379">
        <f t="shared" si="33"/>
        <v>5177.5</v>
      </c>
      <c r="L60" s="378">
        <f t="shared" si="33"/>
        <v>6213</v>
      </c>
      <c r="M60" s="394" t="s">
        <v>666</v>
      </c>
    </row>
    <row r="61" spans="1:13" ht="20.25" customHeight="1" x14ac:dyDescent="0.25">
      <c r="A61" s="369">
        <f>A59+1</f>
        <v>27</v>
      </c>
      <c r="B61" s="113" t="s">
        <v>684</v>
      </c>
      <c r="C61" s="369" t="s">
        <v>84</v>
      </c>
      <c r="D61" s="463">
        <v>1.1299999999999999</v>
      </c>
      <c r="E61" s="374">
        <v>17265.68</v>
      </c>
      <c r="F61" s="372">
        <f>ROUND(E61*D61,2)</f>
        <v>19510.22</v>
      </c>
      <c r="G61" s="372">
        <f t="shared" ref="G61" si="37">ROUND(F61*1.2,2)</f>
        <v>23412.26</v>
      </c>
      <c r="H61" s="374"/>
      <c r="I61" s="372"/>
      <c r="J61" s="372"/>
      <c r="K61" s="374">
        <f t="shared" si="33"/>
        <v>19510.22</v>
      </c>
      <c r="L61" s="372">
        <f t="shared" si="33"/>
        <v>23412.26</v>
      </c>
      <c r="M61" s="394"/>
    </row>
    <row r="62" spans="1:13" ht="20.25" customHeight="1" x14ac:dyDescent="0.25">
      <c r="A62" s="359" t="s">
        <v>353</v>
      </c>
      <c r="B62" s="277" t="s">
        <v>685</v>
      </c>
      <c r="C62" s="375" t="s">
        <v>75</v>
      </c>
      <c r="D62" s="467">
        <v>1</v>
      </c>
      <c r="E62" s="379"/>
      <c r="F62" s="378"/>
      <c r="G62" s="378"/>
      <c r="H62" s="470">
        <v>14212</v>
      </c>
      <c r="I62" s="378">
        <f t="shared" ref="I62" si="38">ROUND(H62*D62,2)</f>
        <v>14212</v>
      </c>
      <c r="J62" s="378">
        <f t="shared" ref="J62" si="39">ROUND(I62*1.2,2)</f>
        <v>17054.400000000001</v>
      </c>
      <c r="K62" s="379">
        <f t="shared" si="33"/>
        <v>14212</v>
      </c>
      <c r="L62" s="378">
        <f t="shared" si="33"/>
        <v>17054.400000000001</v>
      </c>
      <c r="M62" s="394" t="s">
        <v>666</v>
      </c>
    </row>
    <row r="63" spans="1:13" ht="20.25" customHeight="1" x14ac:dyDescent="0.25">
      <c r="A63" s="369">
        <f>A61+1</f>
        <v>28</v>
      </c>
      <c r="B63" s="113" t="s">
        <v>686</v>
      </c>
      <c r="C63" s="369" t="s">
        <v>84</v>
      </c>
      <c r="D63" s="463">
        <f>0.62*2</f>
        <v>1.24</v>
      </c>
      <c r="E63" s="374">
        <v>17265.68</v>
      </c>
      <c r="F63" s="372">
        <f>ROUND(E63*D63,2)</f>
        <v>21409.439999999999</v>
      </c>
      <c r="G63" s="372">
        <f t="shared" ref="G63" si="40">ROUND(F63*1.2,2)</f>
        <v>25691.33</v>
      </c>
      <c r="H63" s="374"/>
      <c r="I63" s="372"/>
      <c r="J63" s="372"/>
      <c r="K63" s="374">
        <f t="shared" si="33"/>
        <v>21409.439999999999</v>
      </c>
      <c r="L63" s="372">
        <f t="shared" si="33"/>
        <v>25691.33</v>
      </c>
    </row>
    <row r="64" spans="1:13" ht="20.25" customHeight="1" x14ac:dyDescent="0.25">
      <c r="A64" s="359" t="s">
        <v>357</v>
      </c>
      <c r="B64" s="277" t="s">
        <v>687</v>
      </c>
      <c r="C64" s="375" t="s">
        <v>75</v>
      </c>
      <c r="D64" s="467">
        <v>2</v>
      </c>
      <c r="E64" s="379"/>
      <c r="F64" s="378"/>
      <c r="G64" s="378"/>
      <c r="H64" s="470">
        <v>5538.5</v>
      </c>
      <c r="I64" s="378">
        <f t="shared" ref="I64" si="41">ROUND(H64*D64,2)</f>
        <v>11077</v>
      </c>
      <c r="J64" s="378">
        <f t="shared" ref="J64" si="42">ROUND(I64*1.2,2)</f>
        <v>13292.4</v>
      </c>
      <c r="K64" s="379">
        <f t="shared" si="33"/>
        <v>11077</v>
      </c>
      <c r="L64" s="378">
        <f t="shared" si="33"/>
        <v>13292.4</v>
      </c>
    </row>
    <row r="65" spans="1:15" ht="20.25" customHeight="1" x14ac:dyDescent="0.25">
      <c r="A65" s="369">
        <f>A63+1</f>
        <v>29</v>
      </c>
      <c r="B65" s="113" t="s">
        <v>688</v>
      </c>
      <c r="C65" s="369" t="s">
        <v>75</v>
      </c>
      <c r="D65" s="466">
        <v>2</v>
      </c>
      <c r="E65" s="374">
        <v>1974.1</v>
      </c>
      <c r="F65" s="372">
        <f>ROUND(E65*D65,2)</f>
        <v>3948.2</v>
      </c>
      <c r="G65" s="372">
        <f t="shared" ref="G65" si="43">ROUND(F65*1.2,2)</f>
        <v>4737.84</v>
      </c>
      <c r="H65" s="374"/>
      <c r="I65" s="372"/>
      <c r="J65" s="372"/>
      <c r="K65" s="374">
        <f t="shared" si="33"/>
        <v>3948.2</v>
      </c>
      <c r="L65" s="372">
        <f t="shared" si="33"/>
        <v>4737.84</v>
      </c>
      <c r="M65" s="352" t="s">
        <v>689</v>
      </c>
    </row>
    <row r="66" spans="1:15" ht="20.25" customHeight="1" x14ac:dyDescent="0.25">
      <c r="A66" s="359" t="s">
        <v>360</v>
      </c>
      <c r="B66" s="277" t="s">
        <v>690</v>
      </c>
      <c r="C66" s="375" t="s">
        <v>75</v>
      </c>
      <c r="D66" s="467">
        <v>2</v>
      </c>
      <c r="E66" s="379"/>
      <c r="F66" s="378"/>
      <c r="G66" s="378"/>
      <c r="H66" s="470">
        <v>8645</v>
      </c>
      <c r="I66" s="378">
        <f t="shared" ref="I66" si="44">ROUND(H66*D66,2)</f>
        <v>17290</v>
      </c>
      <c r="J66" s="378">
        <f t="shared" ref="J66" si="45">ROUND(I66*1.2,2)</f>
        <v>20748</v>
      </c>
      <c r="K66" s="379">
        <f t="shared" si="33"/>
        <v>17290</v>
      </c>
      <c r="L66" s="378">
        <f t="shared" si="33"/>
        <v>20748</v>
      </c>
    </row>
    <row r="67" spans="1:15" ht="18" customHeight="1" x14ac:dyDescent="0.25">
      <c r="A67" s="471">
        <f>A65+1</f>
        <v>30</v>
      </c>
      <c r="B67" s="113" t="s">
        <v>691</v>
      </c>
      <c r="C67" s="369" t="s">
        <v>75</v>
      </c>
      <c r="D67" s="466">
        <v>2</v>
      </c>
      <c r="E67" s="374">
        <v>3050.45</v>
      </c>
      <c r="F67" s="372">
        <f>ROUND(E67*D67,2)</f>
        <v>6100.9</v>
      </c>
      <c r="G67" s="372">
        <f t="shared" ref="G67" si="46">ROUND(F67*1.2,2)</f>
        <v>7321.08</v>
      </c>
      <c r="H67" s="374"/>
      <c r="I67" s="372"/>
      <c r="J67" s="372"/>
      <c r="K67" s="374">
        <f t="shared" si="33"/>
        <v>6100.9</v>
      </c>
      <c r="L67" s="372">
        <f t="shared" si="33"/>
        <v>7321.08</v>
      </c>
      <c r="M67" s="394"/>
    </row>
    <row r="68" spans="1:15" s="426" customFormat="1" ht="18" customHeight="1" x14ac:dyDescent="0.25">
      <c r="A68" s="432" t="s">
        <v>367</v>
      </c>
      <c r="B68" s="482" t="s">
        <v>692</v>
      </c>
      <c r="C68" s="418" t="s">
        <v>171</v>
      </c>
      <c r="D68" s="483">
        <f>29.1*2</f>
        <v>58.2</v>
      </c>
      <c r="E68" s="431"/>
      <c r="F68" s="430"/>
      <c r="G68" s="430"/>
      <c r="H68" s="484">
        <v>3195</v>
      </c>
      <c r="I68" s="430">
        <f>ROUND(H68*D68,2)</f>
        <v>185949</v>
      </c>
      <c r="J68" s="430">
        <f>ROUND(I68*1.2,2)</f>
        <v>223138.8</v>
      </c>
      <c r="K68" s="431">
        <f t="shared" si="33"/>
        <v>185949</v>
      </c>
      <c r="L68" s="434">
        <f t="shared" si="33"/>
        <v>223138.8</v>
      </c>
      <c r="M68" s="437"/>
      <c r="N68" s="822" t="s">
        <v>971</v>
      </c>
      <c r="O68" s="821">
        <f>L68-3500</f>
        <v>219638.8</v>
      </c>
    </row>
    <row r="69" spans="1:15" ht="18.75" customHeight="1" x14ac:dyDescent="0.25">
      <c r="A69" s="471">
        <f>A67+1</f>
        <v>31</v>
      </c>
      <c r="B69" s="18" t="s">
        <v>543</v>
      </c>
      <c r="C69" s="369" t="s">
        <v>77</v>
      </c>
      <c r="D69" s="370">
        <v>1.98</v>
      </c>
      <c r="E69" s="374">
        <v>144.4</v>
      </c>
      <c r="F69" s="372">
        <f>ROUND(E69*D69,2)</f>
        <v>285.91000000000003</v>
      </c>
      <c r="G69" s="372">
        <f>ROUND(F69*1.2,2)</f>
        <v>343.09</v>
      </c>
      <c r="H69" s="374"/>
      <c r="I69" s="372"/>
      <c r="J69" s="372"/>
      <c r="K69" s="374">
        <f t="shared" si="33"/>
        <v>285.91000000000003</v>
      </c>
      <c r="L69" s="372">
        <f t="shared" si="33"/>
        <v>343.09</v>
      </c>
      <c r="M69" s="394" t="s">
        <v>544</v>
      </c>
    </row>
    <row r="70" spans="1:15" ht="18.75" customHeight="1" x14ac:dyDescent="0.25">
      <c r="A70" s="359" t="s">
        <v>226</v>
      </c>
      <c r="B70" s="277" t="s">
        <v>545</v>
      </c>
      <c r="C70" s="375" t="s">
        <v>171</v>
      </c>
      <c r="D70" s="464">
        <f>D69*0.15</f>
        <v>0.29699999999999999</v>
      </c>
      <c r="E70" s="379"/>
      <c r="F70" s="378"/>
      <c r="G70" s="378"/>
      <c r="H70" s="379">
        <v>149.15</v>
      </c>
      <c r="I70" s="378">
        <f>ROUND(H70*D70,2)</f>
        <v>44.3</v>
      </c>
      <c r="J70" s="378">
        <f>ROUND(I70*1.2,2)</f>
        <v>53.16</v>
      </c>
      <c r="K70" s="379">
        <f t="shared" si="33"/>
        <v>44.3</v>
      </c>
      <c r="L70" s="378">
        <f t="shared" si="33"/>
        <v>53.16</v>
      </c>
    </row>
    <row r="71" spans="1:15" ht="18.75" customHeight="1" x14ac:dyDescent="0.25">
      <c r="A71" s="369">
        <f>A69+1</f>
        <v>32</v>
      </c>
      <c r="B71" s="18" t="s">
        <v>546</v>
      </c>
      <c r="C71" s="369" t="s">
        <v>77</v>
      </c>
      <c r="D71" s="370">
        <v>1.98</v>
      </c>
      <c r="E71" s="374">
        <f>144.4*2</f>
        <v>288.8</v>
      </c>
      <c r="F71" s="372">
        <f>ROUND(E71*D71,2)</f>
        <v>571.82000000000005</v>
      </c>
      <c r="G71" s="372">
        <f>ROUND(F71*1.2,2)</f>
        <v>686.18</v>
      </c>
      <c r="H71" s="374"/>
      <c r="I71" s="372"/>
      <c r="J71" s="372"/>
      <c r="K71" s="374">
        <f t="shared" si="33"/>
        <v>571.82000000000005</v>
      </c>
      <c r="L71" s="372">
        <f t="shared" si="33"/>
        <v>686.18</v>
      </c>
      <c r="M71" s="394" t="s">
        <v>544</v>
      </c>
    </row>
    <row r="72" spans="1:15" ht="18.75" customHeight="1" x14ac:dyDescent="0.25">
      <c r="A72" s="359" t="s">
        <v>542</v>
      </c>
      <c r="B72" s="277" t="s">
        <v>547</v>
      </c>
      <c r="C72" s="375" t="s">
        <v>171</v>
      </c>
      <c r="D72" s="464">
        <f>D71*0.32</f>
        <v>0.63360000000000005</v>
      </c>
      <c r="E72" s="379"/>
      <c r="F72" s="378"/>
      <c r="G72" s="378"/>
      <c r="H72" s="379">
        <v>165.3</v>
      </c>
      <c r="I72" s="378">
        <f>ROUND(H72*D72,2)</f>
        <v>104.73</v>
      </c>
      <c r="J72" s="378">
        <f>ROUND(I72*1.2,2)</f>
        <v>125.68</v>
      </c>
      <c r="K72" s="379">
        <f t="shared" si="33"/>
        <v>104.73</v>
      </c>
      <c r="L72" s="378">
        <f t="shared" si="33"/>
        <v>125.68</v>
      </c>
    </row>
    <row r="73" spans="1:15" ht="27" customHeight="1" x14ac:dyDescent="0.25">
      <c r="A73" s="369">
        <f>A71+1</f>
        <v>33</v>
      </c>
      <c r="B73" s="113" t="s">
        <v>661</v>
      </c>
      <c r="C73" s="369" t="s">
        <v>77</v>
      </c>
      <c r="D73" s="463">
        <v>30.31</v>
      </c>
      <c r="E73" s="374">
        <v>144.4</v>
      </c>
      <c r="F73" s="372">
        <f>ROUND(E73*D73,2)</f>
        <v>4376.76</v>
      </c>
      <c r="G73" s="372">
        <f>ROUND(F73*1.2,2)</f>
        <v>5252.11</v>
      </c>
      <c r="H73" s="374"/>
      <c r="I73" s="372"/>
      <c r="J73" s="372"/>
      <c r="K73" s="374">
        <f t="shared" si="33"/>
        <v>4376.76</v>
      </c>
      <c r="L73" s="372">
        <f t="shared" si="33"/>
        <v>5252.11</v>
      </c>
      <c r="M73" s="394"/>
    </row>
    <row r="74" spans="1:15" ht="18" customHeight="1" x14ac:dyDescent="0.25">
      <c r="A74" s="359" t="s">
        <v>235</v>
      </c>
      <c r="B74" s="277" t="s">
        <v>662</v>
      </c>
      <c r="C74" s="375" t="s">
        <v>462</v>
      </c>
      <c r="D74" s="464">
        <f>ROUND(D73*0.3*20/16,2)</f>
        <v>11.37</v>
      </c>
      <c r="E74" s="379"/>
      <c r="F74" s="378"/>
      <c r="G74" s="378"/>
      <c r="H74" s="452">
        <v>237.5</v>
      </c>
      <c r="I74" s="378">
        <f>ROUND(H74*D74,2)</f>
        <v>2700.38</v>
      </c>
      <c r="J74" s="378">
        <f>ROUND(I74*1.2,2)</f>
        <v>3240.46</v>
      </c>
      <c r="K74" s="379">
        <f t="shared" ref="K74:L76" si="47">F74+I74</f>
        <v>2700.38</v>
      </c>
      <c r="L74" s="378">
        <f t="shared" si="47"/>
        <v>3240.46</v>
      </c>
    </row>
    <row r="75" spans="1:15" ht="30.75" customHeight="1" x14ac:dyDescent="0.25">
      <c r="A75" s="369">
        <f>A73+1</f>
        <v>34</v>
      </c>
      <c r="B75" s="18" t="s">
        <v>693</v>
      </c>
      <c r="C75" s="369" t="s">
        <v>77</v>
      </c>
      <c r="D75" s="463">
        <v>30.31</v>
      </c>
      <c r="E75" s="374">
        <v>299.76</v>
      </c>
      <c r="F75" s="372">
        <f>ROUND(E75*D75,2)</f>
        <v>9085.73</v>
      </c>
      <c r="G75" s="372">
        <f>ROUND(F75*1.2,2)</f>
        <v>10902.88</v>
      </c>
      <c r="H75" s="374"/>
      <c r="I75" s="372"/>
      <c r="J75" s="372"/>
      <c r="K75" s="374">
        <f t="shared" si="47"/>
        <v>9085.73</v>
      </c>
      <c r="L75" s="372">
        <f t="shared" si="47"/>
        <v>10902.88</v>
      </c>
    </row>
    <row r="76" spans="1:15" x14ac:dyDescent="0.25">
      <c r="A76" s="359" t="s">
        <v>237</v>
      </c>
      <c r="B76" s="277" t="s">
        <v>674</v>
      </c>
      <c r="C76" s="375" t="s">
        <v>171</v>
      </c>
      <c r="D76" s="464">
        <f>D75*2.5*2</f>
        <v>151.54999999999998</v>
      </c>
      <c r="E76" s="379"/>
      <c r="F76" s="378"/>
      <c r="G76" s="378"/>
      <c r="H76" s="452">
        <v>296.39999999999998</v>
      </c>
      <c r="I76" s="378">
        <f>ROUND(H76*D76,2)</f>
        <v>44919.42</v>
      </c>
      <c r="J76" s="378">
        <f>ROUND(I76*1.2,2)</f>
        <v>53903.3</v>
      </c>
      <c r="K76" s="379">
        <f t="shared" si="47"/>
        <v>44919.42</v>
      </c>
      <c r="L76" s="378">
        <f t="shared" si="47"/>
        <v>53903.3</v>
      </c>
    </row>
    <row r="77" spans="1:15" ht="24" customHeight="1" x14ac:dyDescent="0.25">
      <c r="A77" s="359"/>
      <c r="B77" s="360" t="s">
        <v>481</v>
      </c>
      <c r="C77" s="361"/>
      <c r="D77" s="473"/>
      <c r="E77" s="367"/>
      <c r="F77" s="366"/>
      <c r="G77" s="366"/>
      <c r="H77" s="366"/>
      <c r="I77" s="366"/>
      <c r="J77" s="366"/>
      <c r="K77" s="367"/>
      <c r="L77" s="366"/>
    </row>
    <row r="78" spans="1:15" ht="24" customHeight="1" x14ac:dyDescent="0.25">
      <c r="A78" s="369">
        <f>A75+1</f>
        <v>35</v>
      </c>
      <c r="B78" s="113" t="s">
        <v>694</v>
      </c>
      <c r="C78" s="369" t="s">
        <v>75</v>
      </c>
      <c r="D78" s="466">
        <v>12</v>
      </c>
      <c r="E78" s="374">
        <v>2390.1999999999998</v>
      </c>
      <c r="F78" s="372">
        <f>ROUND(E78*D78,2)</f>
        <v>28682.400000000001</v>
      </c>
      <c r="G78" s="372">
        <f t="shared" ref="G78:G79" si="48">ROUND(F78*1.2,2)</f>
        <v>34418.879999999997</v>
      </c>
      <c r="H78" s="374"/>
      <c r="I78" s="372"/>
      <c r="J78" s="372"/>
      <c r="K78" s="374">
        <f t="shared" ref="K78:L93" si="49">F78+I78</f>
        <v>28682.400000000001</v>
      </c>
      <c r="L78" s="372">
        <f t="shared" si="49"/>
        <v>34418.879999999997</v>
      </c>
      <c r="M78" s="394" t="s">
        <v>666</v>
      </c>
    </row>
    <row r="79" spans="1:15" ht="24" customHeight="1" x14ac:dyDescent="0.25">
      <c r="A79" s="369">
        <f>A78+1</f>
        <v>36</v>
      </c>
      <c r="B79" s="113" t="s">
        <v>695</v>
      </c>
      <c r="C79" s="369" t="s">
        <v>72</v>
      </c>
      <c r="D79" s="463">
        <v>5.36</v>
      </c>
      <c r="E79" s="374">
        <v>14297.86</v>
      </c>
      <c r="F79" s="372">
        <f>ROUND(E79*D79,2)</f>
        <v>76636.53</v>
      </c>
      <c r="G79" s="372">
        <f t="shared" si="48"/>
        <v>91963.839999999997</v>
      </c>
      <c r="H79" s="374"/>
      <c r="I79" s="372"/>
      <c r="J79" s="372"/>
      <c r="K79" s="374">
        <f t="shared" si="49"/>
        <v>76636.53</v>
      </c>
      <c r="L79" s="372">
        <f t="shared" si="49"/>
        <v>91963.839999999997</v>
      </c>
      <c r="M79" s="394"/>
    </row>
    <row r="80" spans="1:15" ht="24" customHeight="1" x14ac:dyDescent="0.25">
      <c r="A80" s="359" t="s">
        <v>374</v>
      </c>
      <c r="B80" s="277" t="s">
        <v>696</v>
      </c>
      <c r="C80" s="375" t="s">
        <v>80</v>
      </c>
      <c r="D80" s="378">
        <f>1.02*D79*83.29/1000</f>
        <v>0.45536308800000008</v>
      </c>
      <c r="E80" s="379"/>
      <c r="F80" s="378"/>
      <c r="G80" s="378"/>
      <c r="H80" s="379">
        <v>84550</v>
      </c>
      <c r="I80" s="378">
        <f t="shared" ref="I80" si="50">ROUND(H80*D80,2)</f>
        <v>38500.949999999997</v>
      </c>
      <c r="J80" s="378">
        <f t="shared" ref="J80" si="51">ROUND(I80*1.2,2)</f>
        <v>46201.14</v>
      </c>
      <c r="K80" s="379">
        <f t="shared" si="49"/>
        <v>38500.949999999997</v>
      </c>
      <c r="L80" s="378">
        <f t="shared" si="49"/>
        <v>46201.14</v>
      </c>
      <c r="M80" s="474"/>
    </row>
    <row r="81" spans="1:13" ht="23.25" customHeight="1" x14ac:dyDescent="0.25">
      <c r="A81" s="404">
        <f>A79+1</f>
        <v>37</v>
      </c>
      <c r="B81" s="209" t="s">
        <v>697</v>
      </c>
      <c r="C81" s="404" t="s">
        <v>84</v>
      </c>
      <c r="D81" s="475">
        <v>0.66</v>
      </c>
      <c r="E81" s="409">
        <v>80533.5</v>
      </c>
      <c r="F81" s="407">
        <f>ROUND(E81*D81,2)</f>
        <v>53152.11</v>
      </c>
      <c r="G81" s="407">
        <f t="shared" ref="G81" si="52">ROUND(F81*1.2,2)</f>
        <v>63782.53</v>
      </c>
      <c r="H81" s="409"/>
      <c r="I81" s="407"/>
      <c r="J81" s="407"/>
      <c r="K81" s="409">
        <f t="shared" si="49"/>
        <v>53152.11</v>
      </c>
      <c r="L81" s="407">
        <f t="shared" si="49"/>
        <v>63782.53</v>
      </c>
      <c r="M81" s="474"/>
    </row>
    <row r="82" spans="1:13" ht="24" customHeight="1" x14ac:dyDescent="0.25">
      <c r="A82" s="359" t="s">
        <v>552</v>
      </c>
      <c r="B82" s="277" t="s">
        <v>698</v>
      </c>
      <c r="C82" s="375" t="s">
        <v>84</v>
      </c>
      <c r="D82" s="476">
        <v>0.66</v>
      </c>
      <c r="E82" s="379"/>
      <c r="F82" s="378"/>
      <c r="G82" s="378"/>
      <c r="H82" s="379">
        <f>ROUND(4616/1.2*1.15,2)</f>
        <v>4423.67</v>
      </c>
      <c r="I82" s="378">
        <f>ROUND(H82*D82,2)</f>
        <v>2919.62</v>
      </c>
      <c r="J82" s="378">
        <f>ROUND(I82*1.2,2)</f>
        <v>3503.54</v>
      </c>
      <c r="K82" s="379">
        <f t="shared" si="49"/>
        <v>2919.62</v>
      </c>
      <c r="L82" s="378">
        <f t="shared" si="49"/>
        <v>3503.54</v>
      </c>
      <c r="M82" s="394" t="s">
        <v>143</v>
      </c>
    </row>
    <row r="83" spans="1:13" ht="24" customHeight="1" x14ac:dyDescent="0.25">
      <c r="A83" s="369">
        <f>A81+1</f>
        <v>38</v>
      </c>
      <c r="B83" s="113" t="s">
        <v>699</v>
      </c>
      <c r="C83" s="369" t="s">
        <v>72</v>
      </c>
      <c r="D83" s="463">
        <v>1.26</v>
      </c>
      <c r="E83" s="374">
        <v>14297.86</v>
      </c>
      <c r="F83" s="372">
        <f>ROUND(E83*D83,2)</f>
        <v>18015.3</v>
      </c>
      <c r="G83" s="372">
        <f t="shared" ref="G83" si="53">ROUND(F83*1.2,2)</f>
        <v>21618.36</v>
      </c>
      <c r="H83" s="374"/>
      <c r="I83" s="372"/>
      <c r="J83" s="372"/>
      <c r="K83" s="374">
        <f t="shared" si="49"/>
        <v>18015.3</v>
      </c>
      <c r="L83" s="372">
        <f t="shared" si="49"/>
        <v>21618.36</v>
      </c>
      <c r="M83" s="474"/>
    </row>
    <row r="84" spans="1:13" ht="24" customHeight="1" x14ac:dyDescent="0.25">
      <c r="A84" s="359" t="s">
        <v>244</v>
      </c>
      <c r="B84" s="277" t="s">
        <v>696</v>
      </c>
      <c r="C84" s="375" t="s">
        <v>80</v>
      </c>
      <c r="D84" s="378">
        <f>1.02*D83*83.29/1000</f>
        <v>0.10704430800000002</v>
      </c>
      <c r="E84" s="379"/>
      <c r="F84" s="378"/>
      <c r="G84" s="378"/>
      <c r="H84" s="379">
        <v>84550</v>
      </c>
      <c r="I84" s="378">
        <f t="shared" ref="I84" si="54">ROUND(H84*D84,2)</f>
        <v>9050.6</v>
      </c>
      <c r="J84" s="378">
        <f t="shared" ref="J84" si="55">ROUND(I84*1.2,2)</f>
        <v>10860.72</v>
      </c>
      <c r="K84" s="379">
        <f t="shared" si="49"/>
        <v>9050.6</v>
      </c>
      <c r="L84" s="378">
        <f t="shared" si="49"/>
        <v>10860.72</v>
      </c>
      <c r="M84" s="474"/>
    </row>
    <row r="85" spans="1:13" ht="30.75" customHeight="1" x14ac:dyDescent="0.25">
      <c r="A85" s="404">
        <f>A83+1</f>
        <v>39</v>
      </c>
      <c r="B85" s="209" t="s">
        <v>700</v>
      </c>
      <c r="C85" s="404" t="s">
        <v>75</v>
      </c>
      <c r="D85" s="456">
        <v>2</v>
      </c>
      <c r="E85" s="409">
        <v>8327.42</v>
      </c>
      <c r="F85" s="407">
        <f t="shared" ref="F85:F87" si="56">ROUND(E85*D85,2)</f>
        <v>16654.84</v>
      </c>
      <c r="G85" s="407">
        <f t="shared" ref="G85:G88" si="57">ROUND(F85*1.2,2)</f>
        <v>19985.810000000001</v>
      </c>
      <c r="H85" s="409"/>
      <c r="I85" s="407"/>
      <c r="J85" s="407"/>
      <c r="K85" s="409">
        <f t="shared" si="49"/>
        <v>16654.84</v>
      </c>
      <c r="L85" s="407">
        <f t="shared" si="49"/>
        <v>19985.810000000001</v>
      </c>
      <c r="M85" s="394"/>
    </row>
    <row r="86" spans="1:13" ht="24" customHeight="1" x14ac:dyDescent="0.25">
      <c r="A86" s="404">
        <f>A85+1</f>
        <v>40</v>
      </c>
      <c r="B86" s="209" t="s">
        <v>701</v>
      </c>
      <c r="C86" s="404" t="s">
        <v>75</v>
      </c>
      <c r="D86" s="456">
        <v>7</v>
      </c>
      <c r="E86" s="409">
        <v>8327.42</v>
      </c>
      <c r="F86" s="407">
        <f t="shared" si="56"/>
        <v>58291.94</v>
      </c>
      <c r="G86" s="407">
        <f t="shared" si="57"/>
        <v>69950.33</v>
      </c>
      <c r="H86" s="409"/>
      <c r="I86" s="407"/>
      <c r="J86" s="407"/>
      <c r="K86" s="409">
        <f t="shared" si="49"/>
        <v>58291.94</v>
      </c>
      <c r="L86" s="407">
        <f t="shared" si="49"/>
        <v>69950.33</v>
      </c>
      <c r="M86" s="394"/>
    </row>
    <row r="87" spans="1:13" ht="24" customHeight="1" x14ac:dyDescent="0.25">
      <c r="A87" s="404">
        <f t="shared" ref="A87:A88" si="58">A86+1</f>
        <v>41</v>
      </c>
      <c r="B87" s="209" t="s">
        <v>702</v>
      </c>
      <c r="C87" s="404" t="s">
        <v>75</v>
      </c>
      <c r="D87" s="456">
        <v>3</v>
      </c>
      <c r="E87" s="409">
        <v>8327.42</v>
      </c>
      <c r="F87" s="407">
        <f t="shared" si="56"/>
        <v>24982.26</v>
      </c>
      <c r="G87" s="407">
        <f t="shared" si="57"/>
        <v>29978.71</v>
      </c>
      <c r="H87" s="409"/>
      <c r="I87" s="407"/>
      <c r="J87" s="407"/>
      <c r="K87" s="409">
        <f t="shared" si="49"/>
        <v>24982.26</v>
      </c>
      <c r="L87" s="407">
        <f t="shared" si="49"/>
        <v>29978.71</v>
      </c>
      <c r="M87" s="394"/>
    </row>
    <row r="88" spans="1:13" ht="24" customHeight="1" x14ac:dyDescent="0.25">
      <c r="A88" s="369">
        <f t="shared" si="58"/>
        <v>42</v>
      </c>
      <c r="B88" s="113" t="s">
        <v>703</v>
      </c>
      <c r="C88" s="369" t="s">
        <v>72</v>
      </c>
      <c r="D88" s="463">
        <v>4.8600000000000003</v>
      </c>
      <c r="E88" s="374">
        <v>2175.65</v>
      </c>
      <c r="F88" s="372">
        <f>ROUND(E88*D88,2)</f>
        <v>10573.66</v>
      </c>
      <c r="G88" s="372">
        <f t="shared" si="57"/>
        <v>12688.39</v>
      </c>
      <c r="H88" s="374"/>
      <c r="I88" s="372"/>
      <c r="J88" s="372"/>
      <c r="K88" s="374">
        <f t="shared" si="49"/>
        <v>10573.66</v>
      </c>
      <c r="L88" s="372">
        <f t="shared" si="49"/>
        <v>12688.39</v>
      </c>
      <c r="M88" s="394"/>
    </row>
    <row r="89" spans="1:13" ht="24" customHeight="1" x14ac:dyDescent="0.25">
      <c r="A89" s="359" t="s">
        <v>704</v>
      </c>
      <c r="B89" s="277" t="s">
        <v>705</v>
      </c>
      <c r="C89" s="375" t="s">
        <v>72</v>
      </c>
      <c r="D89" s="378">
        <f>1.02*D88</f>
        <v>4.9572000000000003</v>
      </c>
      <c r="E89" s="379"/>
      <c r="F89" s="378"/>
      <c r="G89" s="378"/>
      <c r="H89" s="379">
        <v>3644.2</v>
      </c>
      <c r="I89" s="378">
        <f t="shared" ref="I89" si="59">ROUND(H89*D89,2)</f>
        <v>18065.03</v>
      </c>
      <c r="J89" s="378">
        <f t="shared" ref="J89" si="60">ROUND(I89*1.2,2)</f>
        <v>21678.04</v>
      </c>
      <c r="K89" s="379">
        <f t="shared" si="49"/>
        <v>18065.03</v>
      </c>
      <c r="L89" s="378">
        <f t="shared" si="49"/>
        <v>21678.04</v>
      </c>
    </row>
    <row r="90" spans="1:13" ht="24" customHeight="1" x14ac:dyDescent="0.25">
      <c r="A90" s="369">
        <f>A88+1</f>
        <v>43</v>
      </c>
      <c r="B90" s="113" t="s">
        <v>706</v>
      </c>
      <c r="C90" s="369" t="s">
        <v>72</v>
      </c>
      <c r="D90" s="477">
        <v>120</v>
      </c>
      <c r="E90" s="374">
        <v>2175.65</v>
      </c>
      <c r="F90" s="372">
        <f>ROUND(E90*D90,2)</f>
        <v>261078</v>
      </c>
      <c r="G90" s="372">
        <f t="shared" ref="G90" si="61">ROUND(F90*1.2,2)</f>
        <v>313293.59999999998</v>
      </c>
      <c r="H90" s="374"/>
      <c r="I90" s="372"/>
      <c r="J90" s="372"/>
      <c r="K90" s="374">
        <f t="shared" si="49"/>
        <v>261078</v>
      </c>
      <c r="L90" s="372">
        <f t="shared" si="49"/>
        <v>313293.59999999998</v>
      </c>
    </row>
    <row r="91" spans="1:13" ht="24" customHeight="1" x14ac:dyDescent="0.25">
      <c r="A91" s="359" t="s">
        <v>707</v>
      </c>
      <c r="B91" s="277" t="s">
        <v>705</v>
      </c>
      <c r="C91" s="375" t="s">
        <v>72</v>
      </c>
      <c r="D91" s="378">
        <f>1.02*D90</f>
        <v>122.4</v>
      </c>
      <c r="E91" s="379"/>
      <c r="F91" s="378"/>
      <c r="G91" s="378"/>
      <c r="H91" s="379">
        <v>3644.2</v>
      </c>
      <c r="I91" s="378">
        <f t="shared" ref="I91" si="62">ROUND(H91*D91,2)</f>
        <v>446050.08</v>
      </c>
      <c r="J91" s="378">
        <f t="shared" ref="J91" si="63">ROUND(I91*1.2,2)</f>
        <v>535260.1</v>
      </c>
      <c r="K91" s="379">
        <f t="shared" si="49"/>
        <v>446050.08</v>
      </c>
      <c r="L91" s="378">
        <f t="shared" si="49"/>
        <v>535260.1</v>
      </c>
    </row>
    <row r="92" spans="1:13" ht="24" customHeight="1" x14ac:dyDescent="0.25">
      <c r="A92" s="369">
        <f>A90+1</f>
        <v>44</v>
      </c>
      <c r="B92" s="113" t="s">
        <v>708</v>
      </c>
      <c r="C92" s="369" t="s">
        <v>75</v>
      </c>
      <c r="D92" s="466">
        <v>8</v>
      </c>
      <c r="E92" s="374">
        <v>4223.7</v>
      </c>
      <c r="F92" s="372">
        <f>ROUND(E92*D92,2)</f>
        <v>33789.599999999999</v>
      </c>
      <c r="G92" s="372">
        <f t="shared" ref="G92" si="64">ROUND(F92*1.2,2)</f>
        <v>40547.519999999997</v>
      </c>
      <c r="H92" s="374"/>
      <c r="I92" s="372"/>
      <c r="J92" s="372"/>
      <c r="K92" s="374">
        <f t="shared" si="49"/>
        <v>33789.599999999999</v>
      </c>
      <c r="L92" s="372">
        <f t="shared" si="49"/>
        <v>40547.519999999997</v>
      </c>
    </row>
    <row r="93" spans="1:13" ht="24" customHeight="1" x14ac:dyDescent="0.25">
      <c r="A93" s="359" t="s">
        <v>709</v>
      </c>
      <c r="B93" s="277" t="s">
        <v>710</v>
      </c>
      <c r="C93" s="375" t="s">
        <v>75</v>
      </c>
      <c r="D93" s="478">
        <v>8</v>
      </c>
      <c r="E93" s="379"/>
      <c r="F93" s="378"/>
      <c r="G93" s="378"/>
      <c r="H93" s="379">
        <v>17412.55</v>
      </c>
      <c r="I93" s="378">
        <f t="shared" ref="I93" si="65">ROUND(H93*D93,2)</f>
        <v>139300.4</v>
      </c>
      <c r="J93" s="378">
        <f t="shared" ref="J93" si="66">ROUND(I93*1.2,2)</f>
        <v>167160.48000000001</v>
      </c>
      <c r="K93" s="379">
        <f t="shared" si="49"/>
        <v>139300.4</v>
      </c>
      <c r="L93" s="378">
        <f t="shared" si="49"/>
        <v>167160.48000000001</v>
      </c>
    </row>
    <row r="94" spans="1:13" ht="24" customHeight="1" x14ac:dyDescent="0.25">
      <c r="A94" s="369">
        <f>A92+1</f>
        <v>45</v>
      </c>
      <c r="B94" s="113" t="s">
        <v>711</v>
      </c>
      <c r="C94" s="369" t="s">
        <v>308</v>
      </c>
      <c r="D94" s="477">
        <v>28</v>
      </c>
      <c r="E94" s="374">
        <v>1773.42</v>
      </c>
      <c r="F94" s="372">
        <f>ROUND(E94*D94,2)</f>
        <v>49655.76</v>
      </c>
      <c r="G94" s="372">
        <f t="shared" ref="G94" si="67">ROUND(F94*1.2,2)</f>
        <v>59586.91</v>
      </c>
      <c r="H94" s="374"/>
      <c r="I94" s="372"/>
      <c r="J94" s="372"/>
      <c r="K94" s="374">
        <f t="shared" ref="K94:L109" si="68">F94+I94</f>
        <v>49655.76</v>
      </c>
      <c r="L94" s="372">
        <f t="shared" si="68"/>
        <v>59586.91</v>
      </c>
    </row>
    <row r="95" spans="1:13" ht="31.5" customHeight="1" x14ac:dyDescent="0.25">
      <c r="A95" s="359" t="s">
        <v>712</v>
      </c>
      <c r="B95" s="277" t="s">
        <v>713</v>
      </c>
      <c r="C95" s="375" t="s">
        <v>308</v>
      </c>
      <c r="D95" s="478">
        <v>28</v>
      </c>
      <c r="E95" s="379"/>
      <c r="F95" s="378"/>
      <c r="G95" s="378"/>
      <c r="H95" s="379">
        <v>1721.4</v>
      </c>
      <c r="I95" s="378">
        <f>ROUND(H95*D95,2)</f>
        <v>48199.199999999997</v>
      </c>
      <c r="J95" s="378">
        <f>ROUND(I95*1.2,2)</f>
        <v>57839.040000000001</v>
      </c>
      <c r="K95" s="379">
        <f t="shared" si="68"/>
        <v>48199.199999999997</v>
      </c>
      <c r="L95" s="378">
        <f t="shared" si="68"/>
        <v>57839.040000000001</v>
      </c>
    </row>
    <row r="96" spans="1:13" ht="24" customHeight="1" x14ac:dyDescent="0.25">
      <c r="A96" s="369">
        <f>A94+1</f>
        <v>46</v>
      </c>
      <c r="B96" s="113" t="s">
        <v>706</v>
      </c>
      <c r="C96" s="369" t="s">
        <v>72</v>
      </c>
      <c r="D96" s="372">
        <v>8.58</v>
      </c>
      <c r="E96" s="374">
        <v>2175.65</v>
      </c>
      <c r="F96" s="372">
        <f>ROUND(E96*D96,2)</f>
        <v>18667.080000000002</v>
      </c>
      <c r="G96" s="372">
        <f t="shared" ref="G96" si="69">ROUND(F96*1.2,2)</f>
        <v>22400.5</v>
      </c>
      <c r="H96" s="374"/>
      <c r="I96" s="372"/>
      <c r="J96" s="372"/>
      <c r="K96" s="374">
        <f t="shared" si="68"/>
        <v>18667.080000000002</v>
      </c>
      <c r="L96" s="372">
        <f t="shared" si="68"/>
        <v>22400.5</v>
      </c>
    </row>
    <row r="97" spans="1:15" ht="24" customHeight="1" x14ac:dyDescent="0.25">
      <c r="A97" s="359" t="s">
        <v>714</v>
      </c>
      <c r="B97" s="277" t="s">
        <v>705</v>
      </c>
      <c r="C97" s="375" t="s">
        <v>72</v>
      </c>
      <c r="D97" s="378">
        <f>1.02*D96</f>
        <v>8.7515999999999998</v>
      </c>
      <c r="E97" s="379"/>
      <c r="F97" s="378"/>
      <c r="G97" s="378"/>
      <c r="H97" s="379">
        <v>3644.2</v>
      </c>
      <c r="I97" s="378">
        <f t="shared" ref="I97" si="70">ROUND(H97*D97,2)</f>
        <v>31892.58</v>
      </c>
      <c r="J97" s="378">
        <f t="shared" ref="J97" si="71">ROUND(I97*1.2,2)</f>
        <v>38271.1</v>
      </c>
      <c r="K97" s="379">
        <f t="shared" si="68"/>
        <v>31892.58</v>
      </c>
      <c r="L97" s="378">
        <f t="shared" si="68"/>
        <v>38271.1</v>
      </c>
    </row>
    <row r="98" spans="1:15" ht="24" customHeight="1" x14ac:dyDescent="0.25">
      <c r="A98" s="369">
        <f>A96+1</f>
        <v>47</v>
      </c>
      <c r="B98" s="113" t="s">
        <v>708</v>
      </c>
      <c r="C98" s="369" t="s">
        <v>75</v>
      </c>
      <c r="D98" s="466">
        <v>6</v>
      </c>
      <c r="E98" s="374">
        <v>4223.7</v>
      </c>
      <c r="F98" s="372">
        <f>ROUND(E98*D98,2)</f>
        <v>25342.2</v>
      </c>
      <c r="G98" s="372">
        <f t="shared" ref="G98" si="72">ROUND(F98*1.2,2)</f>
        <v>30410.639999999999</v>
      </c>
      <c r="H98" s="374"/>
      <c r="I98" s="372"/>
      <c r="J98" s="372"/>
      <c r="K98" s="374">
        <f t="shared" si="68"/>
        <v>25342.2</v>
      </c>
      <c r="L98" s="372">
        <f t="shared" si="68"/>
        <v>30410.639999999999</v>
      </c>
    </row>
    <row r="99" spans="1:15" ht="24" customHeight="1" x14ac:dyDescent="0.25">
      <c r="A99" s="359" t="s">
        <v>394</v>
      </c>
      <c r="B99" s="277" t="s">
        <v>710</v>
      </c>
      <c r="C99" s="375" t="s">
        <v>75</v>
      </c>
      <c r="D99" s="478">
        <v>6</v>
      </c>
      <c r="E99" s="379"/>
      <c r="F99" s="378"/>
      <c r="G99" s="378"/>
      <c r="H99" s="379">
        <v>17412.55</v>
      </c>
      <c r="I99" s="378">
        <f t="shared" ref="I99" si="73">ROUND(H99*D99,2)</f>
        <v>104475.3</v>
      </c>
      <c r="J99" s="378">
        <f t="shared" ref="J99" si="74">ROUND(I99*1.2,2)</f>
        <v>125370.36</v>
      </c>
      <c r="K99" s="379">
        <f t="shared" si="68"/>
        <v>104475.3</v>
      </c>
      <c r="L99" s="378">
        <f t="shared" si="68"/>
        <v>125370.36</v>
      </c>
    </row>
    <row r="100" spans="1:15" ht="23.25" customHeight="1" x14ac:dyDescent="0.25">
      <c r="A100" s="404">
        <f>A98+1</f>
        <v>48</v>
      </c>
      <c r="B100" s="209" t="s">
        <v>715</v>
      </c>
      <c r="C100" s="404" t="s">
        <v>84</v>
      </c>
      <c r="D100" s="407">
        <v>0.52</v>
      </c>
      <c r="E100" s="409">
        <v>80533.5</v>
      </c>
      <c r="F100" s="407">
        <f>ROUND(E100*D100,2)</f>
        <v>41877.42</v>
      </c>
      <c r="G100" s="407">
        <f t="shared" ref="G100" si="75">ROUND(F100*1.2,2)</f>
        <v>50252.9</v>
      </c>
      <c r="H100" s="409"/>
      <c r="I100" s="407"/>
      <c r="J100" s="407"/>
      <c r="K100" s="409">
        <f t="shared" si="68"/>
        <v>41877.42</v>
      </c>
      <c r="L100" s="407">
        <f t="shared" si="68"/>
        <v>50252.9</v>
      </c>
      <c r="M100" s="394"/>
    </row>
    <row r="101" spans="1:15" ht="24" customHeight="1" x14ac:dyDescent="0.25">
      <c r="A101" s="359" t="s">
        <v>399</v>
      </c>
      <c r="B101" s="277" t="s">
        <v>698</v>
      </c>
      <c r="C101" s="375" t="s">
        <v>84</v>
      </c>
      <c r="D101" s="378">
        <v>0.52</v>
      </c>
      <c r="E101" s="379"/>
      <c r="F101" s="378"/>
      <c r="G101" s="378"/>
      <c r="H101" s="379">
        <f>ROUND(4616/1.2*1.15,2)</f>
        <v>4423.67</v>
      </c>
      <c r="I101" s="378">
        <f>ROUND(H101*D101,2)</f>
        <v>2300.31</v>
      </c>
      <c r="J101" s="378">
        <f>ROUND(I101*1.2,2)</f>
        <v>2760.37</v>
      </c>
      <c r="K101" s="379">
        <f t="shared" si="68"/>
        <v>2300.31</v>
      </c>
      <c r="L101" s="378">
        <f t="shared" si="68"/>
        <v>2760.37</v>
      </c>
      <c r="M101" s="394" t="s">
        <v>143</v>
      </c>
    </row>
    <row r="102" spans="1:15" ht="24" customHeight="1" x14ac:dyDescent="0.25">
      <c r="A102" s="359" t="s">
        <v>399</v>
      </c>
      <c r="B102" s="277" t="s">
        <v>716</v>
      </c>
      <c r="C102" s="375" t="s">
        <v>80</v>
      </c>
      <c r="D102" s="476">
        <f>(3.14*(0.159+0.08*2)*8.58)*6.48/1000</f>
        <v>5.5690693344000002E-2</v>
      </c>
      <c r="E102" s="379"/>
      <c r="F102" s="378"/>
      <c r="G102" s="378"/>
      <c r="H102" s="379">
        <f>ROUND(105190/1.2*1.15,2)</f>
        <v>100807.08</v>
      </c>
      <c r="I102" s="378">
        <f>ROUND(H102*D102,2)</f>
        <v>5614.02</v>
      </c>
      <c r="J102" s="378">
        <f>ROUND(I102*1.2,2)</f>
        <v>6736.82</v>
      </c>
      <c r="K102" s="379">
        <f t="shared" si="68"/>
        <v>5614.02</v>
      </c>
      <c r="L102" s="378">
        <f t="shared" si="68"/>
        <v>6736.82</v>
      </c>
      <c r="M102" s="394"/>
    </row>
    <row r="103" spans="1:15" ht="23.25" customHeight="1" x14ac:dyDescent="0.25">
      <c r="A103" s="404">
        <f>A100+1</f>
        <v>49</v>
      </c>
      <c r="B103" s="209" t="s">
        <v>717</v>
      </c>
      <c r="C103" s="404" t="s">
        <v>84</v>
      </c>
      <c r="D103" s="407">
        <f>0.082*6</f>
        <v>0.49199999999999999</v>
      </c>
      <c r="E103" s="409">
        <v>80533.5</v>
      </c>
      <c r="F103" s="407">
        <f>ROUND(E103*D103,2)</f>
        <v>39622.480000000003</v>
      </c>
      <c r="G103" s="407">
        <f t="shared" ref="G103" si="76">ROUND(F103*1.2,2)</f>
        <v>47546.98</v>
      </c>
      <c r="H103" s="409"/>
      <c r="I103" s="407"/>
      <c r="J103" s="407"/>
      <c r="K103" s="409">
        <f t="shared" si="68"/>
        <v>39622.480000000003</v>
      </c>
      <c r="L103" s="407">
        <f t="shared" si="68"/>
        <v>47546.98</v>
      </c>
      <c r="M103" s="394"/>
    </row>
    <row r="104" spans="1:15" ht="24" customHeight="1" x14ac:dyDescent="0.25">
      <c r="A104" s="359" t="s">
        <v>403</v>
      </c>
      <c r="B104" s="277" t="s">
        <v>698</v>
      </c>
      <c r="C104" s="375" t="s">
        <v>84</v>
      </c>
      <c r="D104" s="378">
        <f>0.082*6</f>
        <v>0.49199999999999999</v>
      </c>
      <c r="E104" s="377"/>
      <c r="F104" s="378"/>
      <c r="G104" s="378"/>
      <c r="H104" s="379">
        <f>ROUND(4616/1.2*1.15,2)</f>
        <v>4423.67</v>
      </c>
      <c r="I104" s="378">
        <f>ROUND(H104*D104,2)</f>
        <v>2176.4499999999998</v>
      </c>
      <c r="J104" s="378">
        <f>ROUND(I104*1.2,2)</f>
        <v>2611.7399999999998</v>
      </c>
      <c r="K104" s="379">
        <f t="shared" si="68"/>
        <v>2176.4499999999998</v>
      </c>
      <c r="L104" s="378">
        <f t="shared" si="68"/>
        <v>2611.7399999999998</v>
      </c>
      <c r="M104" s="394" t="s">
        <v>143</v>
      </c>
    </row>
    <row r="105" spans="1:15" ht="24" customHeight="1" x14ac:dyDescent="0.25">
      <c r="A105" s="359" t="s">
        <v>405</v>
      </c>
      <c r="B105" s="277" t="s">
        <v>716</v>
      </c>
      <c r="C105" s="375" t="s">
        <v>80</v>
      </c>
      <c r="D105" s="378">
        <f>2.5*6/1000</f>
        <v>1.4999999999999999E-2</v>
      </c>
      <c r="E105" s="377"/>
      <c r="F105" s="378"/>
      <c r="G105" s="378"/>
      <c r="H105" s="379">
        <f>ROUND(105190/1.2*1.15,2)</f>
        <v>100807.08</v>
      </c>
      <c r="I105" s="378">
        <f>ROUND(H105*D105,2)</f>
        <v>1512.11</v>
      </c>
      <c r="J105" s="378">
        <f>ROUND(I105*1.2,2)</f>
        <v>1814.53</v>
      </c>
      <c r="K105" s="379">
        <f t="shared" si="68"/>
        <v>1512.11</v>
      </c>
      <c r="L105" s="378">
        <f t="shared" si="68"/>
        <v>1814.53</v>
      </c>
      <c r="M105" s="394"/>
    </row>
    <row r="106" spans="1:15" ht="18.75" customHeight="1" x14ac:dyDescent="0.25">
      <c r="A106" s="471">
        <f>A103+1</f>
        <v>50</v>
      </c>
      <c r="B106" s="18" t="s">
        <v>543</v>
      </c>
      <c r="C106" s="369" t="s">
        <v>77</v>
      </c>
      <c r="D106" s="370">
        <v>11.45</v>
      </c>
      <c r="E106" s="374">
        <v>144.4</v>
      </c>
      <c r="F106" s="372">
        <f>ROUND(E106*D106,2)</f>
        <v>1653.38</v>
      </c>
      <c r="G106" s="372">
        <f>ROUND(F106*1.2,2)</f>
        <v>1984.06</v>
      </c>
      <c r="H106" s="374"/>
      <c r="I106" s="372"/>
      <c r="J106" s="372"/>
      <c r="K106" s="374">
        <f t="shared" si="68"/>
        <v>1653.38</v>
      </c>
      <c r="L106" s="372">
        <f t="shared" si="68"/>
        <v>1984.06</v>
      </c>
      <c r="M106" s="394" t="s">
        <v>544</v>
      </c>
    </row>
    <row r="107" spans="1:15" ht="18.75" customHeight="1" x14ac:dyDescent="0.25">
      <c r="A107" s="359" t="s">
        <v>409</v>
      </c>
      <c r="B107" s="277" t="s">
        <v>545</v>
      </c>
      <c r="C107" s="375" t="s">
        <v>171</v>
      </c>
      <c r="D107" s="464">
        <f>D106*0.15</f>
        <v>1.7174999999999998</v>
      </c>
      <c r="E107" s="379"/>
      <c r="F107" s="378"/>
      <c r="G107" s="378"/>
      <c r="H107" s="379">
        <v>149.15</v>
      </c>
      <c r="I107" s="378">
        <f>ROUND(H107*D107,2)</f>
        <v>256.17</v>
      </c>
      <c r="J107" s="378">
        <f>ROUND(I107*1.2,2)</f>
        <v>307.39999999999998</v>
      </c>
      <c r="K107" s="379">
        <f t="shared" si="68"/>
        <v>256.17</v>
      </c>
      <c r="L107" s="378">
        <f t="shared" si="68"/>
        <v>307.39999999999998</v>
      </c>
    </row>
    <row r="108" spans="1:15" ht="18.75" customHeight="1" x14ac:dyDescent="0.25">
      <c r="A108" s="369">
        <f>A106+1</f>
        <v>51</v>
      </c>
      <c r="B108" s="18" t="s">
        <v>546</v>
      </c>
      <c r="C108" s="369" t="s">
        <v>77</v>
      </c>
      <c r="D108" s="370">
        <v>11.45</v>
      </c>
      <c r="E108" s="374">
        <f>144.4*2</f>
        <v>288.8</v>
      </c>
      <c r="F108" s="372">
        <f>ROUND(E108*D108,2)</f>
        <v>3306.76</v>
      </c>
      <c r="G108" s="372">
        <f>ROUND(F108*1.2,2)</f>
        <v>3968.11</v>
      </c>
      <c r="H108" s="374"/>
      <c r="I108" s="372"/>
      <c r="J108" s="372"/>
      <c r="K108" s="374">
        <f t="shared" si="68"/>
        <v>3306.76</v>
      </c>
      <c r="L108" s="372">
        <f t="shared" si="68"/>
        <v>3968.11</v>
      </c>
      <c r="M108" s="394" t="s">
        <v>544</v>
      </c>
    </row>
    <row r="109" spans="1:15" ht="18.75" customHeight="1" x14ac:dyDescent="0.25">
      <c r="A109" s="359" t="s">
        <v>414</v>
      </c>
      <c r="B109" s="277" t="s">
        <v>547</v>
      </c>
      <c r="C109" s="375" t="s">
        <v>171</v>
      </c>
      <c r="D109" s="464">
        <f>D108*0.32</f>
        <v>3.6639999999999997</v>
      </c>
      <c r="E109" s="379"/>
      <c r="F109" s="378"/>
      <c r="G109" s="378"/>
      <c r="H109" s="379">
        <v>165.3</v>
      </c>
      <c r="I109" s="378">
        <f>ROUND(H109*D109,2)</f>
        <v>605.66</v>
      </c>
      <c r="J109" s="378">
        <f>ROUND(I109*1.2,2)</f>
        <v>726.79</v>
      </c>
      <c r="K109" s="379">
        <f t="shared" si="68"/>
        <v>605.66</v>
      </c>
      <c r="L109" s="378">
        <f t="shared" si="68"/>
        <v>726.79</v>
      </c>
    </row>
    <row r="110" spans="1:15" s="426" customFormat="1" ht="24" customHeight="1" x14ac:dyDescent="0.25">
      <c r="A110" s="418">
        <f>A108+1</f>
        <v>52</v>
      </c>
      <c r="B110" s="482" t="s">
        <v>718</v>
      </c>
      <c r="C110" s="418" t="s">
        <v>75</v>
      </c>
      <c r="D110" s="486">
        <v>38</v>
      </c>
      <c r="E110" s="431">
        <v>10239.1</v>
      </c>
      <c r="F110" s="430">
        <f>ROUND(E110*D110,2)</f>
        <v>389085.8</v>
      </c>
      <c r="G110" s="430">
        <f t="shared" ref="G110:G111" si="77">ROUND(F110*1.2,2)</f>
        <v>466902.96</v>
      </c>
      <c r="H110" s="431"/>
      <c r="I110" s="430"/>
      <c r="J110" s="430"/>
      <c r="K110" s="431">
        <f t="shared" ref="K110:L111" si="78">F110+I110</f>
        <v>389085.8</v>
      </c>
      <c r="L110" s="430">
        <f t="shared" si="78"/>
        <v>466902.96</v>
      </c>
      <c r="M110" s="425"/>
      <c r="N110" s="425" t="s">
        <v>1250</v>
      </c>
      <c r="O110" s="819">
        <f>L110-D110*1000</f>
        <v>428902.96</v>
      </c>
    </row>
    <row r="111" spans="1:15" ht="24" customHeight="1" x14ac:dyDescent="0.25">
      <c r="A111" s="404">
        <f>A110+1</f>
        <v>53</v>
      </c>
      <c r="B111" s="209" t="s">
        <v>719</v>
      </c>
      <c r="C111" s="404" t="s">
        <v>720</v>
      </c>
      <c r="D111" s="456">
        <v>2</v>
      </c>
      <c r="E111" s="409">
        <v>12366.64</v>
      </c>
      <c r="F111" s="407">
        <f>ROUND(E111*D111,2)</f>
        <v>24733.279999999999</v>
      </c>
      <c r="G111" s="407">
        <f t="shared" si="77"/>
        <v>29679.94</v>
      </c>
      <c r="H111" s="409"/>
      <c r="I111" s="407"/>
      <c r="J111" s="407"/>
      <c r="K111" s="409">
        <f t="shared" si="78"/>
        <v>24733.279999999999</v>
      </c>
      <c r="L111" s="407">
        <f t="shared" si="78"/>
        <v>29679.94</v>
      </c>
      <c r="M111" s="394" t="s">
        <v>721</v>
      </c>
    </row>
    <row r="112" spans="1:15" ht="18" customHeight="1" x14ac:dyDescent="0.25">
      <c r="A112" s="361"/>
      <c r="B112" s="479" t="s">
        <v>722</v>
      </c>
      <c r="C112" s="390"/>
      <c r="D112" s="391"/>
      <c r="E112" s="392"/>
      <c r="F112" s="393"/>
      <c r="G112" s="393"/>
      <c r="H112" s="392"/>
      <c r="I112" s="366"/>
      <c r="J112" s="366"/>
      <c r="K112" s="367"/>
      <c r="L112" s="366"/>
      <c r="M112" s="394"/>
    </row>
    <row r="113" spans="1:15" ht="27" customHeight="1" x14ac:dyDescent="0.25">
      <c r="A113" s="369">
        <f>A111+1</f>
        <v>54</v>
      </c>
      <c r="B113" s="113" t="s">
        <v>723</v>
      </c>
      <c r="C113" s="369" t="s">
        <v>75</v>
      </c>
      <c r="D113" s="477">
        <v>2</v>
      </c>
      <c r="E113" s="374">
        <v>3159.94</v>
      </c>
      <c r="F113" s="372">
        <f>ROUND(E113*D113,2)</f>
        <v>6319.88</v>
      </c>
      <c r="G113" s="372">
        <f>ROUND(F113*1.2,2)</f>
        <v>7583.86</v>
      </c>
      <c r="H113" s="374"/>
      <c r="I113" s="372"/>
      <c r="J113" s="372"/>
      <c r="K113" s="374">
        <f t="shared" ref="K113:L122" si="79">F113+I113</f>
        <v>6319.88</v>
      </c>
      <c r="L113" s="372">
        <f t="shared" si="79"/>
        <v>7583.86</v>
      </c>
    </row>
    <row r="114" spans="1:15" ht="18" customHeight="1" x14ac:dyDescent="0.25">
      <c r="A114" s="359" t="s">
        <v>724</v>
      </c>
      <c r="B114" s="277" t="s">
        <v>725</v>
      </c>
      <c r="C114" s="375" t="s">
        <v>75</v>
      </c>
      <c r="D114" s="478">
        <v>2</v>
      </c>
      <c r="E114" s="379"/>
      <c r="F114" s="378"/>
      <c r="G114" s="378"/>
      <c r="H114" s="379">
        <v>45970.5</v>
      </c>
      <c r="I114" s="378">
        <f>ROUND(H114*D114,2)</f>
        <v>91941</v>
      </c>
      <c r="J114" s="378">
        <f>ROUND(I114*1.2,2)</f>
        <v>110329.2</v>
      </c>
      <c r="K114" s="379">
        <f t="shared" si="79"/>
        <v>91941</v>
      </c>
      <c r="L114" s="378">
        <f t="shared" si="79"/>
        <v>110329.2</v>
      </c>
    </row>
    <row r="115" spans="1:15" ht="32.25" customHeight="1" x14ac:dyDescent="0.25">
      <c r="A115" s="404">
        <f>A113+1</f>
        <v>55</v>
      </c>
      <c r="B115" s="209" t="s">
        <v>726</v>
      </c>
      <c r="C115" s="404" t="s">
        <v>75</v>
      </c>
      <c r="D115" s="480">
        <v>2</v>
      </c>
      <c r="E115" s="409">
        <v>4129.6499999999996</v>
      </c>
      <c r="F115" s="407">
        <f>ROUND(E115*D115,2)</f>
        <v>8259.2999999999993</v>
      </c>
      <c r="G115" s="407">
        <f>ROUND(F115*1.2,2)</f>
        <v>9911.16</v>
      </c>
      <c r="H115" s="409"/>
      <c r="I115" s="407"/>
      <c r="J115" s="407"/>
      <c r="K115" s="409">
        <f t="shared" si="79"/>
        <v>8259.2999999999993</v>
      </c>
      <c r="L115" s="407">
        <f t="shared" si="79"/>
        <v>9911.16</v>
      </c>
    </row>
    <row r="116" spans="1:15" ht="22.5" customHeight="1" x14ac:dyDescent="0.25">
      <c r="A116" s="359" t="s">
        <v>436</v>
      </c>
      <c r="B116" s="277" t="s">
        <v>727</v>
      </c>
      <c r="C116" s="375" t="s">
        <v>75</v>
      </c>
      <c r="D116" s="478">
        <v>2</v>
      </c>
      <c r="E116" s="379"/>
      <c r="F116" s="378"/>
      <c r="G116" s="378"/>
      <c r="H116" s="379">
        <f>10083.33*1.25</f>
        <v>12604.1625</v>
      </c>
      <c r="I116" s="378">
        <f>ROUND(H116*D116,2)</f>
        <v>25208.33</v>
      </c>
      <c r="J116" s="378">
        <f>ROUND(I116*1.2,2)</f>
        <v>30250</v>
      </c>
      <c r="K116" s="379">
        <f t="shared" si="79"/>
        <v>25208.33</v>
      </c>
      <c r="L116" s="378">
        <f t="shared" si="79"/>
        <v>30250</v>
      </c>
      <c r="M116" s="394" t="s">
        <v>143</v>
      </c>
    </row>
    <row r="117" spans="1:15" ht="30.75" customHeight="1" x14ac:dyDescent="0.25">
      <c r="A117" s="369">
        <f>A115+1</f>
        <v>56</v>
      </c>
      <c r="B117" s="113" t="s">
        <v>728</v>
      </c>
      <c r="C117" s="369" t="s">
        <v>75</v>
      </c>
      <c r="D117" s="477">
        <v>2</v>
      </c>
      <c r="E117" s="374">
        <v>1115.54</v>
      </c>
      <c r="F117" s="372">
        <f>ROUND(E117*D117,2)</f>
        <v>2231.08</v>
      </c>
      <c r="G117" s="372">
        <f>ROUND(F117*1.2,2)</f>
        <v>2677.3</v>
      </c>
      <c r="H117" s="374"/>
      <c r="I117" s="372"/>
      <c r="J117" s="372"/>
      <c r="K117" s="374">
        <f t="shared" si="79"/>
        <v>2231.08</v>
      </c>
      <c r="L117" s="372">
        <f t="shared" si="79"/>
        <v>2677.3</v>
      </c>
    </row>
    <row r="118" spans="1:15" ht="18" customHeight="1" x14ac:dyDescent="0.25">
      <c r="A118" s="359" t="s">
        <v>457</v>
      </c>
      <c r="B118" s="277" t="s">
        <v>729</v>
      </c>
      <c r="C118" s="375" t="s">
        <v>75</v>
      </c>
      <c r="D118" s="478">
        <v>2</v>
      </c>
      <c r="E118" s="377"/>
      <c r="F118" s="378"/>
      <c r="G118" s="378"/>
      <c r="H118" s="379">
        <v>3895</v>
      </c>
      <c r="I118" s="378">
        <f>ROUND(H118*D118,2)</f>
        <v>7790</v>
      </c>
      <c r="J118" s="378">
        <f>ROUND(I118*1.2,2)</f>
        <v>9348</v>
      </c>
      <c r="K118" s="379">
        <f t="shared" si="79"/>
        <v>7790</v>
      </c>
      <c r="L118" s="378">
        <f t="shared" si="79"/>
        <v>9348</v>
      </c>
    </row>
    <row r="119" spans="1:15" ht="31.5" customHeight="1" x14ac:dyDescent="0.25">
      <c r="A119" s="404">
        <f>A117+1</f>
        <v>57</v>
      </c>
      <c r="B119" s="209" t="s">
        <v>730</v>
      </c>
      <c r="C119" s="404" t="s">
        <v>75</v>
      </c>
      <c r="D119" s="480">
        <v>2</v>
      </c>
      <c r="E119" s="409">
        <v>4129.6499999999996</v>
      </c>
      <c r="F119" s="407">
        <f>ROUND(E119*D119,2)</f>
        <v>8259.2999999999993</v>
      </c>
      <c r="G119" s="407">
        <f>ROUND(F119*1.2,2)</f>
        <v>9911.16</v>
      </c>
      <c r="H119" s="409"/>
      <c r="I119" s="407"/>
      <c r="J119" s="407"/>
      <c r="K119" s="409">
        <f t="shared" si="79"/>
        <v>8259.2999999999993</v>
      </c>
      <c r="L119" s="407">
        <f t="shared" si="79"/>
        <v>9911.16</v>
      </c>
    </row>
    <row r="120" spans="1:15" ht="30" x14ac:dyDescent="0.25">
      <c r="A120" s="359" t="s">
        <v>460</v>
      </c>
      <c r="B120" s="277" t="s">
        <v>731</v>
      </c>
      <c r="C120" s="375" t="s">
        <v>75</v>
      </c>
      <c r="D120" s="478">
        <v>2</v>
      </c>
      <c r="E120" s="379"/>
      <c r="F120" s="378"/>
      <c r="G120" s="378"/>
      <c r="H120" s="379">
        <f>9041.67*1.25</f>
        <v>11302.0875</v>
      </c>
      <c r="I120" s="378">
        <f>ROUND(H120*D120,2)</f>
        <v>22604.18</v>
      </c>
      <c r="J120" s="378">
        <f>ROUND(I120*1.2,2)</f>
        <v>27125.02</v>
      </c>
      <c r="K120" s="379">
        <f t="shared" si="79"/>
        <v>22604.18</v>
      </c>
      <c r="L120" s="378">
        <f t="shared" si="79"/>
        <v>27125.02</v>
      </c>
      <c r="M120" s="394" t="s">
        <v>143</v>
      </c>
    </row>
    <row r="121" spans="1:15" ht="27.75" customHeight="1" x14ac:dyDescent="0.25">
      <c r="A121" s="369">
        <f>A119+1</f>
        <v>58</v>
      </c>
      <c r="B121" s="113" t="s">
        <v>732</v>
      </c>
      <c r="C121" s="369" t="s">
        <v>75</v>
      </c>
      <c r="D121" s="477">
        <v>2</v>
      </c>
      <c r="E121" s="374">
        <v>7298.85</v>
      </c>
      <c r="F121" s="372">
        <f>ROUND(E121*D121,2)</f>
        <v>14597.7</v>
      </c>
      <c r="G121" s="372">
        <f>ROUND(F121*1.2,2)</f>
        <v>17517.240000000002</v>
      </c>
      <c r="H121" s="374"/>
      <c r="I121" s="372"/>
      <c r="J121" s="372"/>
      <c r="K121" s="374">
        <f t="shared" si="79"/>
        <v>14597.7</v>
      </c>
      <c r="L121" s="372">
        <f t="shared" si="79"/>
        <v>17517.240000000002</v>
      </c>
      <c r="M121" s="394" t="s">
        <v>544</v>
      </c>
    </row>
    <row r="122" spans="1:15" ht="18" customHeight="1" x14ac:dyDescent="0.25">
      <c r="A122" s="359" t="s">
        <v>464</v>
      </c>
      <c r="B122" s="277" t="s">
        <v>733</v>
      </c>
      <c r="C122" s="375" t="s">
        <v>75</v>
      </c>
      <c r="D122" s="478">
        <v>2</v>
      </c>
      <c r="E122" s="379"/>
      <c r="F122" s="378"/>
      <c r="G122" s="378"/>
      <c r="H122" s="379">
        <v>8930</v>
      </c>
      <c r="I122" s="378">
        <f>ROUND(H122*D122,2)</f>
        <v>17860</v>
      </c>
      <c r="J122" s="378">
        <f>ROUND(I122*1.2,2)</f>
        <v>21432</v>
      </c>
      <c r="K122" s="379">
        <f t="shared" si="79"/>
        <v>17860</v>
      </c>
      <c r="L122" s="378">
        <f t="shared" si="79"/>
        <v>21432</v>
      </c>
    </row>
    <row r="123" spans="1:15" ht="15.75" x14ac:dyDescent="0.25">
      <c r="A123" s="862" t="s">
        <v>121</v>
      </c>
      <c r="B123" s="863"/>
      <c r="C123" s="863"/>
      <c r="D123" s="863"/>
      <c r="E123" s="864"/>
      <c r="F123" s="481">
        <f>SUM(F7:F111)</f>
        <v>2416845.8099999991</v>
      </c>
      <c r="G123" s="414">
        <f>ROUND(F123*1.2,2)</f>
        <v>2900214.97</v>
      </c>
      <c r="I123" s="481">
        <f>SUM(I7:I111)</f>
        <v>2036851.25</v>
      </c>
      <c r="J123" s="414">
        <f>ROUND(I123*1.2,2)</f>
        <v>2444221.5</v>
      </c>
      <c r="K123" s="481">
        <f>SUM(K7:K111)</f>
        <v>4453697.0599999987</v>
      </c>
      <c r="L123" s="414">
        <f>ROUND(K123*1.2,2)</f>
        <v>5344436.47</v>
      </c>
      <c r="O123" s="821">
        <f>SUM(O68:O122)</f>
        <v>648541.76</v>
      </c>
    </row>
    <row r="125" spans="1:15" x14ac:dyDescent="0.25">
      <c r="B125" s="459" t="s">
        <v>122</v>
      </c>
    </row>
    <row r="126" spans="1:15" x14ac:dyDescent="0.25">
      <c r="B126" s="460" t="s">
        <v>123</v>
      </c>
    </row>
  </sheetData>
  <mergeCells count="10">
    <mergeCell ref="B6:D6"/>
    <mergeCell ref="A123:E123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05B5-776C-4852-B768-7552A905EF98}">
  <sheetPr>
    <tabColor rgb="FFFFFF00"/>
  </sheetPr>
  <dimension ref="A1:P79"/>
  <sheetViews>
    <sheetView view="pageBreakPreview" zoomScale="85" zoomScaleNormal="100" zoomScaleSheetLayoutView="85" workbookViewId="0">
      <selection activeCell="L76" sqref="L76"/>
    </sheetView>
  </sheetViews>
  <sheetFormatPr defaultColWidth="8.85546875" defaultRowHeight="15" x14ac:dyDescent="0.25"/>
  <cols>
    <col min="1" max="1" width="8.85546875" style="352"/>
    <col min="2" max="2" width="65.140625" style="352" customWidth="1"/>
    <col min="3" max="3" width="9.28515625" style="352" customWidth="1"/>
    <col min="4" max="4" width="11" style="352" bestFit="1" customWidth="1"/>
    <col min="5" max="5" width="15.140625" style="352" customWidth="1"/>
    <col min="6" max="6" width="16" style="352" customWidth="1"/>
    <col min="7" max="7" width="17.140625" style="417" customWidth="1"/>
    <col min="8" max="8" width="16.140625" style="417" customWidth="1"/>
    <col min="9" max="12" width="16.140625" style="352" customWidth="1"/>
    <col min="13" max="13" width="26" style="352" customWidth="1"/>
    <col min="14" max="14" width="52" style="352" customWidth="1"/>
    <col min="15" max="15" width="15.7109375" style="352" customWidth="1"/>
    <col min="16" max="16" width="22.42578125" style="352" customWidth="1"/>
    <col min="17" max="16384" width="8.85546875" style="352"/>
  </cols>
  <sheetData>
    <row r="1" spans="1:15" ht="14.45" customHeight="1" x14ac:dyDescent="0.25">
      <c r="A1" s="865" t="s">
        <v>26</v>
      </c>
      <c r="B1" s="868" t="s">
        <v>57</v>
      </c>
      <c r="C1" s="871" t="s">
        <v>58</v>
      </c>
      <c r="D1" s="871" t="s">
        <v>59</v>
      </c>
      <c r="E1" s="872" t="s">
        <v>60</v>
      </c>
      <c r="F1" s="873"/>
      <c r="G1" s="873"/>
      <c r="H1" s="873"/>
      <c r="I1" s="873"/>
      <c r="J1" s="873"/>
      <c r="K1" s="873"/>
      <c r="L1" s="873"/>
    </row>
    <row r="2" spans="1:15" ht="14.45" customHeight="1" x14ac:dyDescent="0.25">
      <c r="A2" s="866"/>
      <c r="B2" s="869"/>
      <c r="C2" s="871"/>
      <c r="D2" s="871"/>
      <c r="E2" s="874"/>
      <c r="F2" s="875"/>
      <c r="G2" s="875"/>
      <c r="H2" s="875"/>
      <c r="I2" s="875"/>
      <c r="J2" s="875"/>
      <c r="K2" s="875"/>
      <c r="L2" s="875"/>
    </row>
    <row r="3" spans="1:15" ht="27.75" customHeight="1" x14ac:dyDescent="0.25">
      <c r="A3" s="866"/>
      <c r="B3" s="869"/>
      <c r="C3" s="871"/>
      <c r="D3" s="871"/>
      <c r="E3" s="871" t="s">
        <v>61</v>
      </c>
      <c r="F3" s="871"/>
      <c r="G3" s="871"/>
      <c r="H3" s="871" t="s">
        <v>62</v>
      </c>
      <c r="I3" s="871"/>
      <c r="J3" s="871"/>
      <c r="K3" s="876" t="s">
        <v>63</v>
      </c>
      <c r="L3" s="876"/>
    </row>
    <row r="4" spans="1:15" ht="56.1" customHeight="1" x14ac:dyDescent="0.25">
      <c r="A4" s="867"/>
      <c r="B4" s="870"/>
      <c r="C4" s="871"/>
      <c r="D4" s="871"/>
      <c r="E4" s="353" t="s">
        <v>64</v>
      </c>
      <c r="F4" s="353" t="s">
        <v>65</v>
      </c>
      <c r="G4" s="354" t="s">
        <v>66</v>
      </c>
      <c r="H4" s="353" t="s">
        <v>64</v>
      </c>
      <c r="I4" s="353" t="s">
        <v>65</v>
      </c>
      <c r="J4" s="354" t="s">
        <v>66</v>
      </c>
      <c r="K4" s="353" t="s">
        <v>67</v>
      </c>
      <c r="L4" s="353" t="s">
        <v>68</v>
      </c>
    </row>
    <row r="5" spans="1: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52"/>
    </row>
    <row r="6" spans="1:15" ht="20.25" customHeight="1" x14ac:dyDescent="0.25">
      <c r="A6" s="355"/>
      <c r="B6" s="860" t="s">
        <v>600</v>
      </c>
      <c r="C6" s="861"/>
      <c r="D6" s="861"/>
      <c r="E6" s="356"/>
      <c r="F6" s="357"/>
      <c r="G6" s="358"/>
      <c r="H6" s="358"/>
      <c r="I6" s="358"/>
      <c r="J6" s="358"/>
      <c r="K6" s="358"/>
      <c r="L6" s="358"/>
    </row>
    <row r="7" spans="1:15" ht="24" customHeight="1" x14ac:dyDescent="0.25">
      <c r="A7" s="361"/>
      <c r="B7" s="441" t="s">
        <v>128</v>
      </c>
      <c r="C7" s="442"/>
      <c r="D7" s="442"/>
      <c r="E7" s="367"/>
      <c r="F7" s="393"/>
      <c r="G7" s="393"/>
      <c r="H7" s="392"/>
      <c r="I7" s="366"/>
      <c r="J7" s="366"/>
      <c r="K7" s="367"/>
      <c r="L7" s="393"/>
    </row>
    <row r="8" spans="1:15" ht="18.75" customHeight="1" x14ac:dyDescent="0.25">
      <c r="A8" s="404">
        <f>A7+1</f>
        <v>1</v>
      </c>
      <c r="B8" s="99" t="s">
        <v>130</v>
      </c>
      <c r="C8" s="404" t="s">
        <v>72</v>
      </c>
      <c r="D8" s="405">
        <f>8.8+66.15</f>
        <v>74.95</v>
      </c>
      <c r="E8" s="407">
        <v>3500</v>
      </c>
      <c r="F8" s="407">
        <f>ROUND(E8*D8,2)</f>
        <v>262325</v>
      </c>
      <c r="G8" s="407">
        <f>ROUND(F8*1.2,2)</f>
        <v>314790</v>
      </c>
      <c r="H8" s="406"/>
      <c r="I8" s="407"/>
      <c r="J8" s="407"/>
      <c r="K8" s="409">
        <f t="shared" ref="K8:L10" si="0">F8+I8</f>
        <v>262325</v>
      </c>
      <c r="L8" s="407">
        <f t="shared" si="0"/>
        <v>314790</v>
      </c>
      <c r="M8" s="443" t="s">
        <v>131</v>
      </c>
    </row>
    <row r="9" spans="1:15" ht="18" customHeight="1" x14ac:dyDescent="0.25">
      <c r="A9" s="369">
        <f>A8+1</f>
        <v>2</v>
      </c>
      <c r="B9" s="18" t="s">
        <v>132</v>
      </c>
      <c r="C9" s="369" t="s">
        <v>84</v>
      </c>
      <c r="D9" s="370">
        <f>0.92+12.14</f>
        <v>13.06</v>
      </c>
      <c r="E9" s="372">
        <f>ROUND(65055.24/(297.03*0.05),2)</f>
        <v>4380.38</v>
      </c>
      <c r="F9" s="372">
        <f>ROUND(E9*D9,2)</f>
        <v>57207.76</v>
      </c>
      <c r="G9" s="372">
        <f>ROUND(F9*1.2,2)</f>
        <v>68649.31</v>
      </c>
      <c r="H9" s="371"/>
      <c r="I9" s="372"/>
      <c r="J9" s="372"/>
      <c r="K9" s="374">
        <f t="shared" si="0"/>
        <v>57207.76</v>
      </c>
      <c r="L9" s="372">
        <f t="shared" si="0"/>
        <v>68649.31</v>
      </c>
      <c r="M9" s="352" t="s">
        <v>258</v>
      </c>
    </row>
    <row r="10" spans="1:15" ht="20.25" customHeight="1" x14ac:dyDescent="0.25">
      <c r="A10" s="369">
        <f>A9+1</f>
        <v>3</v>
      </c>
      <c r="B10" s="18" t="s">
        <v>133</v>
      </c>
      <c r="C10" s="369" t="s">
        <v>84</v>
      </c>
      <c r="D10" s="370">
        <f>1.45+17.46</f>
        <v>18.91</v>
      </c>
      <c r="E10" s="374">
        <v>304</v>
      </c>
      <c r="F10" s="372">
        <f>ROUND(E10*D10,2)</f>
        <v>5748.64</v>
      </c>
      <c r="G10" s="372">
        <f>ROUND(F10*1.2,2)</f>
        <v>6898.37</v>
      </c>
      <c r="H10" s="372"/>
      <c r="I10" s="372"/>
      <c r="J10" s="372"/>
      <c r="K10" s="374">
        <f t="shared" si="0"/>
        <v>5748.64</v>
      </c>
      <c r="L10" s="372">
        <f t="shared" si="0"/>
        <v>6898.37</v>
      </c>
      <c r="M10" s="352" t="s">
        <v>258</v>
      </c>
    </row>
    <row r="11" spans="1:15" ht="20.25" customHeight="1" x14ac:dyDescent="0.25">
      <c r="A11" s="361"/>
      <c r="B11" s="107" t="s">
        <v>134</v>
      </c>
      <c r="C11" s="361"/>
      <c r="D11" s="444"/>
      <c r="E11" s="392"/>
      <c r="F11" s="366"/>
      <c r="G11" s="366"/>
      <c r="H11" s="366"/>
      <c r="I11" s="366"/>
      <c r="J11" s="366"/>
      <c r="K11" s="367"/>
      <c r="L11" s="366"/>
      <c r="M11" s="394"/>
    </row>
    <row r="12" spans="1:15" ht="20.25" customHeight="1" x14ac:dyDescent="0.25">
      <c r="A12" s="418">
        <f>A10+1</f>
        <v>4</v>
      </c>
      <c r="B12" s="113" t="s">
        <v>135</v>
      </c>
      <c r="C12" s="369" t="s">
        <v>80</v>
      </c>
      <c r="D12" s="370">
        <v>49.98</v>
      </c>
      <c r="E12" s="372">
        <v>431.37</v>
      </c>
      <c r="F12" s="372">
        <f>ROUND(E12*D12,2)</f>
        <v>21559.87</v>
      </c>
      <c r="G12" s="372">
        <f>ROUND(F12*1.2,2)</f>
        <v>25871.84</v>
      </c>
      <c r="H12" s="371"/>
      <c r="I12" s="372"/>
      <c r="J12" s="372"/>
      <c r="K12" s="374">
        <f>F12+I12</f>
        <v>21559.87</v>
      </c>
      <c r="L12" s="372">
        <f>G12+J12</f>
        <v>25871.84</v>
      </c>
      <c r="M12" s="394"/>
      <c r="N12" s="782"/>
      <c r="O12" s="827">
        <f>L12-D12*СВОД!$P$2*1.2</f>
        <v>7354.2500000000036</v>
      </c>
    </row>
    <row r="13" spans="1:15" ht="20.25" customHeight="1" x14ac:dyDescent="0.25">
      <c r="A13" s="359"/>
      <c r="B13" s="360" t="s">
        <v>181</v>
      </c>
      <c r="C13" s="361"/>
      <c r="D13" s="362"/>
      <c r="E13" s="363"/>
      <c r="F13" s="363"/>
      <c r="G13" s="364"/>
      <c r="H13" s="365"/>
      <c r="I13" s="366"/>
      <c r="J13" s="366"/>
      <c r="K13" s="367"/>
      <c r="L13" s="366"/>
    </row>
    <row r="14" spans="1:15" ht="20.25" customHeight="1" x14ac:dyDescent="0.25">
      <c r="A14" s="359"/>
      <c r="B14" s="368" t="s">
        <v>601</v>
      </c>
      <c r="C14" s="361"/>
      <c r="D14" s="362"/>
      <c r="E14" s="363"/>
      <c r="F14" s="363"/>
      <c r="G14" s="364"/>
      <c r="H14" s="365"/>
      <c r="I14" s="366"/>
      <c r="J14" s="366"/>
      <c r="K14" s="367"/>
      <c r="L14" s="366"/>
    </row>
    <row r="15" spans="1:15" ht="27.75" customHeight="1" x14ac:dyDescent="0.25">
      <c r="A15" s="369">
        <f>A12+1</f>
        <v>5</v>
      </c>
      <c r="B15" s="18" t="s">
        <v>602</v>
      </c>
      <c r="C15" s="369" t="s">
        <v>84</v>
      </c>
      <c r="D15" s="370">
        <v>4.32</v>
      </c>
      <c r="E15" s="371">
        <v>355.3</v>
      </c>
      <c r="F15" s="372">
        <f>ROUND(E15*D15,2)</f>
        <v>1534.9</v>
      </c>
      <c r="G15" s="372">
        <f>ROUND(F15*1.2,2)</f>
        <v>1841.88</v>
      </c>
      <c r="H15" s="373"/>
      <c r="I15" s="372"/>
      <c r="J15" s="372"/>
      <c r="K15" s="374">
        <f t="shared" ref="K15:L20" si="1">F15+I15</f>
        <v>1534.9</v>
      </c>
      <c r="L15" s="372">
        <f t="shared" si="1"/>
        <v>1841.88</v>
      </c>
    </row>
    <row r="16" spans="1:15" ht="27.75" customHeight="1" x14ac:dyDescent="0.25">
      <c r="A16" s="369">
        <f>A15+1</f>
        <v>6</v>
      </c>
      <c r="B16" s="18" t="s">
        <v>138</v>
      </c>
      <c r="C16" s="369" t="s">
        <v>84</v>
      </c>
      <c r="D16" s="370">
        <v>0.08</v>
      </c>
      <c r="E16" s="371">
        <v>1688.15</v>
      </c>
      <c r="F16" s="372">
        <f>ROUND(E16*D16,2)</f>
        <v>135.05000000000001</v>
      </c>
      <c r="G16" s="372">
        <f>ROUND(F16*1.2,2)</f>
        <v>162.06</v>
      </c>
      <c r="H16" s="373"/>
      <c r="I16" s="372"/>
      <c r="J16" s="372"/>
      <c r="K16" s="374">
        <f t="shared" si="1"/>
        <v>135.05000000000001</v>
      </c>
      <c r="L16" s="372">
        <f t="shared" si="1"/>
        <v>162.06</v>
      </c>
    </row>
    <row r="17" spans="1:13" ht="20.25" customHeight="1" x14ac:dyDescent="0.25">
      <c r="A17" s="369">
        <f>A16+1</f>
        <v>7</v>
      </c>
      <c r="B17" s="18" t="s">
        <v>603</v>
      </c>
      <c r="C17" s="369" t="s">
        <v>84</v>
      </c>
      <c r="D17" s="370">
        <v>0.48</v>
      </c>
      <c r="E17" s="371">
        <v>1350.9</v>
      </c>
      <c r="F17" s="372">
        <f>ROUND(E17*D17,2)</f>
        <v>648.42999999999995</v>
      </c>
      <c r="G17" s="372">
        <f>ROUND(F17*1.2,2)</f>
        <v>778.12</v>
      </c>
      <c r="H17" s="373"/>
      <c r="I17" s="372"/>
      <c r="J17" s="372"/>
      <c r="K17" s="374">
        <f t="shared" si="1"/>
        <v>648.42999999999995</v>
      </c>
      <c r="L17" s="372">
        <f t="shared" si="1"/>
        <v>778.12</v>
      </c>
    </row>
    <row r="18" spans="1:13" ht="20.25" customHeight="1" x14ac:dyDescent="0.25">
      <c r="A18" s="359" t="s">
        <v>584</v>
      </c>
      <c r="B18" s="26" t="s">
        <v>534</v>
      </c>
      <c r="C18" s="375" t="s">
        <v>84</v>
      </c>
      <c r="D18" s="376">
        <f>D17*1.26</f>
        <v>0.6048</v>
      </c>
      <c r="E18" s="377"/>
      <c r="F18" s="378"/>
      <c r="G18" s="378"/>
      <c r="H18" s="377">
        <v>1299.5999999999999</v>
      </c>
      <c r="I18" s="378">
        <f>ROUND(H18*D18,2)</f>
        <v>786</v>
      </c>
      <c r="J18" s="378">
        <f>ROUND(I18*1.2,2)</f>
        <v>943.2</v>
      </c>
      <c r="K18" s="379">
        <f t="shared" si="1"/>
        <v>786</v>
      </c>
      <c r="L18" s="378">
        <f t="shared" si="1"/>
        <v>943.2</v>
      </c>
      <c r="M18" s="394"/>
    </row>
    <row r="19" spans="1:13" ht="18.75" customHeight="1" x14ac:dyDescent="0.25">
      <c r="A19" s="369">
        <f>A17+1</f>
        <v>8</v>
      </c>
      <c r="B19" s="18" t="s">
        <v>604</v>
      </c>
      <c r="C19" s="369" t="s">
        <v>84</v>
      </c>
      <c r="D19" s="370">
        <v>3.45</v>
      </c>
      <c r="E19" s="371">
        <v>1310.05</v>
      </c>
      <c r="F19" s="372">
        <f>ROUND(E19*D19,2)</f>
        <v>4519.67</v>
      </c>
      <c r="G19" s="372">
        <f>ROUND(F19*1.2,2)</f>
        <v>5423.6</v>
      </c>
      <c r="H19" s="372"/>
      <c r="I19" s="372"/>
      <c r="J19" s="372"/>
      <c r="K19" s="374">
        <f t="shared" si="1"/>
        <v>4519.67</v>
      </c>
      <c r="L19" s="372">
        <f t="shared" si="1"/>
        <v>5423.6</v>
      </c>
    </row>
    <row r="20" spans="1:13" ht="18.75" customHeight="1" x14ac:dyDescent="0.25">
      <c r="A20" s="359" t="s">
        <v>591</v>
      </c>
      <c r="B20" s="26" t="s">
        <v>160</v>
      </c>
      <c r="C20" s="375" t="s">
        <v>84</v>
      </c>
      <c r="D20" s="376">
        <f>D19*1.1</f>
        <v>3.7950000000000004</v>
      </c>
      <c r="E20" s="377"/>
      <c r="F20" s="378"/>
      <c r="G20" s="378"/>
      <c r="H20" s="378">
        <v>1191.3</v>
      </c>
      <c r="I20" s="378">
        <f>ROUND(H20*D20,2)</f>
        <v>4520.9799999999996</v>
      </c>
      <c r="J20" s="378">
        <f>ROUND(I20*1.2,2)</f>
        <v>5425.18</v>
      </c>
      <c r="K20" s="379">
        <f t="shared" si="1"/>
        <v>4520.9799999999996</v>
      </c>
      <c r="L20" s="378">
        <f t="shared" si="1"/>
        <v>5425.18</v>
      </c>
    </row>
    <row r="21" spans="1:13" s="395" customFormat="1" ht="21.75" customHeight="1" x14ac:dyDescent="0.25">
      <c r="A21" s="369">
        <f>A19+1</f>
        <v>9</v>
      </c>
      <c r="B21" s="18" t="s">
        <v>87</v>
      </c>
      <c r="C21" s="369" t="s">
        <v>84</v>
      </c>
      <c r="D21" s="370">
        <v>1.42</v>
      </c>
      <c r="E21" s="371">
        <v>118.75</v>
      </c>
      <c r="F21" s="372">
        <f>ROUND(E21*D21,2)</f>
        <v>168.63</v>
      </c>
      <c r="G21" s="372">
        <f>ROUND(F21*1.2,2)</f>
        <v>202.36</v>
      </c>
      <c r="H21" s="373"/>
      <c r="I21" s="372"/>
      <c r="J21" s="372"/>
      <c r="K21" s="374">
        <f>F21+I21</f>
        <v>168.63</v>
      </c>
      <c r="L21" s="372">
        <f>G21+J21</f>
        <v>202.36</v>
      </c>
    </row>
    <row r="22" spans="1:13" ht="18.75" customHeight="1" x14ac:dyDescent="0.25">
      <c r="A22" s="369">
        <f>A21+1</f>
        <v>10</v>
      </c>
      <c r="B22" s="18" t="s">
        <v>88</v>
      </c>
      <c r="C22" s="369" t="s">
        <v>84</v>
      </c>
      <c r="D22" s="370">
        <v>4.87</v>
      </c>
      <c r="E22" s="371">
        <v>188.1</v>
      </c>
      <c r="F22" s="372">
        <f>ROUND(E22*D22,2)</f>
        <v>916.05</v>
      </c>
      <c r="G22" s="372">
        <f>ROUND(F22*1.2,2)</f>
        <v>1099.26</v>
      </c>
      <c r="H22" s="374"/>
      <c r="I22" s="372"/>
      <c r="J22" s="372"/>
      <c r="K22" s="374">
        <f>F22+I22</f>
        <v>916.05</v>
      </c>
      <c r="L22" s="372">
        <f>G22+J22</f>
        <v>1099.26</v>
      </c>
    </row>
    <row r="23" spans="1:13" ht="18.75" customHeight="1" x14ac:dyDescent="0.25">
      <c r="A23" s="361"/>
      <c r="B23" s="368" t="s">
        <v>605</v>
      </c>
      <c r="C23" s="390"/>
      <c r="D23" s="391"/>
      <c r="E23" s="392"/>
      <c r="F23" s="393"/>
      <c r="G23" s="393"/>
      <c r="H23" s="392"/>
      <c r="I23" s="366"/>
      <c r="J23" s="366"/>
      <c r="K23" s="367"/>
      <c r="L23" s="366"/>
    </row>
    <row r="24" spans="1:13" ht="27.75" customHeight="1" x14ac:dyDescent="0.25">
      <c r="A24" s="369">
        <f>A22+1</f>
        <v>11</v>
      </c>
      <c r="B24" s="18" t="s">
        <v>574</v>
      </c>
      <c r="C24" s="369" t="s">
        <v>84</v>
      </c>
      <c r="D24" s="370">
        <v>48.82</v>
      </c>
      <c r="E24" s="371">
        <v>355.3</v>
      </c>
      <c r="F24" s="372">
        <f>ROUND(E24*D24,2)</f>
        <v>17345.75</v>
      </c>
      <c r="G24" s="372">
        <f>ROUND(F24*1.2,2)</f>
        <v>20814.900000000001</v>
      </c>
      <c r="H24" s="373"/>
      <c r="I24" s="372"/>
      <c r="J24" s="372"/>
      <c r="K24" s="374">
        <f t="shared" ref="K24:L31" si="2">F24+I24</f>
        <v>17345.75</v>
      </c>
      <c r="L24" s="372">
        <f t="shared" si="2"/>
        <v>20814.900000000001</v>
      </c>
    </row>
    <row r="25" spans="1:13" ht="27.75" customHeight="1" x14ac:dyDescent="0.25">
      <c r="A25" s="369">
        <f>A24+1</f>
        <v>12</v>
      </c>
      <c r="B25" s="18" t="s">
        <v>138</v>
      </c>
      <c r="C25" s="369" t="s">
        <v>84</v>
      </c>
      <c r="D25" s="370">
        <v>1.52</v>
      </c>
      <c r="E25" s="371">
        <v>1688.15</v>
      </c>
      <c r="F25" s="372">
        <f>ROUND(E25*D25,2)</f>
        <v>2565.9899999999998</v>
      </c>
      <c r="G25" s="372">
        <f>ROUND(F25*1.2,2)</f>
        <v>3079.19</v>
      </c>
      <c r="H25" s="373"/>
      <c r="I25" s="372"/>
      <c r="J25" s="372"/>
      <c r="K25" s="374">
        <f t="shared" si="2"/>
        <v>2565.9899999999998</v>
      </c>
      <c r="L25" s="372">
        <f t="shared" si="2"/>
        <v>3079.19</v>
      </c>
    </row>
    <row r="26" spans="1:13" ht="20.25" hidden="1" customHeight="1" x14ac:dyDescent="0.25">
      <c r="A26" s="369">
        <f>A25+1</f>
        <v>13</v>
      </c>
      <c r="B26" s="18" t="s">
        <v>606</v>
      </c>
      <c r="C26" s="369" t="s">
        <v>84</v>
      </c>
      <c r="D26" s="370"/>
      <c r="E26" s="371">
        <v>1379</v>
      </c>
      <c r="F26" s="372">
        <f>ROUND(E26*D26,2)</f>
        <v>0</v>
      </c>
      <c r="G26" s="372">
        <f>ROUND(F26*1.2,2)</f>
        <v>0</v>
      </c>
      <c r="H26" s="373"/>
      <c r="I26" s="372"/>
      <c r="J26" s="372"/>
      <c r="K26" s="374">
        <f t="shared" si="2"/>
        <v>0</v>
      </c>
      <c r="L26" s="372">
        <f t="shared" si="2"/>
        <v>0</v>
      </c>
    </row>
    <row r="27" spans="1:13" ht="20.25" hidden="1" customHeight="1" x14ac:dyDescent="0.25">
      <c r="A27" s="445" t="s">
        <v>105</v>
      </c>
      <c r="B27" s="18" t="s">
        <v>160</v>
      </c>
      <c r="C27" s="369" t="s">
        <v>84</v>
      </c>
      <c r="D27" s="370"/>
      <c r="E27" s="371"/>
      <c r="F27" s="372"/>
      <c r="G27" s="372"/>
      <c r="H27" s="446">
        <v>1320</v>
      </c>
      <c r="I27" s="372">
        <f>ROUND(H27*D27,2)</f>
        <v>0</v>
      </c>
      <c r="J27" s="372">
        <f>ROUND(I27*1.2,2)</f>
        <v>0</v>
      </c>
      <c r="K27" s="374">
        <f t="shared" si="2"/>
        <v>0</v>
      </c>
      <c r="L27" s="372">
        <f t="shared" si="2"/>
        <v>0</v>
      </c>
    </row>
    <row r="28" spans="1:13" ht="20.25" customHeight="1" x14ac:dyDescent="0.25">
      <c r="A28" s="369">
        <f>A25+1</f>
        <v>13</v>
      </c>
      <c r="B28" s="18" t="s">
        <v>604</v>
      </c>
      <c r="C28" s="369" t="s">
        <v>84</v>
      </c>
      <c r="D28" s="370">
        <v>19.96</v>
      </c>
      <c r="E28" s="371">
        <v>1310.05</v>
      </c>
      <c r="F28" s="372">
        <f>ROUND(E28*D28,2)</f>
        <v>26148.6</v>
      </c>
      <c r="G28" s="372">
        <f>ROUND(F28*1.2,2)</f>
        <v>31378.32</v>
      </c>
      <c r="H28" s="372"/>
      <c r="I28" s="372"/>
      <c r="J28" s="372"/>
      <c r="K28" s="374">
        <f t="shared" si="2"/>
        <v>26148.6</v>
      </c>
      <c r="L28" s="372">
        <f t="shared" si="2"/>
        <v>31378.32</v>
      </c>
    </row>
    <row r="29" spans="1:13" ht="20.25" customHeight="1" x14ac:dyDescent="0.25">
      <c r="A29" s="359" t="s">
        <v>105</v>
      </c>
      <c r="B29" s="26" t="s">
        <v>160</v>
      </c>
      <c r="C29" s="375" t="s">
        <v>84</v>
      </c>
      <c r="D29" s="376">
        <f>D28*1.1</f>
        <v>21.956000000000003</v>
      </c>
      <c r="E29" s="377"/>
      <c r="F29" s="378"/>
      <c r="G29" s="378"/>
      <c r="H29" s="378">
        <v>1191.3</v>
      </c>
      <c r="I29" s="378">
        <f>ROUND(H29*D29,2)</f>
        <v>26156.18</v>
      </c>
      <c r="J29" s="378">
        <f>ROUND(I29*1.2,2)</f>
        <v>31387.42</v>
      </c>
      <c r="K29" s="379">
        <f t="shared" si="2"/>
        <v>26156.18</v>
      </c>
      <c r="L29" s="378">
        <f t="shared" si="2"/>
        <v>31387.42</v>
      </c>
    </row>
    <row r="30" spans="1:13" s="395" customFormat="1" ht="21.75" customHeight="1" x14ac:dyDescent="0.25">
      <c r="A30" s="369">
        <f>A28+1</f>
        <v>14</v>
      </c>
      <c r="B30" s="18" t="s">
        <v>87</v>
      </c>
      <c r="C30" s="369" t="s">
        <v>84</v>
      </c>
      <c r="D30" s="370">
        <v>54.54</v>
      </c>
      <c r="E30" s="371">
        <v>118.75</v>
      </c>
      <c r="F30" s="372">
        <f>ROUND(E30*D30,2)</f>
        <v>6476.63</v>
      </c>
      <c r="G30" s="372">
        <f>ROUND(F30*1.2,2)</f>
        <v>7771.96</v>
      </c>
      <c r="H30" s="373"/>
      <c r="I30" s="372"/>
      <c r="J30" s="372"/>
      <c r="K30" s="374">
        <f t="shared" si="2"/>
        <v>6476.63</v>
      </c>
      <c r="L30" s="372">
        <f t="shared" si="2"/>
        <v>7771.96</v>
      </c>
    </row>
    <row r="31" spans="1:13" ht="18.75" customHeight="1" x14ac:dyDescent="0.25">
      <c r="A31" s="369">
        <f>A30+1</f>
        <v>15</v>
      </c>
      <c r="B31" s="18" t="s">
        <v>88</v>
      </c>
      <c r="C31" s="369" t="s">
        <v>84</v>
      </c>
      <c r="D31" s="370">
        <v>74.5</v>
      </c>
      <c r="E31" s="371">
        <v>188.1</v>
      </c>
      <c r="F31" s="372">
        <f>ROUND(E31*D31,2)</f>
        <v>14013.45</v>
      </c>
      <c r="G31" s="372">
        <f>ROUND(F31*1.2,2)</f>
        <v>16816.14</v>
      </c>
      <c r="H31" s="374"/>
      <c r="I31" s="372"/>
      <c r="J31" s="372"/>
      <c r="K31" s="374">
        <f t="shared" si="2"/>
        <v>14013.45</v>
      </c>
      <c r="L31" s="372">
        <f t="shared" si="2"/>
        <v>16816.14</v>
      </c>
    </row>
    <row r="32" spans="1:13" ht="18.75" customHeight="1" x14ac:dyDescent="0.25">
      <c r="A32" s="361"/>
      <c r="B32" s="107" t="s">
        <v>134</v>
      </c>
      <c r="C32" s="390"/>
      <c r="D32" s="391"/>
      <c r="E32" s="392"/>
      <c r="F32" s="393"/>
      <c r="G32" s="393"/>
      <c r="H32" s="367"/>
      <c r="I32" s="366"/>
      <c r="J32" s="366"/>
      <c r="K32" s="367"/>
      <c r="L32" s="366"/>
    </row>
    <row r="33" spans="1:16" ht="18.75" customHeight="1" x14ac:dyDescent="0.25">
      <c r="A33" s="369">
        <f>A31+1</f>
        <v>16</v>
      </c>
      <c r="B33" s="18" t="s">
        <v>139</v>
      </c>
      <c r="C33" s="369" t="s">
        <v>80</v>
      </c>
      <c r="D33" s="370">
        <v>2.3199999999999998</v>
      </c>
      <c r="E33" s="371">
        <v>308.75</v>
      </c>
      <c r="F33" s="372">
        <f>ROUND(E33*D33,2)</f>
        <v>716.3</v>
      </c>
      <c r="G33" s="372">
        <f>ROUND(F33*1.2,2)</f>
        <v>859.56</v>
      </c>
      <c r="H33" s="371"/>
      <c r="I33" s="372"/>
      <c r="J33" s="372"/>
      <c r="K33" s="374">
        <f>F33+I33</f>
        <v>716.3</v>
      </c>
      <c r="L33" s="372">
        <f>G33+J33</f>
        <v>859.56</v>
      </c>
    </row>
    <row r="34" spans="1:16" ht="18.75" customHeight="1" x14ac:dyDescent="0.25">
      <c r="A34" s="369">
        <f>A33+1</f>
        <v>17</v>
      </c>
      <c r="B34" s="18" t="s">
        <v>607</v>
      </c>
      <c r="C34" s="369" t="s">
        <v>84</v>
      </c>
      <c r="D34" s="370">
        <v>2.3199999999999998</v>
      </c>
      <c r="E34" s="371">
        <v>237.5</v>
      </c>
      <c r="F34" s="372">
        <f>ROUND(E34*D34,2)</f>
        <v>551</v>
      </c>
      <c r="G34" s="372">
        <f>ROUND(F34*1.2,2)</f>
        <v>661.2</v>
      </c>
      <c r="H34" s="371"/>
      <c r="I34" s="372"/>
      <c r="J34" s="372"/>
      <c r="K34" s="374">
        <f>F34+I34</f>
        <v>551</v>
      </c>
      <c r="L34" s="372">
        <f>G34+J34</f>
        <v>661.2</v>
      </c>
      <c r="M34" s="394" t="s">
        <v>608</v>
      </c>
    </row>
    <row r="35" spans="1:16" ht="18" customHeight="1" x14ac:dyDescent="0.25">
      <c r="A35" s="359"/>
      <c r="B35" s="360" t="s">
        <v>481</v>
      </c>
      <c r="C35" s="361"/>
      <c r="D35" s="362"/>
      <c r="E35" s="363"/>
      <c r="F35" s="363"/>
      <c r="G35" s="364"/>
      <c r="H35" s="365"/>
      <c r="I35" s="366"/>
      <c r="J35" s="366"/>
      <c r="K35" s="367"/>
      <c r="L35" s="366"/>
    </row>
    <row r="36" spans="1:16" s="426" customFormat="1" ht="37.5" customHeight="1" x14ac:dyDescent="0.25">
      <c r="A36" s="418">
        <f>A34+1</f>
        <v>18</v>
      </c>
      <c r="B36" s="152" t="s">
        <v>609</v>
      </c>
      <c r="C36" s="418" t="s">
        <v>72</v>
      </c>
      <c r="D36" s="428">
        <v>39.6</v>
      </c>
      <c r="E36" s="429">
        <v>24551.78</v>
      </c>
      <c r="F36" s="430">
        <f>ROUND(E36*D36,2)</f>
        <v>972250.49</v>
      </c>
      <c r="G36" s="430">
        <f>ROUND(F36*1.2,2)</f>
        <v>1166700.5900000001</v>
      </c>
      <c r="H36" s="429"/>
      <c r="I36" s="430"/>
      <c r="J36" s="430"/>
      <c r="K36" s="431">
        <f t="shared" ref="K36:L49" si="3">F36+I36</f>
        <v>972250.49</v>
      </c>
      <c r="L36" s="430">
        <f t="shared" si="3"/>
        <v>1166700.5900000001</v>
      </c>
      <c r="M36" s="461" t="s">
        <v>610</v>
      </c>
      <c r="N36" s="425" t="s">
        <v>1256</v>
      </c>
      <c r="O36" s="821">
        <f>L36-150000</f>
        <v>1016700.5900000001</v>
      </c>
      <c r="P36" s="768"/>
    </row>
    <row r="37" spans="1:16" ht="20.25" customHeight="1" x14ac:dyDescent="0.25">
      <c r="A37" s="359" t="s">
        <v>164</v>
      </c>
      <c r="B37" s="26" t="s">
        <v>611</v>
      </c>
      <c r="C37" s="375" t="s">
        <v>84</v>
      </c>
      <c r="D37" s="376">
        <f>2.05*1.02/10*D36</f>
        <v>8.2803599999999999</v>
      </c>
      <c r="E37" s="377"/>
      <c r="F37" s="378"/>
      <c r="G37" s="378"/>
      <c r="H37" s="447">
        <v>5270.83</v>
      </c>
      <c r="I37" s="378">
        <f>ROUND(H37*D37,2)</f>
        <v>43644.37</v>
      </c>
      <c r="J37" s="378">
        <f>ROUND(I37*1.2,2)</f>
        <v>52373.24</v>
      </c>
      <c r="K37" s="379">
        <f t="shared" si="3"/>
        <v>43644.37</v>
      </c>
      <c r="L37" s="378">
        <f t="shared" si="3"/>
        <v>52373.24</v>
      </c>
      <c r="M37" s="394"/>
    </row>
    <row r="38" spans="1:16" ht="20.25" customHeight="1" x14ac:dyDescent="0.25">
      <c r="A38" s="404">
        <f>A36+1</f>
        <v>19</v>
      </c>
      <c r="B38" s="99" t="s">
        <v>612</v>
      </c>
      <c r="C38" s="404" t="s">
        <v>75</v>
      </c>
      <c r="D38" s="448">
        <v>2</v>
      </c>
      <c r="E38" s="449">
        <v>2314.11</v>
      </c>
      <c r="F38" s="407">
        <f>ROUND(E38*D38,2)</f>
        <v>4628.22</v>
      </c>
      <c r="G38" s="407">
        <f>ROUND(F38*1.2,2)</f>
        <v>5553.86</v>
      </c>
      <c r="H38" s="406"/>
      <c r="I38" s="407"/>
      <c r="J38" s="407"/>
      <c r="K38" s="409">
        <f t="shared" si="3"/>
        <v>4628.22</v>
      </c>
      <c r="L38" s="407">
        <f t="shared" si="3"/>
        <v>5553.86</v>
      </c>
      <c r="M38" s="394"/>
    </row>
    <row r="39" spans="1:16" ht="37.5" customHeight="1" x14ac:dyDescent="0.25">
      <c r="A39" s="369">
        <f>A38+1</f>
        <v>20</v>
      </c>
      <c r="B39" s="18" t="s">
        <v>613</v>
      </c>
      <c r="C39" s="369" t="s">
        <v>72</v>
      </c>
      <c r="D39" s="370">
        <v>4.99</v>
      </c>
      <c r="E39" s="371">
        <v>4603.7</v>
      </c>
      <c r="F39" s="372">
        <f>ROUND(E39*D39,2)</f>
        <v>22972.46</v>
      </c>
      <c r="G39" s="372">
        <f>ROUND(F39*1.2,2)</f>
        <v>27566.95</v>
      </c>
      <c r="H39" s="373"/>
      <c r="I39" s="372"/>
      <c r="J39" s="372"/>
      <c r="K39" s="374">
        <f t="shared" si="3"/>
        <v>22972.46</v>
      </c>
      <c r="L39" s="372">
        <f t="shared" si="3"/>
        <v>27566.95</v>
      </c>
    </row>
    <row r="40" spans="1:16" ht="38.25" customHeight="1" x14ac:dyDescent="0.25">
      <c r="A40" s="359" t="s">
        <v>169</v>
      </c>
      <c r="B40" s="26" t="s">
        <v>614</v>
      </c>
      <c r="C40" s="375" t="s">
        <v>72</v>
      </c>
      <c r="D40" s="376">
        <f>1.02*D39</f>
        <v>5.0898000000000003</v>
      </c>
      <c r="E40" s="377"/>
      <c r="F40" s="378"/>
      <c r="G40" s="378"/>
      <c r="H40" s="378">
        <v>10659</v>
      </c>
      <c r="I40" s="378">
        <f>ROUND(H40*D40,2)</f>
        <v>54252.18</v>
      </c>
      <c r="J40" s="378">
        <f>ROUND(I40*1.2,2)</f>
        <v>65102.62</v>
      </c>
      <c r="K40" s="379">
        <f t="shared" si="3"/>
        <v>54252.18</v>
      </c>
      <c r="L40" s="378">
        <f t="shared" si="3"/>
        <v>65102.62</v>
      </c>
    </row>
    <row r="41" spans="1:16" ht="48.75" customHeight="1" x14ac:dyDescent="0.25">
      <c r="A41" s="404">
        <f>A39+1</f>
        <v>21</v>
      </c>
      <c r="B41" s="99" t="s">
        <v>615</v>
      </c>
      <c r="C41" s="404" t="s">
        <v>72</v>
      </c>
      <c r="D41" s="405">
        <v>4.99</v>
      </c>
      <c r="E41" s="406">
        <v>2509.9899999999998</v>
      </c>
      <c r="F41" s="407">
        <f>ROUND(E41*D41,2)</f>
        <v>12524.85</v>
      </c>
      <c r="G41" s="407">
        <f>ROUND(F41*1.2,2)</f>
        <v>15029.82</v>
      </c>
      <c r="H41" s="408"/>
      <c r="I41" s="407"/>
      <c r="J41" s="407"/>
      <c r="K41" s="409">
        <f t="shared" si="3"/>
        <v>12524.85</v>
      </c>
      <c r="L41" s="407">
        <f t="shared" si="3"/>
        <v>15029.82</v>
      </c>
      <c r="M41" s="394"/>
    </row>
    <row r="42" spans="1:16" ht="18.75" customHeight="1" x14ac:dyDescent="0.25">
      <c r="A42" s="359" t="s">
        <v>208</v>
      </c>
      <c r="B42" s="26" t="s">
        <v>616</v>
      </c>
      <c r="C42" s="375" t="s">
        <v>72</v>
      </c>
      <c r="D42" s="376">
        <f>1.02*D41</f>
        <v>5.0898000000000003</v>
      </c>
      <c r="E42" s="377"/>
      <c r="F42" s="378"/>
      <c r="G42" s="378"/>
      <c r="H42" s="378">
        <v>3866.5</v>
      </c>
      <c r="I42" s="378">
        <f>ROUND(H42*D42,2)</f>
        <v>19679.71</v>
      </c>
      <c r="J42" s="378">
        <f>ROUND(I42*1.2,2)</f>
        <v>23615.65</v>
      </c>
      <c r="K42" s="379">
        <f t="shared" si="3"/>
        <v>19679.71</v>
      </c>
      <c r="L42" s="378">
        <f t="shared" si="3"/>
        <v>23615.65</v>
      </c>
      <c r="M42" s="394"/>
    </row>
    <row r="43" spans="1:16" ht="18.75" customHeight="1" x14ac:dyDescent="0.25">
      <c r="A43" s="359" t="s">
        <v>617</v>
      </c>
      <c r="B43" s="26" t="s">
        <v>618</v>
      </c>
      <c r="C43" s="375" t="s">
        <v>75</v>
      </c>
      <c r="D43" s="410">
        <v>2</v>
      </c>
      <c r="E43" s="377"/>
      <c r="F43" s="378"/>
      <c r="G43" s="378"/>
      <c r="H43" s="378">
        <v>1641.6</v>
      </c>
      <c r="I43" s="378">
        <f>ROUND(H43*D43,2)</f>
        <v>3283.2</v>
      </c>
      <c r="J43" s="378">
        <f>ROUND(I43*1.2,2)</f>
        <v>3939.84</v>
      </c>
      <c r="K43" s="379">
        <f t="shared" si="3"/>
        <v>3283.2</v>
      </c>
      <c r="L43" s="378">
        <f t="shared" si="3"/>
        <v>3939.84</v>
      </c>
    </row>
    <row r="44" spans="1:16" ht="37.5" customHeight="1" x14ac:dyDescent="0.25">
      <c r="A44" s="369">
        <f>A41+1</f>
        <v>22</v>
      </c>
      <c r="B44" s="18" t="s">
        <v>619</v>
      </c>
      <c r="C44" s="369" t="s">
        <v>72</v>
      </c>
      <c r="D44" s="370">
        <v>51.17</v>
      </c>
      <c r="E44" s="371">
        <v>1382.25</v>
      </c>
      <c r="F44" s="372">
        <f>ROUND(E44*D44,2)</f>
        <v>70729.73</v>
      </c>
      <c r="G44" s="372">
        <f>ROUND(F44*1.2,2)</f>
        <v>84875.68</v>
      </c>
      <c r="H44" s="373"/>
      <c r="I44" s="372"/>
      <c r="J44" s="372"/>
      <c r="K44" s="374">
        <f t="shared" si="3"/>
        <v>70729.73</v>
      </c>
      <c r="L44" s="372">
        <f t="shared" si="3"/>
        <v>84875.68</v>
      </c>
    </row>
    <row r="45" spans="1:16" ht="24.75" customHeight="1" x14ac:dyDescent="0.25">
      <c r="A45" s="359" t="s">
        <v>502</v>
      </c>
      <c r="B45" s="26" t="s">
        <v>616</v>
      </c>
      <c r="C45" s="375" t="s">
        <v>72</v>
      </c>
      <c r="D45" s="376">
        <f>1.02*51.9</f>
        <v>52.938000000000002</v>
      </c>
      <c r="E45" s="377"/>
      <c r="F45" s="378"/>
      <c r="G45" s="378"/>
      <c r="H45" s="378">
        <v>3866.5</v>
      </c>
      <c r="I45" s="378">
        <f>ROUND(H45*D45,2)</f>
        <v>204684.78</v>
      </c>
      <c r="J45" s="378">
        <f>ROUND(I45*1.2,2)</f>
        <v>245621.74</v>
      </c>
      <c r="K45" s="379">
        <f t="shared" si="3"/>
        <v>204684.78</v>
      </c>
      <c r="L45" s="378">
        <f t="shared" si="3"/>
        <v>245621.74</v>
      </c>
      <c r="M45" s="394"/>
    </row>
    <row r="46" spans="1:16" ht="30" x14ac:dyDescent="0.25">
      <c r="A46" s="369">
        <f>A44+1</f>
        <v>23</v>
      </c>
      <c r="B46" s="18" t="s">
        <v>620</v>
      </c>
      <c r="C46" s="369" t="s">
        <v>84</v>
      </c>
      <c r="D46" s="370">
        <v>5.37</v>
      </c>
      <c r="E46" s="371">
        <v>8327.42</v>
      </c>
      <c r="F46" s="372">
        <f>ROUND(E46*D46,2)</f>
        <v>44718.25</v>
      </c>
      <c r="G46" s="372">
        <f>ROUND(F46*1.2,2)</f>
        <v>53661.9</v>
      </c>
      <c r="H46" s="373"/>
      <c r="I46" s="372"/>
      <c r="J46" s="372"/>
      <c r="K46" s="374">
        <f t="shared" si="3"/>
        <v>44718.25</v>
      </c>
      <c r="L46" s="372">
        <f t="shared" si="3"/>
        <v>53661.9</v>
      </c>
    </row>
    <row r="47" spans="1:16" ht="15.75" x14ac:dyDescent="0.25">
      <c r="A47" s="359" t="s">
        <v>306</v>
      </c>
      <c r="B47" s="26" t="s">
        <v>496</v>
      </c>
      <c r="C47" s="375" t="s">
        <v>84</v>
      </c>
      <c r="D47" s="376">
        <f>1.02*2.96</f>
        <v>3.0192000000000001</v>
      </c>
      <c r="E47" s="377"/>
      <c r="F47" s="378"/>
      <c r="G47" s="378"/>
      <c r="H47" s="378">
        <v>3357.5</v>
      </c>
      <c r="I47" s="378">
        <f>ROUND(H47*D47,2)</f>
        <v>10136.959999999999</v>
      </c>
      <c r="J47" s="378">
        <f>ROUND(I47*1.2,2)</f>
        <v>12164.35</v>
      </c>
      <c r="K47" s="379">
        <f t="shared" si="3"/>
        <v>10136.959999999999</v>
      </c>
      <c r="L47" s="378">
        <f t="shared" si="3"/>
        <v>12164.35</v>
      </c>
      <c r="M47" s="394"/>
    </row>
    <row r="48" spans="1:16" ht="30" x14ac:dyDescent="0.25">
      <c r="A48" s="369">
        <f>A46+1</f>
        <v>24</v>
      </c>
      <c r="B48" s="18" t="s">
        <v>621</v>
      </c>
      <c r="C48" s="369" t="s">
        <v>75</v>
      </c>
      <c r="D48" s="450">
        <v>4</v>
      </c>
      <c r="E48" s="371">
        <v>8056.62</v>
      </c>
      <c r="F48" s="372">
        <f>ROUND(E48*D48,2)</f>
        <v>32226.48</v>
      </c>
      <c r="G48" s="372">
        <f>ROUND(F48*1.2,2)</f>
        <v>38671.78</v>
      </c>
      <c r="H48" s="373"/>
      <c r="I48" s="372"/>
      <c r="J48" s="372"/>
      <c r="K48" s="374">
        <f t="shared" si="3"/>
        <v>32226.48</v>
      </c>
      <c r="L48" s="372">
        <f t="shared" si="3"/>
        <v>38671.78</v>
      </c>
    </row>
    <row r="49" spans="1:13" ht="15.75" x14ac:dyDescent="0.25">
      <c r="A49" s="359" t="s">
        <v>310</v>
      </c>
      <c r="B49" s="26" t="s">
        <v>622</v>
      </c>
      <c r="C49" s="375" t="s">
        <v>75</v>
      </c>
      <c r="D49" s="410">
        <v>4</v>
      </c>
      <c r="E49" s="377"/>
      <c r="F49" s="378"/>
      <c r="G49" s="378"/>
      <c r="H49" s="378">
        <v>2660.95</v>
      </c>
      <c r="I49" s="378">
        <f>ROUND(H49*D49,2)</f>
        <v>10643.8</v>
      </c>
      <c r="J49" s="378">
        <f>ROUND(I49*1.2,2)</f>
        <v>12772.56</v>
      </c>
      <c r="K49" s="379">
        <f t="shared" si="3"/>
        <v>10643.8</v>
      </c>
      <c r="L49" s="378">
        <f t="shared" si="3"/>
        <v>12772.56</v>
      </c>
    </row>
    <row r="50" spans="1:13" ht="21.75" customHeight="1" x14ac:dyDescent="0.25">
      <c r="A50" s="361"/>
      <c r="B50" s="314" t="s">
        <v>623</v>
      </c>
      <c r="C50" s="390"/>
      <c r="D50" s="391"/>
      <c r="E50" s="451"/>
      <c r="F50" s="366"/>
      <c r="G50" s="366"/>
      <c r="H50" s="365"/>
      <c r="I50" s="366"/>
      <c r="J50" s="366"/>
      <c r="K50" s="367"/>
      <c r="L50" s="366"/>
    </row>
    <row r="51" spans="1:13" ht="30" x14ac:dyDescent="0.25">
      <c r="A51" s="369">
        <f>A48+1</f>
        <v>25</v>
      </c>
      <c r="B51" s="18" t="s">
        <v>435</v>
      </c>
      <c r="C51" s="369" t="s">
        <v>84</v>
      </c>
      <c r="D51" s="370">
        <f>1*0.18+1*0.24+1*0.1</f>
        <v>0.52</v>
      </c>
      <c r="E51" s="371">
        <v>17265.68</v>
      </c>
      <c r="F51" s="372">
        <f>ROUND(E51*D51,2)</f>
        <v>8978.15</v>
      </c>
      <c r="G51" s="372">
        <f>ROUND(F51*1.2,2)</f>
        <v>10773.78</v>
      </c>
      <c r="H51" s="373"/>
      <c r="I51" s="372"/>
      <c r="J51" s="372"/>
      <c r="K51" s="374">
        <f t="shared" ref="K51:L58" si="4">F51+I51</f>
        <v>8978.15</v>
      </c>
      <c r="L51" s="372">
        <f t="shared" si="4"/>
        <v>10773.78</v>
      </c>
    </row>
    <row r="52" spans="1:13" ht="18.75" customHeight="1" x14ac:dyDescent="0.25">
      <c r="A52" s="359" t="s">
        <v>346</v>
      </c>
      <c r="B52" s="277" t="s">
        <v>624</v>
      </c>
      <c r="C52" s="375" t="s">
        <v>75</v>
      </c>
      <c r="D52" s="410">
        <v>1</v>
      </c>
      <c r="E52" s="377"/>
      <c r="F52" s="378"/>
      <c r="G52" s="378"/>
      <c r="H52" s="452">
        <v>1657.75</v>
      </c>
      <c r="I52" s="378">
        <f>ROUND(H52*D52,2)</f>
        <v>1657.75</v>
      </c>
      <c r="J52" s="378">
        <f>ROUND(I52*1.2,2)</f>
        <v>1989.3</v>
      </c>
      <c r="K52" s="379">
        <f t="shared" si="4"/>
        <v>1657.75</v>
      </c>
      <c r="L52" s="378">
        <f t="shared" si="4"/>
        <v>1989.3</v>
      </c>
      <c r="M52" s="394"/>
    </row>
    <row r="53" spans="1:13" ht="18.75" customHeight="1" x14ac:dyDescent="0.25">
      <c r="A53" s="359" t="s">
        <v>625</v>
      </c>
      <c r="B53" s="277" t="s">
        <v>626</v>
      </c>
      <c r="C53" s="375" t="s">
        <v>75</v>
      </c>
      <c r="D53" s="410">
        <v>1</v>
      </c>
      <c r="E53" s="377"/>
      <c r="F53" s="378"/>
      <c r="G53" s="378"/>
      <c r="H53" s="452">
        <v>2500.4</v>
      </c>
      <c r="I53" s="378">
        <f>ROUND(H53*D53,2)</f>
        <v>2500.4</v>
      </c>
      <c r="J53" s="378">
        <f>ROUND(I53*1.2,2)</f>
        <v>3000.48</v>
      </c>
      <c r="K53" s="379">
        <f t="shared" si="4"/>
        <v>2500.4</v>
      </c>
      <c r="L53" s="378">
        <f t="shared" si="4"/>
        <v>3000.48</v>
      </c>
      <c r="M53" s="394"/>
    </row>
    <row r="54" spans="1:13" ht="18.75" customHeight="1" x14ac:dyDescent="0.25">
      <c r="A54" s="359" t="s">
        <v>627</v>
      </c>
      <c r="B54" s="277" t="s">
        <v>628</v>
      </c>
      <c r="C54" s="375" t="s">
        <v>75</v>
      </c>
      <c r="D54" s="410">
        <v>1</v>
      </c>
      <c r="E54" s="377"/>
      <c r="F54" s="378"/>
      <c r="G54" s="378"/>
      <c r="H54" s="452">
        <v>1427.85</v>
      </c>
      <c r="I54" s="378">
        <f>ROUND(H54*D54,2)</f>
        <v>1427.85</v>
      </c>
      <c r="J54" s="378">
        <f>ROUND(I54*1.2,2)</f>
        <v>1713.42</v>
      </c>
      <c r="K54" s="379">
        <f t="shared" si="4"/>
        <v>1427.85</v>
      </c>
      <c r="L54" s="378">
        <f t="shared" si="4"/>
        <v>1713.42</v>
      </c>
      <c r="M54" s="394"/>
    </row>
    <row r="55" spans="1:13" ht="27.75" customHeight="1" x14ac:dyDescent="0.25">
      <c r="A55" s="369">
        <f>A51+1</f>
        <v>26</v>
      </c>
      <c r="B55" s="18" t="s">
        <v>629</v>
      </c>
      <c r="C55" s="369" t="s">
        <v>77</v>
      </c>
      <c r="D55" s="453">
        <v>5.97</v>
      </c>
      <c r="E55" s="371">
        <v>144.4</v>
      </c>
      <c r="F55" s="372">
        <f>ROUND(E55*D55,2)</f>
        <v>862.07</v>
      </c>
      <c r="G55" s="372">
        <f t="shared" ref="G55" si="5">ROUND(F55*1.2,2)</f>
        <v>1034.48</v>
      </c>
      <c r="H55" s="374"/>
      <c r="I55" s="372"/>
      <c r="J55" s="372"/>
      <c r="K55" s="374">
        <f t="shared" si="4"/>
        <v>862.07</v>
      </c>
      <c r="L55" s="372">
        <f t="shared" si="4"/>
        <v>1034.48</v>
      </c>
      <c r="M55" s="394" t="s">
        <v>541</v>
      </c>
    </row>
    <row r="56" spans="1:13" ht="17.25" customHeight="1" x14ac:dyDescent="0.25">
      <c r="A56" s="359" t="s">
        <v>348</v>
      </c>
      <c r="B56" s="277" t="s">
        <v>461</v>
      </c>
      <c r="C56" s="375" t="s">
        <v>462</v>
      </c>
      <c r="D56" s="454">
        <f>D55*0.3*20/16</f>
        <v>2.23875</v>
      </c>
      <c r="E56" s="377"/>
      <c r="F56" s="378"/>
      <c r="G56" s="378"/>
      <c r="H56" s="452">
        <v>237.5</v>
      </c>
      <c r="I56" s="378">
        <f>ROUND(H56*D56,2)</f>
        <v>531.70000000000005</v>
      </c>
      <c r="J56" s="378">
        <f t="shared" ref="J56" si="6">ROUND(I56*1.2,2)</f>
        <v>638.04</v>
      </c>
      <c r="K56" s="379">
        <f t="shared" si="4"/>
        <v>531.70000000000005</v>
      </c>
      <c r="L56" s="378">
        <f t="shared" si="4"/>
        <v>638.04</v>
      </c>
      <c r="M56" s="394"/>
    </row>
    <row r="57" spans="1:13" ht="28.5" customHeight="1" x14ac:dyDescent="0.25">
      <c r="A57" s="369">
        <f>A55+1</f>
        <v>27</v>
      </c>
      <c r="B57" s="18" t="s">
        <v>630</v>
      </c>
      <c r="C57" s="369" t="s">
        <v>77</v>
      </c>
      <c r="D57" s="453">
        <v>5.97</v>
      </c>
      <c r="E57" s="371">
        <v>299.76</v>
      </c>
      <c r="F57" s="372">
        <f>ROUND(E57*D57,2)</f>
        <v>1789.57</v>
      </c>
      <c r="G57" s="372">
        <f t="shared" ref="G57" si="7">ROUND(F57*1.2,2)</f>
        <v>2147.48</v>
      </c>
      <c r="H57" s="374"/>
      <c r="I57" s="372"/>
      <c r="J57" s="372"/>
      <c r="K57" s="374">
        <f t="shared" si="4"/>
        <v>1789.57</v>
      </c>
      <c r="L57" s="372">
        <f t="shared" si="4"/>
        <v>2147.48</v>
      </c>
      <c r="M57" s="394" t="s">
        <v>541</v>
      </c>
    </row>
    <row r="58" spans="1:13" ht="15.75" x14ac:dyDescent="0.25">
      <c r="A58" s="359" t="s">
        <v>353</v>
      </c>
      <c r="B58" s="277" t="s">
        <v>465</v>
      </c>
      <c r="C58" s="375" t="s">
        <v>171</v>
      </c>
      <c r="D58" s="376">
        <f>D57*2.5*2</f>
        <v>29.849999999999998</v>
      </c>
      <c r="E58" s="377"/>
      <c r="F58" s="378"/>
      <c r="G58" s="378"/>
      <c r="H58" s="452">
        <v>296.39999999999998</v>
      </c>
      <c r="I58" s="378">
        <f t="shared" ref="I58" si="8">ROUND(H58*D58,2)</f>
        <v>8847.5400000000009</v>
      </c>
      <c r="J58" s="378">
        <f t="shared" ref="J58" si="9">ROUND(I58*1.2,2)</f>
        <v>10617.05</v>
      </c>
      <c r="K58" s="379">
        <f t="shared" si="4"/>
        <v>8847.5400000000009</v>
      </c>
      <c r="L58" s="378">
        <f t="shared" si="4"/>
        <v>10617.05</v>
      </c>
      <c r="M58" s="394"/>
    </row>
    <row r="59" spans="1:13" ht="25.5" customHeight="1" x14ac:dyDescent="0.25">
      <c r="A59" s="359"/>
      <c r="B59" s="314" t="s">
        <v>631</v>
      </c>
      <c r="C59" s="361"/>
      <c r="D59" s="444"/>
      <c r="E59" s="392"/>
      <c r="F59" s="366"/>
      <c r="G59" s="366"/>
      <c r="H59" s="365"/>
      <c r="I59" s="366"/>
      <c r="J59" s="366"/>
      <c r="K59" s="367"/>
      <c r="L59" s="366"/>
      <c r="M59" s="394"/>
    </row>
    <row r="60" spans="1:13" ht="19.5" customHeight="1" x14ac:dyDescent="0.25">
      <c r="A60" s="359"/>
      <c r="B60" s="455" t="s">
        <v>632</v>
      </c>
      <c r="C60" s="361"/>
      <c r="D60" s="444"/>
      <c r="E60" s="392"/>
      <c r="F60" s="366"/>
      <c r="G60" s="366"/>
      <c r="H60" s="365"/>
      <c r="I60" s="366"/>
      <c r="J60" s="366"/>
      <c r="K60" s="367"/>
      <c r="L60" s="366"/>
      <c r="M60" s="394"/>
    </row>
    <row r="61" spans="1:13" ht="18.75" customHeight="1" x14ac:dyDescent="0.25">
      <c r="A61" s="404">
        <f>A57+1</f>
        <v>28</v>
      </c>
      <c r="B61" s="209" t="s">
        <v>633</v>
      </c>
      <c r="C61" s="404" t="s">
        <v>75</v>
      </c>
      <c r="D61" s="448">
        <v>1</v>
      </c>
      <c r="E61" s="406">
        <f>1974*0.7</f>
        <v>1381.8</v>
      </c>
      <c r="F61" s="407">
        <f>ROUND(E61*D61,2)</f>
        <v>1381.8</v>
      </c>
      <c r="G61" s="407">
        <f t="shared" ref="G61:G62" si="10">ROUND(F61*1.2,2)</f>
        <v>1658.16</v>
      </c>
      <c r="H61" s="409"/>
      <c r="I61" s="407"/>
      <c r="J61" s="407"/>
      <c r="K61" s="409">
        <f t="shared" ref="K61:L62" si="11">F61+I61</f>
        <v>1381.8</v>
      </c>
      <c r="L61" s="407">
        <f t="shared" si="11"/>
        <v>1658.16</v>
      </c>
      <c r="M61" s="394"/>
    </row>
    <row r="62" spans="1:13" ht="18.75" customHeight="1" x14ac:dyDescent="0.25">
      <c r="A62" s="404">
        <f>A61+1</f>
        <v>29</v>
      </c>
      <c r="B62" s="209" t="s">
        <v>634</v>
      </c>
      <c r="C62" s="404" t="s">
        <v>84</v>
      </c>
      <c r="D62" s="405">
        <v>0.04</v>
      </c>
      <c r="E62" s="406">
        <f>10878.4*0.8</f>
        <v>8702.7199999999993</v>
      </c>
      <c r="F62" s="407">
        <f>ROUND(E62*D62,2)</f>
        <v>348.11</v>
      </c>
      <c r="G62" s="407">
        <f t="shared" si="10"/>
        <v>417.73</v>
      </c>
      <c r="H62" s="409"/>
      <c r="I62" s="407"/>
      <c r="J62" s="407"/>
      <c r="K62" s="409">
        <f t="shared" si="11"/>
        <v>348.11</v>
      </c>
      <c r="L62" s="407">
        <f t="shared" si="11"/>
        <v>417.73</v>
      </c>
      <c r="M62" s="394" t="s">
        <v>635</v>
      </c>
    </row>
    <row r="63" spans="1:13" ht="15.75" x14ac:dyDescent="0.25">
      <c r="A63" s="359"/>
      <c r="B63" s="455" t="s">
        <v>636</v>
      </c>
      <c r="C63" s="361"/>
      <c r="D63" s="444"/>
      <c r="E63" s="392"/>
      <c r="F63" s="366"/>
      <c r="G63" s="366"/>
      <c r="H63" s="365"/>
      <c r="I63" s="366"/>
      <c r="J63" s="366"/>
      <c r="K63" s="367"/>
      <c r="L63" s="366"/>
      <c r="M63" s="394"/>
    </row>
    <row r="64" spans="1:13" ht="30" x14ac:dyDescent="0.25">
      <c r="A64" s="369">
        <f>A62+1</f>
        <v>30</v>
      </c>
      <c r="B64" s="18" t="s">
        <v>435</v>
      </c>
      <c r="C64" s="369" t="s">
        <v>84</v>
      </c>
      <c r="D64" s="370">
        <v>0.04</v>
      </c>
      <c r="E64" s="371">
        <v>17265.68</v>
      </c>
      <c r="F64" s="372">
        <f>ROUND(E64*D64,2)</f>
        <v>690.63</v>
      </c>
      <c r="G64" s="372">
        <f>ROUND(F64*1.2,2)</f>
        <v>828.76</v>
      </c>
      <c r="H64" s="373"/>
      <c r="I64" s="372"/>
      <c r="J64" s="372"/>
      <c r="K64" s="374">
        <f t="shared" ref="K64:L66" si="12">F64+I64</f>
        <v>690.63</v>
      </c>
      <c r="L64" s="372">
        <f t="shared" si="12"/>
        <v>828.76</v>
      </c>
    </row>
    <row r="65" spans="1:15" ht="18.75" customHeight="1" x14ac:dyDescent="0.25">
      <c r="A65" s="359" t="s">
        <v>367</v>
      </c>
      <c r="B65" s="277" t="s">
        <v>637</v>
      </c>
      <c r="C65" s="375" t="s">
        <v>75</v>
      </c>
      <c r="D65" s="410">
        <v>2</v>
      </c>
      <c r="E65" s="377"/>
      <c r="F65" s="378"/>
      <c r="G65" s="378"/>
      <c r="H65" s="452">
        <v>3400</v>
      </c>
      <c r="I65" s="378">
        <f>ROUND(H65*D65,2)</f>
        <v>6800</v>
      </c>
      <c r="J65" s="378">
        <f>ROUND(I65*1.2,2)</f>
        <v>8160</v>
      </c>
      <c r="K65" s="379">
        <f t="shared" si="12"/>
        <v>6800</v>
      </c>
      <c r="L65" s="378">
        <f t="shared" si="12"/>
        <v>8160</v>
      </c>
      <c r="M65" s="394" t="s">
        <v>143</v>
      </c>
    </row>
    <row r="66" spans="1:15" ht="20.25" customHeight="1" x14ac:dyDescent="0.25">
      <c r="A66" s="404">
        <f>A64+1</f>
        <v>31</v>
      </c>
      <c r="B66" s="209" t="s">
        <v>638</v>
      </c>
      <c r="C66" s="404" t="s">
        <v>75</v>
      </c>
      <c r="D66" s="456">
        <v>1</v>
      </c>
      <c r="E66" s="406">
        <v>1974</v>
      </c>
      <c r="F66" s="407">
        <f>ROUND(E66*D66,2)</f>
        <v>1974</v>
      </c>
      <c r="G66" s="407">
        <f t="shared" ref="G66" si="13">ROUND(F66*1.2,2)</f>
        <v>2368.8000000000002</v>
      </c>
      <c r="H66" s="409"/>
      <c r="I66" s="407"/>
      <c r="J66" s="407"/>
      <c r="K66" s="409">
        <f t="shared" si="12"/>
        <v>1974</v>
      </c>
      <c r="L66" s="407">
        <f t="shared" si="12"/>
        <v>2368.8000000000002</v>
      </c>
      <c r="M66" s="394"/>
    </row>
    <row r="67" spans="1:15" ht="19.5" customHeight="1" x14ac:dyDescent="0.25">
      <c r="A67" s="359"/>
      <c r="B67" s="455" t="s">
        <v>639</v>
      </c>
      <c r="C67" s="361"/>
      <c r="D67" s="444"/>
      <c r="E67" s="392"/>
      <c r="F67" s="366"/>
      <c r="G67" s="366"/>
      <c r="H67" s="365"/>
      <c r="I67" s="366"/>
      <c r="J67" s="366"/>
      <c r="K67" s="367"/>
      <c r="L67" s="366"/>
      <c r="M67" s="394"/>
    </row>
    <row r="68" spans="1:15" ht="18.75" customHeight="1" x14ac:dyDescent="0.25">
      <c r="A68" s="404">
        <f>A66+1</f>
        <v>32</v>
      </c>
      <c r="B68" s="209" t="s">
        <v>633</v>
      </c>
      <c r="C68" s="404" t="s">
        <v>75</v>
      </c>
      <c r="D68" s="448">
        <v>1</v>
      </c>
      <c r="E68" s="406">
        <f>1974*0.7</f>
        <v>1381.8</v>
      </c>
      <c r="F68" s="407">
        <f>ROUND(E68*D68,2)</f>
        <v>1381.8</v>
      </c>
      <c r="G68" s="407">
        <f t="shared" ref="G68:G69" si="14">ROUND(F68*1.2,2)</f>
        <v>1658.16</v>
      </c>
      <c r="H68" s="409"/>
      <c r="I68" s="407"/>
      <c r="J68" s="407"/>
      <c r="K68" s="409">
        <f t="shared" ref="K68:L69" si="15">F68+I68</f>
        <v>1381.8</v>
      </c>
      <c r="L68" s="407">
        <f t="shared" si="15"/>
        <v>1658.16</v>
      </c>
      <c r="M68" s="394"/>
    </row>
    <row r="69" spans="1:15" ht="18.75" customHeight="1" x14ac:dyDescent="0.25">
      <c r="A69" s="404">
        <f>A68+1</f>
        <v>33</v>
      </c>
      <c r="B69" s="209" t="s">
        <v>634</v>
      </c>
      <c r="C69" s="404" t="s">
        <v>84</v>
      </c>
      <c r="D69" s="405">
        <v>0.08</v>
      </c>
      <c r="E69" s="406">
        <f>10878.4*0.8</f>
        <v>8702.7199999999993</v>
      </c>
      <c r="F69" s="407">
        <f>ROUND(E69*D69,2)</f>
        <v>696.22</v>
      </c>
      <c r="G69" s="407">
        <f t="shared" si="14"/>
        <v>835.46</v>
      </c>
      <c r="H69" s="409"/>
      <c r="I69" s="407"/>
      <c r="J69" s="407"/>
      <c r="K69" s="409">
        <f t="shared" si="15"/>
        <v>696.22</v>
      </c>
      <c r="L69" s="407">
        <f t="shared" si="15"/>
        <v>835.46</v>
      </c>
      <c r="M69" s="394" t="s">
        <v>635</v>
      </c>
    </row>
    <row r="70" spans="1:15" ht="15.75" x14ac:dyDescent="0.25">
      <c r="A70" s="359"/>
      <c r="B70" s="455" t="s">
        <v>636</v>
      </c>
      <c r="C70" s="361"/>
      <c r="D70" s="444"/>
      <c r="E70" s="392"/>
      <c r="F70" s="366"/>
      <c r="G70" s="366"/>
      <c r="H70" s="365"/>
      <c r="I70" s="366"/>
      <c r="J70" s="366"/>
      <c r="K70" s="367"/>
      <c r="L70" s="366"/>
      <c r="M70" s="394"/>
    </row>
    <row r="71" spans="1:15" ht="30" x14ac:dyDescent="0.25">
      <c r="A71" s="404">
        <f>A69+1</f>
        <v>34</v>
      </c>
      <c r="B71" s="99" t="s">
        <v>435</v>
      </c>
      <c r="C71" s="404" t="s">
        <v>84</v>
      </c>
      <c r="D71" s="457">
        <v>8.7999999999999995E-2</v>
      </c>
      <c r="E71" s="406">
        <v>17265.68</v>
      </c>
      <c r="F71" s="407">
        <f>ROUND(E71*D71,2)</f>
        <v>1519.38</v>
      </c>
      <c r="G71" s="407">
        <f>ROUND(F71*1.2,2)</f>
        <v>1823.26</v>
      </c>
      <c r="H71" s="408"/>
      <c r="I71" s="407"/>
      <c r="J71" s="407"/>
      <c r="K71" s="409">
        <f t="shared" ref="K71:L73" si="16">F71+I71</f>
        <v>1519.38</v>
      </c>
      <c r="L71" s="407">
        <f t="shared" si="16"/>
        <v>1823.26</v>
      </c>
    </row>
    <row r="72" spans="1:15" ht="18.75" customHeight="1" x14ac:dyDescent="0.25">
      <c r="A72" s="359" t="s">
        <v>237</v>
      </c>
      <c r="B72" s="277" t="s">
        <v>640</v>
      </c>
      <c r="C72" s="375" t="s">
        <v>75</v>
      </c>
      <c r="D72" s="410">
        <v>1</v>
      </c>
      <c r="E72" s="377"/>
      <c r="F72" s="378"/>
      <c r="G72" s="378"/>
      <c r="H72" s="452">
        <v>3136</v>
      </c>
      <c r="I72" s="378">
        <f>ROUND(H72*D72,2)</f>
        <v>3136</v>
      </c>
      <c r="J72" s="378">
        <f>ROUND(I72*1.2,2)</f>
        <v>3763.2</v>
      </c>
      <c r="K72" s="379">
        <f t="shared" si="16"/>
        <v>3136</v>
      </c>
      <c r="L72" s="378">
        <f t="shared" si="16"/>
        <v>3763.2</v>
      </c>
      <c r="M72" s="394" t="s">
        <v>143</v>
      </c>
    </row>
    <row r="73" spans="1:15" ht="20.25" customHeight="1" x14ac:dyDescent="0.25">
      <c r="A73" s="404">
        <f>A71+1</f>
        <v>35</v>
      </c>
      <c r="B73" s="209" t="s">
        <v>638</v>
      </c>
      <c r="C73" s="404" t="s">
        <v>75</v>
      </c>
      <c r="D73" s="456">
        <v>1</v>
      </c>
      <c r="E73" s="406">
        <v>1974</v>
      </c>
      <c r="F73" s="407">
        <f>ROUND(E73*D73,2)</f>
        <v>1974</v>
      </c>
      <c r="G73" s="407">
        <f t="shared" ref="G73" si="17">ROUND(F73*1.2,2)</f>
        <v>2368.8000000000002</v>
      </c>
      <c r="H73" s="409"/>
      <c r="I73" s="407"/>
      <c r="J73" s="407"/>
      <c r="K73" s="409">
        <f t="shared" si="16"/>
        <v>1974</v>
      </c>
      <c r="L73" s="407">
        <f t="shared" si="16"/>
        <v>2368.8000000000002</v>
      </c>
      <c r="M73" s="394"/>
    </row>
    <row r="74" spans="1:15" ht="18.75" customHeight="1" x14ac:dyDescent="0.25">
      <c r="A74" s="361"/>
      <c r="B74" s="107" t="s">
        <v>134</v>
      </c>
      <c r="C74" s="361"/>
      <c r="D74" s="444"/>
      <c r="E74" s="392"/>
      <c r="F74" s="366"/>
      <c r="G74" s="366"/>
      <c r="H74" s="366"/>
      <c r="I74" s="366"/>
      <c r="J74" s="366"/>
      <c r="K74" s="367"/>
      <c r="L74" s="366"/>
      <c r="M74" s="394"/>
    </row>
    <row r="75" spans="1:15" ht="18.75" customHeight="1" x14ac:dyDescent="0.25">
      <c r="A75" s="418">
        <f>A73+1</f>
        <v>36</v>
      </c>
      <c r="B75" s="113" t="s">
        <v>135</v>
      </c>
      <c r="C75" s="369" t="s">
        <v>80</v>
      </c>
      <c r="D75" s="458">
        <v>0.216</v>
      </c>
      <c r="E75" s="372">
        <v>431.37</v>
      </c>
      <c r="F75" s="372">
        <f>ROUND(E75*D75,2)</f>
        <v>93.18</v>
      </c>
      <c r="G75" s="372">
        <f>ROUND(F75*1.2,2)</f>
        <v>111.82</v>
      </c>
      <c r="H75" s="371"/>
      <c r="I75" s="372"/>
      <c r="J75" s="372"/>
      <c r="K75" s="374">
        <f>F75+I75</f>
        <v>93.18</v>
      </c>
      <c r="L75" s="372">
        <f>G75+J75</f>
        <v>111.82</v>
      </c>
      <c r="M75" s="394" t="s">
        <v>641</v>
      </c>
      <c r="O75" s="827">
        <f>L75-D75*СВОД!$P$2*1.2</f>
        <v>31.792000000000002</v>
      </c>
    </row>
    <row r="76" spans="1:15" s="416" customFormat="1" ht="21.75" customHeight="1" x14ac:dyDescent="0.3">
      <c r="A76" s="877" t="s">
        <v>121</v>
      </c>
      <c r="B76" s="878"/>
      <c r="C76" s="878"/>
      <c r="D76" s="878"/>
      <c r="E76" s="879"/>
      <c r="F76" s="414">
        <f>SUM(F7:F75)</f>
        <v>1604321.1099999999</v>
      </c>
      <c r="G76" s="414">
        <f>ROUND(F76*1.2,2)</f>
        <v>1925185.33</v>
      </c>
      <c r="H76" s="415"/>
      <c r="I76" s="414">
        <f>SUM(I7:I75)</f>
        <v>402689.4</v>
      </c>
      <c r="J76" s="414">
        <f>ROUND(I76*1.2,2)</f>
        <v>483227.28</v>
      </c>
      <c r="K76" s="414">
        <f>SUM(K7:K75)</f>
        <v>2007010.5099999998</v>
      </c>
      <c r="L76" s="414">
        <f>ROUND(K76*1.2,2)</f>
        <v>2408412.61</v>
      </c>
      <c r="O76" s="820">
        <f>SUM(O12:O75)</f>
        <v>1024086.6320000001</v>
      </c>
    </row>
    <row r="78" spans="1:15" x14ac:dyDescent="0.25">
      <c r="B78" s="459" t="s">
        <v>122</v>
      </c>
    </row>
    <row r="79" spans="1:15" x14ac:dyDescent="0.25">
      <c r="B79" s="460" t="s">
        <v>123</v>
      </c>
    </row>
  </sheetData>
  <mergeCells count="10">
    <mergeCell ref="B6:D6"/>
    <mergeCell ref="A76:E7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1F4C2-46AD-40FD-8F0C-3B91828DA4B9}">
  <sheetPr>
    <tabColor rgb="FFFFFF00"/>
  </sheetPr>
  <dimension ref="A1:N32"/>
  <sheetViews>
    <sheetView view="pageBreakPreview" zoomScale="70" zoomScaleNormal="100" zoomScaleSheetLayoutView="70" workbookViewId="0">
      <selection activeCell="L30" sqref="L30"/>
    </sheetView>
  </sheetViews>
  <sheetFormatPr defaultColWidth="8.85546875" defaultRowHeight="15" x14ac:dyDescent="0.25"/>
  <cols>
    <col min="1" max="1" width="8.85546875" style="352"/>
    <col min="2" max="2" width="65.140625" style="352" customWidth="1"/>
    <col min="3" max="3" width="9.28515625" style="352" customWidth="1"/>
    <col min="4" max="4" width="11" style="352" bestFit="1" customWidth="1"/>
    <col min="5" max="5" width="15.140625" style="352" customWidth="1"/>
    <col min="6" max="6" width="16" style="352" customWidth="1"/>
    <col min="7" max="7" width="17.140625" style="417" customWidth="1"/>
    <col min="8" max="8" width="16.140625" style="417" customWidth="1"/>
    <col min="9" max="12" width="16.140625" style="352" customWidth="1"/>
    <col min="13" max="13" width="48" style="352" customWidth="1"/>
    <col min="14" max="14" width="71" style="352" customWidth="1"/>
    <col min="15" max="16384" width="8.85546875" style="352"/>
  </cols>
  <sheetData>
    <row r="1" spans="1:14" ht="14.45" customHeight="1" x14ac:dyDescent="0.25">
      <c r="A1" s="865" t="s">
        <v>26</v>
      </c>
      <c r="B1" s="868" t="s">
        <v>57</v>
      </c>
      <c r="C1" s="871" t="s">
        <v>58</v>
      </c>
      <c r="D1" s="871" t="s">
        <v>59</v>
      </c>
      <c r="E1" s="872" t="s">
        <v>60</v>
      </c>
      <c r="F1" s="873"/>
      <c r="G1" s="873"/>
      <c r="H1" s="873"/>
      <c r="I1" s="873"/>
      <c r="J1" s="873"/>
      <c r="K1" s="873"/>
      <c r="L1" s="873"/>
    </row>
    <row r="2" spans="1:14" ht="14.45" customHeight="1" x14ac:dyDescent="0.25">
      <c r="A2" s="866"/>
      <c r="B2" s="869"/>
      <c r="C2" s="871"/>
      <c r="D2" s="871"/>
      <c r="E2" s="874"/>
      <c r="F2" s="875"/>
      <c r="G2" s="875"/>
      <c r="H2" s="875"/>
      <c r="I2" s="875"/>
      <c r="J2" s="875"/>
      <c r="K2" s="875"/>
      <c r="L2" s="875"/>
    </row>
    <row r="3" spans="1:14" ht="27.75" customHeight="1" x14ac:dyDescent="0.25">
      <c r="A3" s="866"/>
      <c r="B3" s="869"/>
      <c r="C3" s="871"/>
      <c r="D3" s="871"/>
      <c r="E3" s="871" t="s">
        <v>61</v>
      </c>
      <c r="F3" s="871"/>
      <c r="G3" s="871"/>
      <c r="H3" s="871" t="s">
        <v>62</v>
      </c>
      <c r="I3" s="871"/>
      <c r="J3" s="871"/>
      <c r="K3" s="876" t="s">
        <v>63</v>
      </c>
      <c r="L3" s="876"/>
    </row>
    <row r="4" spans="1:14" ht="56.1" customHeight="1" x14ac:dyDescent="0.25">
      <c r="A4" s="867"/>
      <c r="B4" s="870"/>
      <c r="C4" s="871"/>
      <c r="D4" s="871"/>
      <c r="E4" s="353" t="s">
        <v>64</v>
      </c>
      <c r="F4" s="353" t="s">
        <v>65</v>
      </c>
      <c r="G4" s="354" t="s">
        <v>66</v>
      </c>
      <c r="H4" s="353" t="s">
        <v>64</v>
      </c>
      <c r="I4" s="353" t="s">
        <v>65</v>
      </c>
      <c r="J4" s="354" t="s">
        <v>66</v>
      </c>
      <c r="K4" s="353" t="s">
        <v>67</v>
      </c>
      <c r="L4" s="353" t="s">
        <v>68</v>
      </c>
    </row>
    <row r="5" spans="1:14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352"/>
    </row>
    <row r="6" spans="1:14" ht="20.25" customHeight="1" x14ac:dyDescent="0.25">
      <c r="A6" s="355"/>
      <c r="B6" s="860" t="s">
        <v>572</v>
      </c>
      <c r="C6" s="861"/>
      <c r="D6" s="861"/>
      <c r="E6" s="356"/>
      <c r="F6" s="357"/>
      <c r="G6" s="358"/>
      <c r="H6" s="358"/>
      <c r="I6" s="358"/>
      <c r="J6" s="358"/>
      <c r="K6" s="358"/>
      <c r="L6" s="358"/>
    </row>
    <row r="7" spans="1:14" ht="18.75" customHeight="1" x14ac:dyDescent="0.25">
      <c r="A7" s="359"/>
      <c r="B7" s="360" t="s">
        <v>181</v>
      </c>
      <c r="C7" s="361"/>
      <c r="D7" s="362"/>
      <c r="E7" s="363"/>
      <c r="F7" s="363"/>
      <c r="G7" s="364"/>
      <c r="H7" s="365"/>
      <c r="I7" s="366"/>
      <c r="J7" s="366"/>
      <c r="K7" s="367"/>
      <c r="L7" s="366"/>
    </row>
    <row r="8" spans="1:14" ht="18.75" customHeight="1" x14ac:dyDescent="0.25">
      <c r="A8" s="359"/>
      <c r="B8" s="368" t="s">
        <v>573</v>
      </c>
      <c r="C8" s="361"/>
      <c r="D8" s="362"/>
      <c r="E8" s="363"/>
      <c r="F8" s="363"/>
      <c r="G8" s="364"/>
      <c r="H8" s="365"/>
      <c r="I8" s="366"/>
      <c r="J8" s="366"/>
      <c r="K8" s="367"/>
      <c r="L8" s="366"/>
    </row>
    <row r="9" spans="1:14" ht="18.75" customHeight="1" x14ac:dyDescent="0.25">
      <c r="A9" s="369">
        <v>1</v>
      </c>
      <c r="B9" s="18" t="s">
        <v>574</v>
      </c>
      <c r="C9" s="369" t="s">
        <v>84</v>
      </c>
      <c r="D9" s="370">
        <v>102</v>
      </c>
      <c r="E9" s="371">
        <v>355.3</v>
      </c>
      <c r="F9" s="372">
        <f>ROUND(E9*D9,2)</f>
        <v>36240.6</v>
      </c>
      <c r="G9" s="372">
        <f>ROUND(F9*1.2,2)</f>
        <v>43488.72</v>
      </c>
      <c r="H9" s="373"/>
      <c r="I9" s="372"/>
      <c r="J9" s="372"/>
      <c r="K9" s="374">
        <f t="shared" ref="K9:L18" si="0">F9+I9</f>
        <v>36240.6</v>
      </c>
      <c r="L9" s="372">
        <f t="shared" si="0"/>
        <v>43488.72</v>
      </c>
    </row>
    <row r="10" spans="1:14" ht="27.75" customHeight="1" x14ac:dyDescent="0.25">
      <c r="A10" s="369">
        <f>A9+1</f>
        <v>2</v>
      </c>
      <c r="B10" s="18" t="s">
        <v>138</v>
      </c>
      <c r="C10" s="369" t="s">
        <v>84</v>
      </c>
      <c r="D10" s="370">
        <v>3.1</v>
      </c>
      <c r="E10" s="371">
        <v>1688.15</v>
      </c>
      <c r="F10" s="372">
        <f>ROUND(E10*D10,2)</f>
        <v>5233.2700000000004</v>
      </c>
      <c r="G10" s="372">
        <f>ROUND(F10*1.2,2)</f>
        <v>6279.92</v>
      </c>
      <c r="H10" s="373"/>
      <c r="I10" s="372"/>
      <c r="J10" s="372"/>
      <c r="K10" s="374">
        <f t="shared" si="0"/>
        <v>5233.2700000000004</v>
      </c>
      <c r="L10" s="372">
        <f t="shared" si="0"/>
        <v>6279.92</v>
      </c>
    </row>
    <row r="11" spans="1:14" s="426" customFormat="1" ht="18.75" customHeight="1" x14ac:dyDescent="0.25">
      <c r="A11" s="418">
        <f>A10+1</f>
        <v>3</v>
      </c>
      <c r="B11" s="152" t="s">
        <v>575</v>
      </c>
      <c r="C11" s="418" t="s">
        <v>84</v>
      </c>
      <c r="D11" s="428">
        <v>2</v>
      </c>
      <c r="E11" s="429">
        <v>1310.05</v>
      </c>
      <c r="F11" s="430">
        <f>ROUND(E11*D11,2)</f>
        <v>2620.1</v>
      </c>
      <c r="G11" s="430">
        <f>ROUND(F11*1.2,2)</f>
        <v>3144.12</v>
      </c>
      <c r="H11" s="430"/>
      <c r="I11" s="430"/>
      <c r="J11" s="430"/>
      <c r="K11" s="431">
        <f t="shared" si="0"/>
        <v>2620.1</v>
      </c>
      <c r="L11" s="434">
        <f t="shared" si="0"/>
        <v>3144.12</v>
      </c>
      <c r="M11" s="427" t="s">
        <v>598</v>
      </c>
    </row>
    <row r="12" spans="1:14" s="426" customFormat="1" ht="18.75" customHeight="1" x14ac:dyDescent="0.25">
      <c r="A12" s="432" t="s">
        <v>576</v>
      </c>
      <c r="B12" s="152" t="s">
        <v>160</v>
      </c>
      <c r="C12" s="418" t="s">
        <v>84</v>
      </c>
      <c r="D12" s="428">
        <f>D11*1.1</f>
        <v>2.2000000000000002</v>
      </c>
      <c r="E12" s="429"/>
      <c r="F12" s="430"/>
      <c r="G12" s="430"/>
      <c r="H12" s="430">
        <v>1191.3</v>
      </c>
      <c r="I12" s="430">
        <f>ROUND(H12*D12,2)</f>
        <v>2620.86</v>
      </c>
      <c r="J12" s="430">
        <f>ROUND(I12*1.2,2)</f>
        <v>3145.03</v>
      </c>
      <c r="K12" s="431">
        <f t="shared" si="0"/>
        <v>2620.86</v>
      </c>
      <c r="L12" s="434">
        <f t="shared" si="0"/>
        <v>3145.03</v>
      </c>
      <c r="M12" s="427" t="s">
        <v>597</v>
      </c>
    </row>
    <row r="13" spans="1:14" s="426" customFormat="1" ht="18.75" customHeight="1" x14ac:dyDescent="0.25">
      <c r="A13" s="418">
        <f>A11+1</f>
        <v>4</v>
      </c>
      <c r="B13" s="152" t="s">
        <v>577</v>
      </c>
      <c r="C13" s="418" t="s">
        <v>84</v>
      </c>
      <c r="D13" s="428">
        <v>92</v>
      </c>
      <c r="E13" s="429">
        <v>1310.05</v>
      </c>
      <c r="F13" s="430">
        <f>ROUND(E13*D13,2)</f>
        <v>120524.6</v>
      </c>
      <c r="G13" s="430">
        <f>ROUND(F13*1.2,2)</f>
        <v>144629.51999999999</v>
      </c>
      <c r="H13" s="430"/>
      <c r="I13" s="430"/>
      <c r="J13" s="430"/>
      <c r="K13" s="431">
        <f t="shared" si="0"/>
        <v>120524.6</v>
      </c>
      <c r="L13" s="434">
        <f t="shared" si="0"/>
        <v>144629.51999999999</v>
      </c>
      <c r="M13" s="427" t="s">
        <v>596</v>
      </c>
    </row>
    <row r="14" spans="1:14" s="426" customFormat="1" ht="18.75" customHeight="1" x14ac:dyDescent="0.25">
      <c r="A14" s="432" t="s">
        <v>578</v>
      </c>
      <c r="B14" s="152" t="s">
        <v>160</v>
      </c>
      <c r="C14" s="418" t="s">
        <v>84</v>
      </c>
      <c r="D14" s="428">
        <f>D13*1.1</f>
        <v>101.2</v>
      </c>
      <c r="E14" s="429"/>
      <c r="F14" s="430"/>
      <c r="G14" s="430"/>
      <c r="H14" s="430">
        <v>1191.3</v>
      </c>
      <c r="I14" s="430">
        <f>ROUND(H14*D14,2)</f>
        <v>120559.56</v>
      </c>
      <c r="J14" s="430">
        <f>ROUND(I14*1.2,2)</f>
        <v>144671.47</v>
      </c>
      <c r="K14" s="431">
        <f t="shared" si="0"/>
        <v>120559.56</v>
      </c>
      <c r="L14" s="434">
        <f t="shared" si="0"/>
        <v>144671.47</v>
      </c>
      <c r="M14" s="427" t="s">
        <v>597</v>
      </c>
    </row>
    <row r="15" spans="1:14" s="426" customFormat="1" ht="18.75" customHeight="1" x14ac:dyDescent="0.25">
      <c r="A15" s="418"/>
      <c r="B15" s="419" t="s">
        <v>579</v>
      </c>
      <c r="C15" s="420" t="s">
        <v>84</v>
      </c>
      <c r="D15" s="421">
        <v>92</v>
      </c>
      <c r="E15" s="422">
        <v>118.75</v>
      </c>
      <c r="F15" s="423">
        <f>ROUND(E15*D15,2)</f>
        <v>10925</v>
      </c>
      <c r="G15" s="423">
        <f>ROUND(F15*1.2,2)</f>
        <v>13110</v>
      </c>
      <c r="H15" s="423"/>
      <c r="I15" s="423"/>
      <c r="J15" s="423"/>
      <c r="K15" s="424">
        <f t="shared" si="0"/>
        <v>10925</v>
      </c>
      <c r="L15" s="423">
        <f t="shared" si="0"/>
        <v>13110</v>
      </c>
      <c r="M15" s="425" t="s">
        <v>580</v>
      </c>
      <c r="N15" s="427" t="s">
        <v>595</v>
      </c>
    </row>
    <row r="16" spans="1:14" s="426" customFormat="1" ht="18.75" customHeight="1" x14ac:dyDescent="0.25">
      <c r="A16" s="432"/>
      <c r="B16" s="419" t="s">
        <v>160</v>
      </c>
      <c r="C16" s="420" t="s">
        <v>84</v>
      </c>
      <c r="D16" s="421">
        <v>92</v>
      </c>
      <c r="E16" s="422"/>
      <c r="F16" s="423"/>
      <c r="G16" s="423"/>
      <c r="H16" s="423">
        <v>1191.3</v>
      </c>
      <c r="I16" s="423">
        <f>ROUND(H16*D16,2)</f>
        <v>109599.6</v>
      </c>
      <c r="J16" s="423">
        <f>ROUND(I16*1.2,2)</f>
        <v>131519.51999999999</v>
      </c>
      <c r="K16" s="424">
        <f t="shared" si="0"/>
        <v>109599.6</v>
      </c>
      <c r="L16" s="434">
        <f t="shared" si="0"/>
        <v>131519.51999999999</v>
      </c>
      <c r="M16" s="427" t="s">
        <v>597</v>
      </c>
    </row>
    <row r="17" spans="1:14" ht="18.75" customHeight="1" x14ac:dyDescent="0.25">
      <c r="A17" s="361"/>
      <c r="B17" s="314" t="s">
        <v>134</v>
      </c>
      <c r="C17" s="390"/>
      <c r="D17" s="391"/>
      <c r="E17" s="392"/>
      <c r="F17" s="393"/>
      <c r="G17" s="393"/>
      <c r="H17" s="367"/>
      <c r="I17" s="366"/>
      <c r="J17" s="366"/>
      <c r="K17" s="367"/>
      <c r="L17" s="366"/>
    </row>
    <row r="18" spans="1:14" ht="18.75" customHeight="1" x14ac:dyDescent="0.25">
      <c r="A18" s="369">
        <f>A13+1</f>
        <v>5</v>
      </c>
      <c r="B18" s="18" t="s">
        <v>139</v>
      </c>
      <c r="C18" s="369" t="s">
        <v>80</v>
      </c>
      <c r="D18" s="370">
        <f>104.9*1.9</f>
        <v>199.31</v>
      </c>
      <c r="E18" s="371">
        <v>308.75</v>
      </c>
      <c r="F18" s="372">
        <f>ROUND(E18*D18,2)</f>
        <v>61536.959999999999</v>
      </c>
      <c r="G18" s="372">
        <f>ROUND(F18*1.2,2)</f>
        <v>73844.350000000006</v>
      </c>
      <c r="H18" s="371"/>
      <c r="I18" s="372"/>
      <c r="J18" s="372"/>
      <c r="K18" s="374">
        <f t="shared" si="0"/>
        <v>61536.959999999999</v>
      </c>
      <c r="L18" s="372">
        <f t="shared" si="0"/>
        <v>73844.350000000006</v>
      </c>
    </row>
    <row r="19" spans="1:14" ht="18.75" customHeight="1" x14ac:dyDescent="0.25">
      <c r="A19" s="359"/>
      <c r="B19" s="360" t="s">
        <v>481</v>
      </c>
      <c r="C19" s="361"/>
      <c r="D19" s="362"/>
      <c r="E19" s="363"/>
      <c r="F19" s="363"/>
      <c r="G19" s="364"/>
      <c r="H19" s="365"/>
      <c r="I19" s="366"/>
      <c r="J19" s="366"/>
      <c r="K19" s="367"/>
      <c r="L19" s="366"/>
    </row>
    <row r="20" spans="1:14" ht="18.75" customHeight="1" x14ac:dyDescent="0.25">
      <c r="A20" s="369">
        <f>A18+1</f>
        <v>6</v>
      </c>
      <c r="B20" s="113" t="s">
        <v>581</v>
      </c>
      <c r="C20" s="369" t="s">
        <v>72</v>
      </c>
      <c r="D20" s="370">
        <v>31</v>
      </c>
      <c r="E20" s="371">
        <v>2651.45</v>
      </c>
      <c r="F20" s="372">
        <f>ROUND(E20*D20,2)</f>
        <v>82194.95</v>
      </c>
      <c r="G20" s="372">
        <f>ROUND(F20*1.2,2)</f>
        <v>98633.94</v>
      </c>
      <c r="H20" s="373"/>
      <c r="I20" s="372"/>
      <c r="J20" s="372"/>
      <c r="K20" s="374">
        <f t="shared" ref="K20:L29" si="1">F20+I20</f>
        <v>82194.95</v>
      </c>
      <c r="L20" s="372">
        <f t="shared" si="1"/>
        <v>98633.94</v>
      </c>
    </row>
    <row r="21" spans="1:14" ht="18.75" customHeight="1" x14ac:dyDescent="0.25">
      <c r="A21" s="359" t="s">
        <v>478</v>
      </c>
      <c r="B21" s="26" t="s">
        <v>582</v>
      </c>
      <c r="C21" s="375" t="s">
        <v>72</v>
      </c>
      <c r="D21" s="376">
        <f>1.02*D20</f>
        <v>31.62</v>
      </c>
      <c r="E21" s="377"/>
      <c r="F21" s="378"/>
      <c r="G21" s="378"/>
      <c r="H21" s="378">
        <v>12644.5</v>
      </c>
      <c r="I21" s="378">
        <f>ROUND(H21*D21,2)</f>
        <v>399819.09</v>
      </c>
      <c r="J21" s="378">
        <f>ROUND(I21*1.2,2)</f>
        <v>479782.91</v>
      </c>
      <c r="K21" s="379">
        <f t="shared" si="1"/>
        <v>399819.09</v>
      </c>
      <c r="L21" s="378">
        <f t="shared" si="1"/>
        <v>479782.91</v>
      </c>
      <c r="M21" s="394"/>
    </row>
    <row r="22" spans="1:14" ht="34.5" customHeight="1" x14ac:dyDescent="0.25">
      <c r="A22" s="369">
        <f>A20+1</f>
        <v>7</v>
      </c>
      <c r="B22" s="18" t="s">
        <v>583</v>
      </c>
      <c r="C22" s="369" t="s">
        <v>72</v>
      </c>
      <c r="D22" s="370">
        <v>6</v>
      </c>
      <c r="E22" s="371">
        <v>6444.8</v>
      </c>
      <c r="F22" s="372">
        <f>ROUND(E22*D22,2)</f>
        <v>38668.800000000003</v>
      </c>
      <c r="G22" s="372">
        <f>ROUND(F22*1.2,2)</f>
        <v>46402.559999999998</v>
      </c>
      <c r="H22" s="373"/>
      <c r="I22" s="372"/>
      <c r="J22" s="372"/>
      <c r="K22" s="374">
        <f t="shared" si="1"/>
        <v>38668.800000000003</v>
      </c>
      <c r="L22" s="372">
        <f t="shared" si="1"/>
        <v>46402.559999999998</v>
      </c>
    </row>
    <row r="23" spans="1:14" ht="21.75" customHeight="1" x14ac:dyDescent="0.25">
      <c r="A23" s="359" t="s">
        <v>584</v>
      </c>
      <c r="B23" s="26" t="s">
        <v>585</v>
      </c>
      <c r="C23" s="375" t="s">
        <v>72</v>
      </c>
      <c r="D23" s="376">
        <f>1.02*D22</f>
        <v>6.12</v>
      </c>
      <c r="E23" s="377"/>
      <c r="F23" s="378"/>
      <c r="G23" s="378"/>
      <c r="H23" s="378">
        <v>10554.5</v>
      </c>
      <c r="I23" s="378">
        <f>ROUND(H23*D23,2)</f>
        <v>64593.54</v>
      </c>
      <c r="J23" s="378">
        <f>ROUND(I23*1.2,2)</f>
        <v>77512.25</v>
      </c>
      <c r="K23" s="379">
        <f t="shared" si="1"/>
        <v>64593.54</v>
      </c>
      <c r="L23" s="378">
        <f t="shared" si="1"/>
        <v>77512.25</v>
      </c>
      <c r="M23" s="395"/>
    </row>
    <row r="24" spans="1:14" s="438" customFormat="1" ht="48" customHeight="1" x14ac:dyDescent="0.25">
      <c r="A24" s="420"/>
      <c r="B24" s="419" t="s">
        <v>586</v>
      </c>
      <c r="C24" s="420" t="s">
        <v>72</v>
      </c>
      <c r="D24" s="421">
        <v>8</v>
      </c>
      <c r="E24" s="435">
        <f>273.48*2.2</f>
        <v>601.65600000000006</v>
      </c>
      <c r="F24" s="423">
        <f>ROUND(E24*D24,2)</f>
        <v>4813.25</v>
      </c>
      <c r="G24" s="423">
        <f>ROUND(F24*1.2,2)</f>
        <v>5775.9</v>
      </c>
      <c r="H24" s="436"/>
      <c r="I24" s="423"/>
      <c r="J24" s="423"/>
      <c r="K24" s="424">
        <f t="shared" si="1"/>
        <v>4813.25</v>
      </c>
      <c r="L24" s="423">
        <f t="shared" si="1"/>
        <v>5775.9</v>
      </c>
      <c r="M24" s="437" t="s">
        <v>587</v>
      </c>
      <c r="N24" s="440" t="s">
        <v>599</v>
      </c>
    </row>
    <row r="25" spans="1:14" s="438" customFormat="1" ht="15.75" x14ac:dyDescent="0.25">
      <c r="A25" s="432"/>
      <c r="B25" s="419" t="s">
        <v>588</v>
      </c>
      <c r="C25" s="418" t="s">
        <v>80</v>
      </c>
      <c r="D25" s="439">
        <v>0.1464</v>
      </c>
      <c r="E25" s="429"/>
      <c r="F25" s="430"/>
      <c r="G25" s="430"/>
      <c r="H25" s="433">
        <v>392323.01</v>
      </c>
      <c r="I25" s="430">
        <f>ROUND(H25*D25,2)</f>
        <v>57436.09</v>
      </c>
      <c r="J25" s="430">
        <f>ROUND(I25*1.2,2)</f>
        <v>68923.31</v>
      </c>
      <c r="K25" s="431">
        <f t="shared" si="1"/>
        <v>57436.09</v>
      </c>
      <c r="L25" s="430">
        <f t="shared" si="1"/>
        <v>68923.31</v>
      </c>
      <c r="M25" s="437" t="s">
        <v>589</v>
      </c>
      <c r="N25" s="440"/>
    </row>
    <row r="26" spans="1:14" ht="33" customHeight="1" x14ac:dyDescent="0.25">
      <c r="A26" s="404">
        <f>A22+1</f>
        <v>8</v>
      </c>
      <c r="B26" s="99" t="s">
        <v>590</v>
      </c>
      <c r="C26" s="404" t="s">
        <v>72</v>
      </c>
      <c r="D26" s="405">
        <v>6</v>
      </c>
      <c r="E26" s="406">
        <f>E20*1.3</f>
        <v>3446.8849999999998</v>
      </c>
      <c r="F26" s="407">
        <f>ROUND(E26*D26,2)</f>
        <v>20681.310000000001</v>
      </c>
      <c r="G26" s="407">
        <f>ROUND(F26*1.2,2)</f>
        <v>24817.57</v>
      </c>
      <c r="H26" s="408"/>
      <c r="I26" s="407"/>
      <c r="J26" s="407"/>
      <c r="K26" s="409">
        <f t="shared" si="1"/>
        <v>20681.310000000001</v>
      </c>
      <c r="L26" s="407">
        <f t="shared" si="1"/>
        <v>24817.57</v>
      </c>
      <c r="M26" s="394"/>
    </row>
    <row r="27" spans="1:14" ht="24.75" customHeight="1" x14ac:dyDescent="0.25">
      <c r="A27" s="359" t="s">
        <v>591</v>
      </c>
      <c r="B27" s="26" t="s">
        <v>582</v>
      </c>
      <c r="C27" s="375" t="s">
        <v>72</v>
      </c>
      <c r="D27" s="376">
        <f>1.02*6.91</f>
        <v>7.0482000000000005</v>
      </c>
      <c r="E27" s="377"/>
      <c r="F27" s="378"/>
      <c r="G27" s="378"/>
      <c r="H27" s="378">
        <v>12644.5</v>
      </c>
      <c r="I27" s="378">
        <f>ROUND(H27*D27,2)</f>
        <v>89120.960000000006</v>
      </c>
      <c r="J27" s="378">
        <f>ROUND(I27*1.2,2)</f>
        <v>106945.15</v>
      </c>
      <c r="K27" s="379">
        <f t="shared" si="1"/>
        <v>89120.960000000006</v>
      </c>
      <c r="L27" s="378">
        <f t="shared" si="1"/>
        <v>106945.15</v>
      </c>
      <c r="M27" s="394"/>
    </row>
    <row r="28" spans="1:14" ht="24.75" customHeight="1" x14ac:dyDescent="0.25">
      <c r="A28" s="359" t="s">
        <v>592</v>
      </c>
      <c r="B28" s="26" t="s">
        <v>593</v>
      </c>
      <c r="C28" s="375" t="s">
        <v>75</v>
      </c>
      <c r="D28" s="410">
        <v>2</v>
      </c>
      <c r="E28" s="377"/>
      <c r="F28" s="378"/>
      <c r="G28" s="378"/>
      <c r="H28" s="403">
        <v>3016</v>
      </c>
      <c r="I28" s="378">
        <f>ROUND(H28*D28,2)</f>
        <v>6032</v>
      </c>
      <c r="J28" s="378">
        <f>ROUND(I28*1.2,2)</f>
        <v>7238.4</v>
      </c>
      <c r="K28" s="379">
        <f t="shared" si="1"/>
        <v>6032</v>
      </c>
      <c r="L28" s="378">
        <f t="shared" si="1"/>
        <v>7238.4</v>
      </c>
    </row>
    <row r="29" spans="1:14" ht="24.75" customHeight="1" x14ac:dyDescent="0.25">
      <c r="A29" s="411">
        <f>A26+1</f>
        <v>9</v>
      </c>
      <c r="B29" s="412" t="s">
        <v>594</v>
      </c>
      <c r="C29" s="404" t="s">
        <v>75</v>
      </c>
      <c r="D29" s="413">
        <v>1</v>
      </c>
      <c r="E29" s="407">
        <v>6060.29</v>
      </c>
      <c r="F29" s="407">
        <f>ROUND(E29*D29,2)</f>
        <v>6060.29</v>
      </c>
      <c r="G29" s="407">
        <f>ROUND(F29*1.2,2)</f>
        <v>7272.35</v>
      </c>
      <c r="H29" s="408"/>
      <c r="I29" s="407"/>
      <c r="J29" s="407"/>
      <c r="K29" s="409">
        <f t="shared" si="1"/>
        <v>6060.29</v>
      </c>
      <c r="L29" s="407">
        <f t="shared" si="1"/>
        <v>7272.35</v>
      </c>
    </row>
    <row r="30" spans="1:14" s="416" customFormat="1" ht="23.25" customHeight="1" x14ac:dyDescent="0.3">
      <c r="A30" s="877" t="s">
        <v>121</v>
      </c>
      <c r="B30" s="878"/>
      <c r="C30" s="878"/>
      <c r="D30" s="878"/>
      <c r="E30" s="879"/>
      <c r="F30" s="414">
        <f>SUM(F7:F29)</f>
        <v>389499.12999999995</v>
      </c>
      <c r="G30" s="414">
        <f>ROUND(F30*1.2,2)</f>
        <v>467398.96</v>
      </c>
      <c r="H30" s="415"/>
      <c r="I30" s="414">
        <f>SUM(I7:I29)</f>
        <v>849781.70000000007</v>
      </c>
      <c r="J30" s="414">
        <f t="shared" ref="J30" si="2">ROUND(I30*1.2,2)</f>
        <v>1019738.04</v>
      </c>
      <c r="K30" s="414">
        <f>SUM(K7:K29)</f>
        <v>1239280.8300000003</v>
      </c>
      <c r="L30" s="414">
        <f>ROUND(K30*1.2,2)</f>
        <v>1487137</v>
      </c>
    </row>
    <row r="32" spans="1:14" x14ac:dyDescent="0.25">
      <c r="M32" s="499">
        <f>L11+L12+L13+L14+L16+L24+L25</f>
        <v>501808.87000000005</v>
      </c>
    </row>
  </sheetData>
  <mergeCells count="10">
    <mergeCell ref="B6:D6"/>
    <mergeCell ref="A30:E3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84E2C-C0B1-4C21-95B4-AD6B8827C9CA}">
  <sheetPr>
    <tabColor rgb="FFFFFF00"/>
  </sheetPr>
  <dimension ref="A1:E44"/>
  <sheetViews>
    <sheetView zoomScale="70" zoomScaleNormal="70" workbookViewId="0">
      <pane ySplit="1" topLeftCell="A2" activePane="bottomLeft" state="frozen"/>
      <selection pane="bottomLeft" activeCell="AB20" sqref="AB20"/>
    </sheetView>
  </sheetViews>
  <sheetFormatPr defaultRowHeight="15" x14ac:dyDescent="0.25"/>
  <cols>
    <col min="1" max="1" width="20.7109375" style="293" customWidth="1"/>
    <col min="2" max="2" width="15.5703125" style="293" customWidth="1"/>
    <col min="3" max="3" width="25.28515625" style="336" customWidth="1"/>
    <col min="4" max="4" width="14.28515625" style="334" customWidth="1"/>
    <col min="5" max="5" width="22.28515625" customWidth="1"/>
  </cols>
  <sheetData>
    <row r="1" spans="1:4" x14ac:dyDescent="0.25">
      <c r="A1" s="4" t="s">
        <v>1</v>
      </c>
      <c r="B1" s="4" t="s">
        <v>28</v>
      </c>
      <c r="C1" s="346"/>
      <c r="D1" s="345" t="s">
        <v>568</v>
      </c>
    </row>
    <row r="2" spans="1:4" x14ac:dyDescent="0.25">
      <c r="A2" s="297" t="s">
        <v>0</v>
      </c>
      <c r="B2" s="298">
        <v>12292609.449999999</v>
      </c>
      <c r="D2" s="333">
        <v>0</v>
      </c>
    </row>
    <row r="3" spans="1:4" x14ac:dyDescent="0.25">
      <c r="A3" s="297" t="s">
        <v>2</v>
      </c>
      <c r="B3" s="298">
        <v>8548320.6400000006</v>
      </c>
      <c r="D3" s="333">
        <v>0</v>
      </c>
    </row>
    <row r="4" spans="1:4" x14ac:dyDescent="0.25">
      <c r="A4" s="297" t="s">
        <v>3</v>
      </c>
      <c r="B4" s="298">
        <v>1894010.8900000001</v>
      </c>
      <c r="D4" s="333">
        <v>0</v>
      </c>
    </row>
    <row r="5" spans="1:4" x14ac:dyDescent="0.25">
      <c r="A5" s="297" t="s">
        <v>4</v>
      </c>
      <c r="B5" s="298">
        <v>89859.26</v>
      </c>
      <c r="D5" s="333">
        <v>0</v>
      </c>
    </row>
    <row r="6" spans="1:4" x14ac:dyDescent="0.25">
      <c r="A6" s="297" t="s">
        <v>5</v>
      </c>
      <c r="B6" s="298">
        <v>771191.87</v>
      </c>
      <c r="D6" s="333">
        <v>0</v>
      </c>
    </row>
    <row r="7" spans="1:4" x14ac:dyDescent="0.25">
      <c r="A7" s="297" t="s">
        <v>6</v>
      </c>
      <c r="B7" s="298">
        <v>23327935.399999999</v>
      </c>
      <c r="D7" s="333">
        <f>37.32+5.95</f>
        <v>43.27</v>
      </c>
    </row>
    <row r="8" spans="1:4" x14ac:dyDescent="0.25">
      <c r="A8" s="297" t="s">
        <v>7</v>
      </c>
      <c r="B8" s="298">
        <v>69943671.159999996</v>
      </c>
      <c r="D8" s="333">
        <v>137.91999999999999</v>
      </c>
    </row>
    <row r="9" spans="1:4" x14ac:dyDescent="0.25">
      <c r="A9" s="297" t="s">
        <v>8</v>
      </c>
      <c r="B9" s="298">
        <v>5641179.5499999998</v>
      </c>
      <c r="D9" s="333">
        <v>0</v>
      </c>
    </row>
    <row r="10" spans="1:4" x14ac:dyDescent="0.25">
      <c r="A10" s="297" t="s">
        <v>9</v>
      </c>
      <c r="B10" s="298">
        <v>47174.400000000001</v>
      </c>
      <c r="D10" s="333">
        <v>0</v>
      </c>
    </row>
    <row r="11" spans="1:4" x14ac:dyDescent="0.25">
      <c r="A11" s="297" t="s">
        <v>10</v>
      </c>
      <c r="B11" s="298">
        <v>8903413.1300000008</v>
      </c>
      <c r="D11" s="333">
        <v>0</v>
      </c>
    </row>
    <row r="12" spans="1:4" x14ac:dyDescent="0.25">
      <c r="A12" s="297" t="s">
        <v>11</v>
      </c>
      <c r="B12" s="298">
        <v>554638.52</v>
      </c>
      <c r="D12" s="333">
        <v>0</v>
      </c>
    </row>
    <row r="13" spans="1:4" x14ac:dyDescent="0.25">
      <c r="A13" s="297" t="s">
        <v>12</v>
      </c>
      <c r="B13" s="298">
        <v>630049.56999999995</v>
      </c>
      <c r="D13" s="333">
        <v>0</v>
      </c>
    </row>
    <row r="14" spans="1:4" x14ac:dyDescent="0.25">
      <c r="A14" s="297" t="s">
        <v>13</v>
      </c>
      <c r="B14" s="298">
        <v>1516853.62</v>
      </c>
      <c r="D14" s="333">
        <v>21.88</v>
      </c>
    </row>
    <row r="15" spans="1:4" x14ac:dyDescent="0.25">
      <c r="A15" s="297" t="s">
        <v>14</v>
      </c>
      <c r="B15" s="298">
        <v>22508536.09</v>
      </c>
      <c r="D15" s="333">
        <f>26.48+50.06+15.15+41+105.48+210.22+16.34+89.5</f>
        <v>554.23</v>
      </c>
    </row>
    <row r="16" spans="1:4" x14ac:dyDescent="0.25">
      <c r="A16" s="297" t="s">
        <v>15</v>
      </c>
      <c r="B16" s="298">
        <v>3122837.6500000004</v>
      </c>
      <c r="D16" s="333">
        <f>94.7+36.5</f>
        <v>131.19999999999999</v>
      </c>
    </row>
    <row r="17" spans="1:4" x14ac:dyDescent="0.25">
      <c r="A17" s="297" t="s">
        <v>16</v>
      </c>
      <c r="B17" s="298">
        <v>7187698.04</v>
      </c>
      <c r="D17" s="333">
        <f>74.95+124.64</f>
        <v>199.59</v>
      </c>
    </row>
    <row r="18" spans="1:4" x14ac:dyDescent="0.25">
      <c r="A18" s="297" t="s">
        <v>17</v>
      </c>
      <c r="B18" s="298">
        <v>94808943.879999995</v>
      </c>
      <c r="D18" s="333">
        <v>226.1</v>
      </c>
    </row>
    <row r="19" spans="1:4" x14ac:dyDescent="0.25">
      <c r="A19" s="297" t="s">
        <v>18</v>
      </c>
      <c r="B19" s="298">
        <v>557534.86</v>
      </c>
      <c r="D19" s="333">
        <v>0</v>
      </c>
    </row>
    <row r="20" spans="1:4" x14ac:dyDescent="0.25">
      <c r="A20" s="297" t="s">
        <v>19</v>
      </c>
      <c r="B20" s="298">
        <v>6467412.8399999999</v>
      </c>
      <c r="D20" s="333">
        <v>0</v>
      </c>
    </row>
    <row r="21" spans="1:4" x14ac:dyDescent="0.25">
      <c r="A21" s="297" t="s">
        <v>20</v>
      </c>
      <c r="B21" s="298">
        <v>3434769.77</v>
      </c>
      <c r="D21" s="333">
        <v>47.34</v>
      </c>
    </row>
    <row r="22" spans="1:4" x14ac:dyDescent="0.25">
      <c r="A22" s="297" t="s">
        <v>21</v>
      </c>
      <c r="B22" s="298">
        <v>5344436.47</v>
      </c>
      <c r="D22" s="333">
        <v>0</v>
      </c>
    </row>
    <row r="23" spans="1:4" x14ac:dyDescent="0.25">
      <c r="A23" s="297" t="s">
        <v>22</v>
      </c>
      <c r="B23" s="298">
        <v>148688.69</v>
      </c>
      <c r="D23" s="333">
        <v>0</v>
      </c>
    </row>
    <row r="24" spans="1:4" x14ac:dyDescent="0.25">
      <c r="A24" s="297" t="s">
        <v>23</v>
      </c>
      <c r="B24" s="298">
        <v>2140860.2799999998</v>
      </c>
      <c r="D24" s="333">
        <v>0</v>
      </c>
    </row>
    <row r="25" spans="1:4" x14ac:dyDescent="0.25">
      <c r="A25" s="297" t="s">
        <v>24</v>
      </c>
      <c r="B25" s="298">
        <v>912139.03</v>
      </c>
      <c r="D25" s="333"/>
    </row>
    <row r="26" spans="1:4" x14ac:dyDescent="0.25">
      <c r="A26" s="297" t="s">
        <v>25</v>
      </c>
      <c r="B26" s="298">
        <v>6392727.4799999995</v>
      </c>
      <c r="D26" s="333">
        <f>162.14+168.96+120.74</f>
        <v>451.84000000000003</v>
      </c>
    </row>
    <row r="27" spans="1:4" x14ac:dyDescent="0.25">
      <c r="A27" s="305" t="s">
        <v>50</v>
      </c>
      <c r="B27" s="306">
        <f>SUM(B2:B26)</f>
        <v>287187492.53999996</v>
      </c>
      <c r="D27" s="347">
        <f>SUM(D2:D26)</f>
        <v>1813.37</v>
      </c>
    </row>
    <row r="28" spans="1:4" x14ac:dyDescent="0.25">
      <c r="A28" s="307"/>
      <c r="B28" s="308"/>
      <c r="C28" s="348" t="s">
        <v>569</v>
      </c>
      <c r="D28" s="349">
        <v>3500</v>
      </c>
    </row>
    <row r="29" spans="1:4" x14ac:dyDescent="0.25">
      <c r="A29" s="307"/>
      <c r="B29" s="308"/>
      <c r="C29" s="348" t="s">
        <v>570</v>
      </c>
      <c r="D29" s="349">
        <v>350</v>
      </c>
    </row>
    <row r="30" spans="1:4" x14ac:dyDescent="0.25">
      <c r="C30" s="348" t="s">
        <v>571</v>
      </c>
      <c r="D30" s="350">
        <f>D29*D27-D28*D27</f>
        <v>-5712115.5</v>
      </c>
    </row>
    <row r="33" spans="1:5" x14ac:dyDescent="0.25">
      <c r="A33" s="825" t="s">
        <v>1257</v>
      </c>
      <c r="B33" s="830">
        <f>'[12]В1-3А, В1-4'!$D$13+'[12]В1-3А, В1-4'!$D$39+'[12]В1-4-до Уг.1'!$D$15+'[12]Уг.1-до Уг.2'!$D$13+'[12]Уг.2-до В1нов'!$D$13+'[12]В1-30-В1-31'!$D$12+'[12]В1-1-В1-1А'!$D$11+'[12]В1-2-В1-2А'!$D$9+'[12]В1нов1-В15'!$D$13+'[12]В1нов1-В17'!$D$13+'[12]В1-7-В1-8'!$D$11</f>
        <v>827.3599999999999</v>
      </c>
      <c r="C33" s="336">
        <f>'[12]В1-3А, В1-4'!$L$13+'[12]В1-3А, В1-4'!$L$39+'[12]В1-4-до Уг.1'!$L$15+'[12]Уг.1-до Уг.2'!$L$13+'[12]Уг.2-до В1нов'!$L$13+'[12]В1-30-В1-31'!$L$12+'[12]В1-1-В1-1А'!$L$11+'[12]В1-2-В1-2А'!$L$9+'[12]В1нов1-В15'!$L$13+'[12]В1нов1-В17'!$L$13+'[12]В1-7-В1-8'!$L$11</f>
        <v>306536.92</v>
      </c>
    </row>
    <row r="34" spans="1:5" x14ac:dyDescent="0.25">
      <c r="A34" s="825" t="s">
        <v>1258</v>
      </c>
      <c r="B34" s="825"/>
    </row>
    <row r="35" spans="1:5" x14ac:dyDescent="0.25">
      <c r="A35" s="825"/>
      <c r="B35" s="825"/>
    </row>
    <row r="36" spans="1:5" x14ac:dyDescent="0.25">
      <c r="A36" s="825"/>
      <c r="B36" s="825"/>
    </row>
    <row r="37" spans="1:5" x14ac:dyDescent="0.25">
      <c r="A37" s="825"/>
      <c r="B37" s="825"/>
    </row>
    <row r="38" spans="1:5" x14ac:dyDescent="0.25">
      <c r="A38" s="825"/>
      <c r="B38" s="825"/>
    </row>
    <row r="39" spans="1:5" x14ac:dyDescent="0.25">
      <c r="A39" s="825"/>
      <c r="B39" s="825"/>
    </row>
    <row r="40" spans="1:5" x14ac:dyDescent="0.25">
      <c r="D40" s="335" t="s">
        <v>1264</v>
      </c>
    </row>
    <row r="41" spans="1:5" x14ac:dyDescent="0.25">
      <c r="A41" s="769" t="s">
        <v>1261</v>
      </c>
      <c r="B41" s="841" t="s">
        <v>1262</v>
      </c>
      <c r="C41" s="841" t="s">
        <v>1263</v>
      </c>
      <c r="D41" s="843">
        <v>5520</v>
      </c>
      <c r="E41" s="841" t="s">
        <v>467</v>
      </c>
    </row>
    <row r="42" spans="1:5" x14ac:dyDescent="0.25">
      <c r="A42" s="769" t="s">
        <v>0</v>
      </c>
      <c r="B42" s="842">
        <f>АС1Площадка!D11</f>
        <v>93.621840000000006</v>
      </c>
      <c r="C42" s="842">
        <f>АС1Площадка!L11</f>
        <v>663853.74</v>
      </c>
      <c r="D42" s="842">
        <f>B42*$D$41</f>
        <v>516792.55680000002</v>
      </c>
      <c r="E42" s="842">
        <f>D42-C42</f>
        <v>-147061.18319999997</v>
      </c>
    </row>
    <row r="43" spans="1:5" x14ac:dyDescent="0.25">
      <c r="A43" s="769" t="s">
        <v>6</v>
      </c>
      <c r="B43" s="842">
        <f>ГП1!D29+ГП1!D31</f>
        <v>673.96852000000013</v>
      </c>
      <c r="C43" s="842">
        <f>ГП1!L29+ГП1!L31</f>
        <v>3563487.2300000004</v>
      </c>
      <c r="D43" s="842">
        <f t="shared" ref="D43:D44" si="0">B43*$D$41</f>
        <v>3720306.2304000007</v>
      </c>
      <c r="E43" s="842">
        <f>D43-C43</f>
        <v>156819.00040000025</v>
      </c>
    </row>
    <row r="44" spans="1:5" x14ac:dyDescent="0.25">
      <c r="A44" s="769" t="s">
        <v>7</v>
      </c>
      <c r="B44" s="842">
        <f>'ГП2 '!D33+'ГП2 '!D35</f>
        <v>1729.5386080000001</v>
      </c>
      <c r="C44" s="842">
        <f>'ГП2 '!L33+'ГП2 '!L35</f>
        <v>9146595.75</v>
      </c>
      <c r="D44" s="842">
        <f t="shared" si="0"/>
        <v>9547053.1161599997</v>
      </c>
      <c r="E44" s="842">
        <f>D44-C44</f>
        <v>400457.36615999974</v>
      </c>
    </row>
  </sheetData>
  <phoneticPr fontId="5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15</vt:i4>
      </vt:variant>
    </vt:vector>
  </HeadingPairs>
  <TitlesOfParts>
    <vt:vector size="32" baseType="lpstr">
      <vt:lpstr>верх</vt:lpstr>
      <vt:lpstr>СВОД</vt:lpstr>
      <vt:lpstr>АС4</vt:lpstr>
      <vt:lpstr>ТС1</vt:lpstr>
      <vt:lpstr>ТС2</vt:lpstr>
      <vt:lpstr>ТС3</vt:lpstr>
      <vt:lpstr>К16А дождеп</vt:lpstr>
      <vt:lpstr>К26-27</vt:lpstr>
      <vt:lpstr>Резка+погр</vt:lpstr>
      <vt:lpstr>ГСН</vt:lpstr>
      <vt:lpstr>ПЖ</vt:lpstr>
      <vt:lpstr>ГП2 </vt:lpstr>
      <vt:lpstr>ГП1</vt:lpstr>
      <vt:lpstr>АС1Площадка</vt:lpstr>
      <vt:lpstr>Демонтаж ламп</vt:lpstr>
      <vt:lpstr>КС</vt:lpstr>
      <vt:lpstr>КПКС</vt:lpstr>
      <vt:lpstr>АС1Площадка!Область_печати</vt:lpstr>
      <vt:lpstr>АС4!Область_печати</vt:lpstr>
      <vt:lpstr>верх!Область_печати</vt:lpstr>
      <vt:lpstr>ГП1!Область_печати</vt:lpstr>
      <vt:lpstr>'ГП2 '!Область_печати</vt:lpstr>
      <vt:lpstr>ГСН!Область_печати</vt:lpstr>
      <vt:lpstr>'Демонтаж ламп'!Область_печати</vt:lpstr>
      <vt:lpstr>'К16А дождеп'!Область_печати</vt:lpstr>
      <vt:lpstr>'К26-27'!Область_печати</vt:lpstr>
      <vt:lpstr>КПКС!Область_печати</vt:lpstr>
      <vt:lpstr>КС!Область_печати</vt:lpstr>
      <vt:lpstr>ПЖ!Область_печати</vt:lpstr>
      <vt:lpstr>ТС1!Область_печати</vt:lpstr>
      <vt:lpstr>ТС2!Область_печати</vt:lpstr>
      <vt:lpstr>ТС3!Область_печати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2024-11-25T15:08:36Z</dcterms:modified>
</cp:coreProperties>
</file>